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1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lbert Deningaidi\OneDrive\Bureau\JOHNNY WEST-KOINON_RAPPORT FINAL\MODELES\"/>
    </mc:Choice>
  </mc:AlternateContent>
  <bookViews>
    <workbookView xWindow="0" yWindow="0" windowWidth="23040" windowHeight="9084" tabRatio="777"/>
  </bookViews>
  <sheets>
    <sheet name="ToDo" sheetId="24" r:id="rId1"/>
    <sheet name="Track" sheetId="42" r:id="rId2"/>
    <sheet name="Dashboard" sheetId="25" r:id="rId3"/>
    <sheet name="SummaryC_Flow" sheetId="38" r:id="rId4"/>
    <sheet name="Charts" sheetId="26" r:id="rId5"/>
    <sheet name="OnePager" sheetId="44" r:id="rId6"/>
    <sheet name="Scenarios" sheetId="43" r:id="rId7"/>
    <sheet name="Interest Charge Simulation" sheetId="50" r:id="rId8"/>
    <sheet name="Metalkol_Model1" sheetId="17" r:id="rId9"/>
    <sheet name="EITI_Rev" sheetId="37" r:id="rId10"/>
    <sheet name="T&amp;E" sheetId="40" r:id="rId11"/>
    <sheet name="InputsTS" sheetId="1" r:id="rId12"/>
    <sheet name="InputsCon" sheetId="41" r:id="rId13"/>
    <sheet name="Kamoto_2019TR" sheetId="13" r:id="rId14"/>
    <sheet name="Kamoto_2011TR" sheetId="12" r:id="rId15"/>
    <sheet name="Sources" sheetId="3" r:id="rId16"/>
    <sheet name="Inp_2019TR" sheetId="4" r:id="rId17"/>
    <sheet name="NewSheet" sheetId="10" r:id="rId18"/>
  </sheets>
  <definedNames>
    <definedName name="CHK_TOL">InputsCon!$F$189</definedName>
    <definedName name="SMU">InputsCon!$F$197</definedName>
    <definedName name="USDMN">InputsCon!$F$199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9" i="17" l="1"/>
  <c r="A51" i="24" l="1"/>
  <c r="A49" i="24"/>
  <c r="A47" i="24"/>
  <c r="A43" i="24"/>
  <c r="A40" i="24"/>
  <c r="B49" i="24"/>
  <c r="B43" i="24"/>
  <c r="B40" i="24"/>
  <c r="A37" i="24"/>
  <c r="A35" i="24"/>
  <c r="A33" i="24"/>
  <c r="A31" i="24"/>
  <c r="A29" i="24"/>
  <c r="A26" i="24"/>
  <c r="A24" i="24"/>
  <c r="A22" i="24"/>
  <c r="B38" i="24"/>
  <c r="B37" i="24"/>
  <c r="B35" i="24"/>
  <c r="E97" i="26"/>
  <c r="B33" i="24" s="1"/>
  <c r="F97" i="26"/>
  <c r="G97" i="26"/>
  <c r="H97" i="26"/>
  <c r="I97" i="26"/>
  <c r="J97" i="26"/>
  <c r="K97" i="26"/>
  <c r="L97" i="26"/>
  <c r="M97" i="26"/>
  <c r="N97" i="26"/>
  <c r="O97" i="26"/>
  <c r="P97" i="26"/>
  <c r="Q97" i="26"/>
  <c r="R97" i="26"/>
  <c r="S97" i="26"/>
  <c r="T97" i="26"/>
  <c r="U97" i="26"/>
  <c r="V97" i="26"/>
  <c r="W97" i="26"/>
  <c r="X97" i="26"/>
  <c r="Y97" i="26"/>
  <c r="Z97" i="26"/>
  <c r="AA97" i="26"/>
  <c r="AB97" i="26"/>
  <c r="AC97" i="26"/>
  <c r="AD97" i="26"/>
  <c r="AE97" i="26"/>
  <c r="AF97" i="26"/>
  <c r="AG97" i="26"/>
  <c r="AH97" i="26"/>
  <c r="AI97" i="26"/>
  <c r="AJ97" i="26"/>
  <c r="AK97" i="26"/>
  <c r="AL97" i="26"/>
  <c r="AM97" i="26"/>
  <c r="AN97" i="26"/>
  <c r="AO97" i="26"/>
  <c r="AP97" i="26"/>
  <c r="AQ97" i="26"/>
  <c r="AR97" i="26"/>
  <c r="AS97" i="26"/>
  <c r="AT97" i="26"/>
  <c r="AU97" i="26"/>
  <c r="AV97" i="26"/>
  <c r="B29" i="24"/>
  <c r="E64" i="38"/>
  <c r="F64" i="38"/>
  <c r="G64" i="38"/>
  <c r="H64" i="38"/>
  <c r="I64" i="38"/>
  <c r="K64" i="38"/>
  <c r="B24" i="24"/>
  <c r="B26" i="24"/>
  <c r="E804" i="17"/>
  <c r="F804" i="17"/>
  <c r="G804" i="17"/>
  <c r="H804" i="17"/>
  <c r="I804" i="17"/>
  <c r="K804" i="17"/>
  <c r="B22" i="24" l="1"/>
  <c r="P16" i="44"/>
  <c r="O16" i="44"/>
  <c r="N16" i="44"/>
  <c r="J16" i="44" l="1"/>
  <c r="O5" i="44" l="1"/>
  <c r="E270" i="17"/>
  <c r="G269" i="17"/>
  <c r="F269" i="17"/>
  <c r="E269" i="17"/>
  <c r="G268" i="17"/>
  <c r="E262" i="17"/>
  <c r="F262" i="17"/>
  <c r="G262" i="17"/>
  <c r="H262" i="17"/>
  <c r="I262" i="17"/>
  <c r="K262" i="17"/>
  <c r="E264" i="17"/>
  <c r="E265" i="17" s="1"/>
  <c r="E268" i="17" s="1"/>
  <c r="F263" i="17"/>
  <c r="G263" i="17"/>
  <c r="H263" i="17"/>
  <c r="I263" i="17"/>
  <c r="J263" i="17"/>
  <c r="K263" i="17"/>
  <c r="H133" i="43"/>
  <c r="F176" i="43"/>
  <c r="B124" i="43"/>
  <c r="E777" i="17"/>
  <c r="E919" i="17" s="1"/>
  <c r="B176" i="43" s="1"/>
  <c r="E776" i="17"/>
  <c r="F776" i="17"/>
  <c r="G776" i="17"/>
  <c r="H776" i="17"/>
  <c r="I776" i="17"/>
  <c r="K776" i="17"/>
  <c r="E775" i="17"/>
  <c r="F775" i="17"/>
  <c r="G775" i="17"/>
  <c r="H775" i="17"/>
  <c r="I775" i="17"/>
  <c r="K775" i="17"/>
  <c r="G764" i="17"/>
  <c r="F764" i="17"/>
  <c r="E764" i="17"/>
  <c r="E765" i="17" s="1"/>
  <c r="B118" i="43"/>
  <c r="F894" i="17"/>
  <c r="G894" i="17"/>
  <c r="I913" i="17" s="1"/>
  <c r="F172" i="43" s="1"/>
  <c r="H894" i="17"/>
  <c r="I894" i="17"/>
  <c r="K894" i="17"/>
  <c r="E329" i="17"/>
  <c r="E894" i="17" s="1"/>
  <c r="E913" i="17" s="1"/>
  <c r="B172" i="43" s="1"/>
  <c r="F328" i="17"/>
  <c r="G328" i="17"/>
  <c r="H328" i="17"/>
  <c r="I328" i="17"/>
  <c r="K328" i="17"/>
  <c r="E327" i="17"/>
  <c r="F327" i="17"/>
  <c r="G327" i="17"/>
  <c r="H327" i="17"/>
  <c r="I327" i="17"/>
  <c r="J327" i="17"/>
  <c r="K327" i="17"/>
  <c r="G308" i="17"/>
  <c r="H308" i="17"/>
  <c r="I308" i="17"/>
  <c r="K308" i="17"/>
  <c r="L308" i="17"/>
  <c r="M308" i="17"/>
  <c r="N308" i="17"/>
  <c r="O308" i="17"/>
  <c r="P308" i="17"/>
  <c r="Q308" i="17"/>
  <c r="R308" i="17"/>
  <c r="S308" i="17"/>
  <c r="T308" i="17"/>
  <c r="U308" i="17"/>
  <c r="V308" i="17"/>
  <c r="W308" i="17"/>
  <c r="X308" i="17"/>
  <c r="Y308" i="17"/>
  <c r="Z308" i="17"/>
  <c r="AA308" i="17"/>
  <c r="AB308" i="17"/>
  <c r="AC308" i="17"/>
  <c r="AD308" i="17"/>
  <c r="AE308" i="17"/>
  <c r="AF308" i="17"/>
  <c r="AG308" i="17"/>
  <c r="AH308" i="17"/>
  <c r="AI308" i="17"/>
  <c r="AJ308" i="17"/>
  <c r="AK308" i="17"/>
  <c r="AL308" i="17"/>
  <c r="AM308" i="17"/>
  <c r="AN308" i="17"/>
  <c r="AO308" i="17"/>
  <c r="AP308" i="17"/>
  <c r="AQ308" i="17"/>
  <c r="AR308" i="17"/>
  <c r="AS308" i="17"/>
  <c r="AT308" i="17"/>
  <c r="AU308" i="17"/>
  <c r="AV308" i="17"/>
  <c r="F308" i="17"/>
  <c r="E308" i="17"/>
  <c r="E324" i="17"/>
  <c r="E323" i="17"/>
  <c r="E328" i="17" s="1"/>
  <c r="E316" i="17"/>
  <c r="E322" i="17" s="1"/>
  <c r="F316" i="17"/>
  <c r="G316" i="17"/>
  <c r="H316" i="17"/>
  <c r="I316" i="17"/>
  <c r="K316" i="17"/>
  <c r="L316" i="17"/>
  <c r="M316" i="17"/>
  <c r="N316" i="17"/>
  <c r="O316" i="17"/>
  <c r="P316" i="17"/>
  <c r="Q316" i="17"/>
  <c r="R316" i="17"/>
  <c r="S316" i="17"/>
  <c r="T316" i="17"/>
  <c r="U316" i="17"/>
  <c r="V316" i="17"/>
  <c r="W316" i="17"/>
  <c r="X316" i="17"/>
  <c r="Y316" i="17"/>
  <c r="Z316" i="17"/>
  <c r="AA316" i="17"/>
  <c r="AB316" i="17"/>
  <c r="AC316" i="17"/>
  <c r="AD316" i="17"/>
  <c r="AE316" i="17"/>
  <c r="AF316" i="17"/>
  <c r="AG316" i="17"/>
  <c r="AH316" i="17"/>
  <c r="AI316" i="17"/>
  <c r="AJ316" i="17"/>
  <c r="AK316" i="17"/>
  <c r="AL316" i="17"/>
  <c r="AM316" i="17"/>
  <c r="AN316" i="17"/>
  <c r="AO316" i="17"/>
  <c r="AP316" i="17"/>
  <c r="AQ316" i="17"/>
  <c r="AR316" i="17"/>
  <c r="AS316" i="17"/>
  <c r="AT316" i="17"/>
  <c r="AU316" i="17"/>
  <c r="AV316" i="17"/>
  <c r="E315" i="17"/>
  <c r="E321" i="17" s="1"/>
  <c r="F315" i="17"/>
  <c r="G315" i="17"/>
  <c r="H315" i="17"/>
  <c r="I315" i="17"/>
  <c r="K315" i="17"/>
  <c r="L315" i="17"/>
  <c r="M315" i="17"/>
  <c r="N315" i="17"/>
  <c r="O315" i="17"/>
  <c r="P315" i="17"/>
  <c r="Q315" i="17"/>
  <c r="R315" i="17"/>
  <c r="S315" i="17"/>
  <c r="T315" i="17"/>
  <c r="U315" i="17"/>
  <c r="V315" i="17"/>
  <c r="W315" i="17"/>
  <c r="X315" i="17"/>
  <c r="Y315" i="17"/>
  <c r="Z315" i="17"/>
  <c r="AA315" i="17"/>
  <c r="AB315" i="17"/>
  <c r="AC315" i="17"/>
  <c r="AD315" i="17"/>
  <c r="AE315" i="17"/>
  <c r="AF315" i="17"/>
  <c r="AG315" i="17"/>
  <c r="AH315" i="17"/>
  <c r="AI315" i="17"/>
  <c r="AJ315" i="17"/>
  <c r="AK315" i="17"/>
  <c r="AL315" i="17"/>
  <c r="AM315" i="17"/>
  <c r="AN315" i="17"/>
  <c r="AO315" i="17"/>
  <c r="AP315" i="17"/>
  <c r="AQ315" i="17"/>
  <c r="AR315" i="17"/>
  <c r="AS315" i="17"/>
  <c r="AT315" i="17"/>
  <c r="AU315" i="17"/>
  <c r="AV315" i="17"/>
  <c r="E314" i="17"/>
  <c r="E320" i="17" s="1"/>
  <c r="F314" i="17"/>
  <c r="G314" i="17"/>
  <c r="H314" i="17"/>
  <c r="I314" i="17"/>
  <c r="K314" i="17"/>
  <c r="L314" i="17"/>
  <c r="M314" i="17"/>
  <c r="N314" i="17"/>
  <c r="O314" i="17"/>
  <c r="P314" i="17"/>
  <c r="Q314" i="17"/>
  <c r="R314" i="17"/>
  <c r="S314" i="17"/>
  <c r="T314" i="17"/>
  <c r="U314" i="17"/>
  <c r="V314" i="17"/>
  <c r="W314" i="17"/>
  <c r="X314" i="17"/>
  <c r="Y314" i="17"/>
  <c r="Z314" i="17"/>
  <c r="AA314" i="17"/>
  <c r="AB314" i="17"/>
  <c r="AC314" i="17"/>
  <c r="AD314" i="17"/>
  <c r="AE314" i="17"/>
  <c r="AF314" i="17"/>
  <c r="AG314" i="17"/>
  <c r="AH314" i="17"/>
  <c r="AI314" i="17"/>
  <c r="AJ314" i="17"/>
  <c r="AK314" i="17"/>
  <c r="AL314" i="17"/>
  <c r="AM314" i="17"/>
  <c r="AN314" i="17"/>
  <c r="AO314" i="17"/>
  <c r="AP314" i="17"/>
  <c r="AQ314" i="17"/>
  <c r="AR314" i="17"/>
  <c r="AS314" i="17"/>
  <c r="AT314" i="17"/>
  <c r="AU314" i="17"/>
  <c r="AV314" i="17"/>
  <c r="E313" i="17"/>
  <c r="F313" i="17"/>
  <c r="G313" i="17"/>
  <c r="H313" i="17"/>
  <c r="I313" i="17"/>
  <c r="K313" i="17"/>
  <c r="L313" i="17"/>
  <c r="M313" i="17"/>
  <c r="N313" i="17"/>
  <c r="O313" i="17"/>
  <c r="P313" i="17"/>
  <c r="Q313" i="17"/>
  <c r="R313" i="17"/>
  <c r="S313" i="17"/>
  <c r="T313" i="17"/>
  <c r="U313" i="17"/>
  <c r="V313" i="17"/>
  <c r="W313" i="17"/>
  <c r="X313" i="17"/>
  <c r="Y313" i="17"/>
  <c r="Z313" i="17"/>
  <c r="AA313" i="17"/>
  <c r="AB313" i="17"/>
  <c r="AC313" i="17"/>
  <c r="AD313" i="17"/>
  <c r="AE313" i="17"/>
  <c r="AF313" i="17"/>
  <c r="AG313" i="17"/>
  <c r="AH313" i="17"/>
  <c r="AI313" i="17"/>
  <c r="AJ313" i="17"/>
  <c r="AK313" i="17"/>
  <c r="AL313" i="17"/>
  <c r="AM313" i="17"/>
  <c r="AN313" i="17"/>
  <c r="AO313" i="17"/>
  <c r="AP313" i="17"/>
  <c r="AQ313" i="17"/>
  <c r="AR313" i="17"/>
  <c r="AS313" i="17"/>
  <c r="AT313" i="17"/>
  <c r="AU313" i="17"/>
  <c r="AV313" i="17"/>
  <c r="T30" i="37"/>
  <c r="S30" i="37"/>
  <c r="R30" i="37"/>
  <c r="Q30" i="37"/>
  <c r="J30" i="37" s="1"/>
  <c r="P30" i="37"/>
  <c r="J29" i="37"/>
  <c r="J316" i="17" s="1"/>
  <c r="J28" i="37"/>
  <c r="J315" i="17" s="1"/>
  <c r="J27" i="37"/>
  <c r="J314" i="17" s="1"/>
  <c r="J26" i="37"/>
  <c r="J313" i="17" s="1"/>
  <c r="I116" i="43"/>
  <c r="H110" i="43"/>
  <c r="F177" i="43"/>
  <c r="F163" i="43"/>
  <c r="C159" i="43"/>
  <c r="C155" i="43"/>
  <c r="C154" i="43"/>
  <c r="C150" i="43"/>
  <c r="C146" i="43"/>
  <c r="C142" i="43"/>
  <c r="G845" i="17"/>
  <c r="F845" i="17"/>
  <c r="F850" i="17" s="1"/>
  <c r="C138" i="43" s="1"/>
  <c r="C119" i="43" s="1"/>
  <c r="E845" i="17"/>
  <c r="G898" i="17"/>
  <c r="F898" i="17"/>
  <c r="F902" i="17" s="1"/>
  <c r="C162" i="43" s="1"/>
  <c r="E898" i="17"/>
  <c r="G668" i="17"/>
  <c r="E668" i="17"/>
  <c r="G665" i="17"/>
  <c r="F665" i="17"/>
  <c r="E665" i="17"/>
  <c r="E664" i="17"/>
  <c r="F664" i="17"/>
  <c r="G664" i="17"/>
  <c r="H664" i="17"/>
  <c r="I664" i="17"/>
  <c r="J664" i="17"/>
  <c r="K664" i="17"/>
  <c r="L662" i="17"/>
  <c r="M662" i="17"/>
  <c r="N662" i="17"/>
  <c r="O662" i="17"/>
  <c r="P662" i="17"/>
  <c r="Q662" i="17"/>
  <c r="R662" i="17"/>
  <c r="S662" i="17"/>
  <c r="T662" i="17"/>
  <c r="U662" i="17"/>
  <c r="V662" i="17"/>
  <c r="W662" i="17"/>
  <c r="X662" i="17"/>
  <c r="Y662" i="17"/>
  <c r="Z662" i="17"/>
  <c r="AA662" i="17"/>
  <c r="AB662" i="17"/>
  <c r="AC662" i="17"/>
  <c r="AD662" i="17"/>
  <c r="AE662" i="17"/>
  <c r="AF662" i="17"/>
  <c r="AG662" i="17"/>
  <c r="AH662" i="17"/>
  <c r="AI662" i="17"/>
  <c r="AJ662" i="17"/>
  <c r="AK662" i="17"/>
  <c r="AL662" i="17"/>
  <c r="AM662" i="17"/>
  <c r="AN662" i="17"/>
  <c r="AO662" i="17"/>
  <c r="AP662" i="17"/>
  <c r="AQ662" i="17"/>
  <c r="AR662" i="17"/>
  <c r="AS662" i="17"/>
  <c r="AT662" i="17"/>
  <c r="AU662" i="17"/>
  <c r="AV662" i="17"/>
  <c r="X66" i="40"/>
  <c r="L62" i="40"/>
  <c r="M62" i="40"/>
  <c r="N62" i="40"/>
  <c r="O62" i="40"/>
  <c r="P62" i="40"/>
  <c r="Q62" i="40"/>
  <c r="R62" i="40"/>
  <c r="S62" i="40"/>
  <c r="T62" i="40"/>
  <c r="U62" i="40"/>
  <c r="V62" i="40"/>
  <c r="W62" i="40"/>
  <c r="X62" i="40"/>
  <c r="Y62" i="40"/>
  <c r="Z62" i="40"/>
  <c r="AA62" i="40"/>
  <c r="AB62" i="40"/>
  <c r="AC62" i="40"/>
  <c r="AD62" i="40"/>
  <c r="AE62" i="40"/>
  <c r="AF62" i="40"/>
  <c r="AG62" i="40"/>
  <c r="AH62" i="40"/>
  <c r="AI62" i="40"/>
  <c r="AJ62" i="40"/>
  <c r="AK62" i="40"/>
  <c r="AL62" i="40"/>
  <c r="AM62" i="40"/>
  <c r="AN62" i="40"/>
  <c r="AO62" i="40"/>
  <c r="AP62" i="40"/>
  <c r="AQ62" i="40"/>
  <c r="AR62" i="40"/>
  <c r="AS62" i="40"/>
  <c r="AT62" i="40"/>
  <c r="AU62" i="40"/>
  <c r="AV62" i="40"/>
  <c r="G93" i="41"/>
  <c r="G747" i="17" s="1"/>
  <c r="E93" i="41"/>
  <c r="E747" i="17" s="1"/>
  <c r="G743" i="17"/>
  <c r="F743" i="17"/>
  <c r="E743" i="17"/>
  <c r="G744" i="17"/>
  <c r="F744" i="17"/>
  <c r="E744" i="17"/>
  <c r="E51" i="41"/>
  <c r="E388" i="17" s="1"/>
  <c r="G51" i="41"/>
  <c r="G388" i="17" s="1"/>
  <c r="E385" i="17"/>
  <c r="G385" i="17"/>
  <c r="H385" i="17"/>
  <c r="I385" i="17"/>
  <c r="K385" i="17"/>
  <c r="E384" i="17"/>
  <c r="G384" i="17"/>
  <c r="H384" i="17"/>
  <c r="I384" i="17"/>
  <c r="K384" i="17"/>
  <c r="G34" i="41"/>
  <c r="E34" i="41"/>
  <c r="O27" i="44" l="1"/>
  <c r="J27" i="44" s="1"/>
  <c r="O15" i="44"/>
  <c r="C130" i="43"/>
  <c r="C125" i="43"/>
  <c r="AU317" i="17"/>
  <c r="AM317" i="17"/>
  <c r="AS317" i="17"/>
  <c r="AK317" i="17"/>
  <c r="AC317" i="17"/>
  <c r="U317" i="17"/>
  <c r="M317" i="17"/>
  <c r="AT317" i="17"/>
  <c r="AL317" i="17"/>
  <c r="AD317" i="17"/>
  <c r="V317" i="17"/>
  <c r="N317" i="17"/>
  <c r="AE317" i="17"/>
  <c r="W317" i="17"/>
  <c r="O317" i="17"/>
  <c r="AR317" i="17"/>
  <c r="AJ317" i="17"/>
  <c r="AB317" i="17"/>
  <c r="T317" i="17"/>
  <c r="L317" i="17"/>
  <c r="AP317" i="17"/>
  <c r="AH317" i="17"/>
  <c r="Z317" i="17"/>
  <c r="R317" i="17"/>
  <c r="AQ317" i="17"/>
  <c r="AI317" i="17"/>
  <c r="AA317" i="17"/>
  <c r="S317" i="17"/>
  <c r="AO317" i="17"/>
  <c r="AG317" i="17"/>
  <c r="Y317" i="17"/>
  <c r="Q317" i="17"/>
  <c r="AV317" i="17"/>
  <c r="AN317" i="17"/>
  <c r="AF317" i="17"/>
  <c r="X317" i="17"/>
  <c r="P317" i="17"/>
  <c r="C107" i="43"/>
  <c r="C113" i="43"/>
  <c r="J11" i="37"/>
  <c r="G96" i="37"/>
  <c r="H96" i="37"/>
  <c r="I96" i="37"/>
  <c r="K96" i="37"/>
  <c r="L96" i="37"/>
  <c r="M96" i="37"/>
  <c r="N96" i="37"/>
  <c r="O96" i="37"/>
  <c r="P96" i="37"/>
  <c r="Q96" i="37"/>
  <c r="R96" i="37"/>
  <c r="S96" i="37"/>
  <c r="T96" i="37"/>
  <c r="U96" i="37"/>
  <c r="V96" i="37"/>
  <c r="W96" i="37"/>
  <c r="X96" i="37"/>
  <c r="Y96" i="37"/>
  <c r="Z96" i="37"/>
  <c r="AA96" i="37"/>
  <c r="AB96" i="37"/>
  <c r="AC96" i="37"/>
  <c r="AD96" i="37"/>
  <c r="AE96" i="37"/>
  <c r="AF96" i="37"/>
  <c r="AG96" i="37"/>
  <c r="AH96" i="37"/>
  <c r="AI96" i="37"/>
  <c r="AJ96" i="37"/>
  <c r="AK96" i="37"/>
  <c r="AL96" i="37"/>
  <c r="AM96" i="37"/>
  <c r="AN96" i="37"/>
  <c r="AO96" i="37"/>
  <c r="AP96" i="37"/>
  <c r="AQ96" i="37"/>
  <c r="AR96" i="37"/>
  <c r="AS96" i="37"/>
  <c r="AT96" i="37"/>
  <c r="AU96" i="37"/>
  <c r="AV96" i="37"/>
  <c r="E96" i="37"/>
  <c r="F96" i="37"/>
  <c r="E91" i="37"/>
  <c r="F91" i="37"/>
  <c r="G91" i="37"/>
  <c r="H91" i="37"/>
  <c r="I91" i="37"/>
  <c r="K91" i="37"/>
  <c r="L91" i="37"/>
  <c r="M91" i="37"/>
  <c r="N91" i="37"/>
  <c r="O91" i="37"/>
  <c r="P91" i="37"/>
  <c r="Q91" i="37"/>
  <c r="R91" i="37"/>
  <c r="S91" i="37"/>
  <c r="T91" i="37"/>
  <c r="U91" i="37"/>
  <c r="V91" i="37"/>
  <c r="W91" i="37"/>
  <c r="X91" i="37"/>
  <c r="Y91" i="37"/>
  <c r="Z91" i="37"/>
  <c r="AA91" i="37"/>
  <c r="AB91" i="37"/>
  <c r="AC91" i="37"/>
  <c r="AD91" i="37"/>
  <c r="AE91" i="37"/>
  <c r="AF91" i="37"/>
  <c r="AG91" i="37"/>
  <c r="AH91" i="37"/>
  <c r="AI91" i="37"/>
  <c r="AJ91" i="37"/>
  <c r="AK91" i="37"/>
  <c r="AL91" i="37"/>
  <c r="AM91" i="37"/>
  <c r="AN91" i="37"/>
  <c r="AO91" i="37"/>
  <c r="AP91" i="37"/>
  <c r="AQ91" i="37"/>
  <c r="AR91" i="37"/>
  <c r="AS91" i="37"/>
  <c r="AT91" i="37"/>
  <c r="AU91" i="37"/>
  <c r="AV91" i="37"/>
  <c r="AV86" i="37"/>
  <c r="AU86" i="37"/>
  <c r="AT86" i="37"/>
  <c r="AS86" i="37"/>
  <c r="AR86" i="37"/>
  <c r="AQ86" i="37"/>
  <c r="AP86" i="37"/>
  <c r="AO86" i="37"/>
  <c r="AN86" i="37"/>
  <c r="AM86" i="37"/>
  <c r="AL86" i="37"/>
  <c r="AK86" i="37"/>
  <c r="AJ86" i="37"/>
  <c r="AI86" i="37"/>
  <c r="AH86" i="37"/>
  <c r="AG86" i="37"/>
  <c r="AF86" i="37"/>
  <c r="AE86" i="37"/>
  <c r="AD86" i="37"/>
  <c r="AC86" i="37"/>
  <c r="AB86" i="37"/>
  <c r="AA86" i="37"/>
  <c r="Z86" i="37"/>
  <c r="Y86" i="37"/>
  <c r="X86" i="37"/>
  <c r="W86" i="37"/>
  <c r="V86" i="37"/>
  <c r="U86" i="37"/>
  <c r="T86" i="37"/>
  <c r="S86" i="37"/>
  <c r="R86" i="37"/>
  <c r="Q86" i="37"/>
  <c r="P86" i="37"/>
  <c r="O86" i="37"/>
  <c r="N86" i="37"/>
  <c r="M86" i="37"/>
  <c r="L86" i="37"/>
  <c r="K86" i="37"/>
  <c r="I86" i="37"/>
  <c r="H86" i="37"/>
  <c r="G86" i="37"/>
  <c r="F86" i="37"/>
  <c r="E86" i="37"/>
  <c r="E79" i="37"/>
  <c r="F79" i="37"/>
  <c r="G79" i="37"/>
  <c r="H79" i="37"/>
  <c r="I79" i="37"/>
  <c r="K79" i="37"/>
  <c r="L79" i="37"/>
  <c r="M79" i="37"/>
  <c r="N79" i="37"/>
  <c r="O79" i="37"/>
  <c r="P79" i="37"/>
  <c r="Q79" i="37"/>
  <c r="R79" i="37"/>
  <c r="S79" i="37"/>
  <c r="T79" i="37"/>
  <c r="U79" i="37"/>
  <c r="V79" i="37"/>
  <c r="W79" i="37"/>
  <c r="X79" i="37"/>
  <c r="Y79" i="37"/>
  <c r="Z79" i="37"/>
  <c r="AA79" i="37"/>
  <c r="AB79" i="37"/>
  <c r="AC79" i="37"/>
  <c r="AD79" i="37"/>
  <c r="AE79" i="37"/>
  <c r="AF79" i="37"/>
  <c r="AG79" i="37"/>
  <c r="AH79" i="37"/>
  <c r="AI79" i="37"/>
  <c r="AJ79" i="37"/>
  <c r="AK79" i="37"/>
  <c r="AL79" i="37"/>
  <c r="AM79" i="37"/>
  <c r="AN79" i="37"/>
  <c r="AO79" i="37"/>
  <c r="AP79" i="37"/>
  <c r="AQ79" i="37"/>
  <c r="AR79" i="37"/>
  <c r="AS79" i="37"/>
  <c r="AT79" i="37"/>
  <c r="AU79" i="37"/>
  <c r="AV79" i="37"/>
  <c r="AV74" i="37"/>
  <c r="AU74" i="37"/>
  <c r="AT74" i="37"/>
  <c r="AS74" i="37"/>
  <c r="AR74" i="37"/>
  <c r="AQ74" i="37"/>
  <c r="AP74" i="37"/>
  <c r="AO74" i="37"/>
  <c r="AN74" i="37"/>
  <c r="AM74" i="37"/>
  <c r="AL74" i="37"/>
  <c r="AK74" i="37"/>
  <c r="AJ74" i="37"/>
  <c r="AI74" i="37"/>
  <c r="AH74" i="37"/>
  <c r="AG74" i="37"/>
  <c r="AF74" i="37"/>
  <c r="AE74" i="37"/>
  <c r="AD74" i="37"/>
  <c r="AC74" i="37"/>
  <c r="AB74" i="37"/>
  <c r="AA74" i="37"/>
  <c r="Z74" i="37"/>
  <c r="Y74" i="37"/>
  <c r="X74" i="37"/>
  <c r="W74" i="37"/>
  <c r="V74" i="37"/>
  <c r="U74" i="37"/>
  <c r="T74" i="37"/>
  <c r="S74" i="37"/>
  <c r="R74" i="37"/>
  <c r="Q74" i="37"/>
  <c r="P74" i="37"/>
  <c r="O74" i="37"/>
  <c r="N74" i="37"/>
  <c r="M74" i="37"/>
  <c r="L74" i="37"/>
  <c r="K74" i="37"/>
  <c r="I74" i="37"/>
  <c r="H74" i="37"/>
  <c r="G74" i="37"/>
  <c r="F74" i="37"/>
  <c r="E74" i="37"/>
  <c r="E64" i="37"/>
  <c r="F64" i="37"/>
  <c r="G64" i="37"/>
  <c r="H64" i="37"/>
  <c r="I64" i="37"/>
  <c r="K64" i="37"/>
  <c r="E62" i="37"/>
  <c r="F62" i="37"/>
  <c r="G62" i="37"/>
  <c r="H62" i="37"/>
  <c r="I62" i="37"/>
  <c r="K62" i="37"/>
  <c r="L62" i="37"/>
  <c r="M62" i="37"/>
  <c r="N62" i="37"/>
  <c r="O62" i="37"/>
  <c r="P62" i="37"/>
  <c r="Q62" i="37"/>
  <c r="R62" i="37"/>
  <c r="S62" i="37"/>
  <c r="T62" i="37"/>
  <c r="U62" i="37"/>
  <c r="V62" i="37"/>
  <c r="W62" i="37"/>
  <c r="X62" i="37"/>
  <c r="Y62" i="37"/>
  <c r="Z62" i="37"/>
  <c r="AA62" i="37"/>
  <c r="AB62" i="37"/>
  <c r="AC62" i="37"/>
  <c r="AD62" i="37"/>
  <c r="AE62" i="37"/>
  <c r="AF62" i="37"/>
  <c r="AG62" i="37"/>
  <c r="AH62" i="37"/>
  <c r="AI62" i="37"/>
  <c r="AJ62" i="37"/>
  <c r="AK62" i="37"/>
  <c r="AL62" i="37"/>
  <c r="AM62" i="37"/>
  <c r="AN62" i="37"/>
  <c r="AO62" i="37"/>
  <c r="AP62" i="37"/>
  <c r="AQ62" i="37"/>
  <c r="AR62" i="37"/>
  <c r="AS62" i="37"/>
  <c r="AT62" i="37"/>
  <c r="AU62" i="37"/>
  <c r="AV62" i="37"/>
  <c r="E56" i="37"/>
  <c r="F56" i="37"/>
  <c r="G56" i="37"/>
  <c r="H56" i="37"/>
  <c r="I56" i="37"/>
  <c r="K56" i="37"/>
  <c r="L56" i="37"/>
  <c r="M56" i="37"/>
  <c r="N56" i="37"/>
  <c r="O56" i="37"/>
  <c r="P56" i="37"/>
  <c r="Q56" i="37"/>
  <c r="R56" i="37"/>
  <c r="S56" i="37"/>
  <c r="T56" i="37"/>
  <c r="U56" i="37"/>
  <c r="V56" i="37"/>
  <c r="W56" i="37"/>
  <c r="X56" i="37"/>
  <c r="Y56" i="37"/>
  <c r="Z56" i="37"/>
  <c r="AA56" i="37"/>
  <c r="AB56" i="37"/>
  <c r="AC56" i="37"/>
  <c r="AD56" i="37"/>
  <c r="AE56" i="37"/>
  <c r="AF56" i="37"/>
  <c r="AG56" i="37"/>
  <c r="AH56" i="37"/>
  <c r="AI56" i="37"/>
  <c r="AJ56" i="37"/>
  <c r="AK56" i="37"/>
  <c r="AL56" i="37"/>
  <c r="AM56" i="37"/>
  <c r="AN56" i="37"/>
  <c r="AO56" i="37"/>
  <c r="AP56" i="37"/>
  <c r="AQ56" i="37"/>
  <c r="AR56" i="37"/>
  <c r="AS56" i="37"/>
  <c r="AT56" i="37"/>
  <c r="AU56" i="37"/>
  <c r="AV56" i="37"/>
  <c r="E47" i="37"/>
  <c r="F47" i="37"/>
  <c r="G47" i="37"/>
  <c r="H47" i="37"/>
  <c r="I47" i="37"/>
  <c r="K47" i="37"/>
  <c r="L47" i="37"/>
  <c r="M47" i="37"/>
  <c r="N47" i="37"/>
  <c r="O47" i="37"/>
  <c r="P47" i="37"/>
  <c r="Q47" i="37"/>
  <c r="R47" i="37"/>
  <c r="S47" i="37"/>
  <c r="T47" i="37"/>
  <c r="U47" i="37"/>
  <c r="V47" i="37"/>
  <c r="W47" i="37"/>
  <c r="X47" i="37"/>
  <c r="Y47" i="37"/>
  <c r="Z47" i="37"/>
  <c r="AA47" i="37"/>
  <c r="AB47" i="37"/>
  <c r="AC47" i="37"/>
  <c r="AD47" i="37"/>
  <c r="AE47" i="37"/>
  <c r="AF47" i="37"/>
  <c r="AG47" i="37"/>
  <c r="AH47" i="37"/>
  <c r="AI47" i="37"/>
  <c r="AJ47" i="37"/>
  <c r="AK47" i="37"/>
  <c r="AL47" i="37"/>
  <c r="AM47" i="37"/>
  <c r="AN47" i="37"/>
  <c r="AO47" i="37"/>
  <c r="AP47" i="37"/>
  <c r="AQ47" i="37"/>
  <c r="AR47" i="37"/>
  <c r="AS47" i="37"/>
  <c r="AT47" i="37"/>
  <c r="AU47" i="37"/>
  <c r="AV47" i="37"/>
  <c r="E46" i="37"/>
  <c r="F46" i="37"/>
  <c r="G46" i="37"/>
  <c r="H46" i="37"/>
  <c r="I46" i="37"/>
  <c r="K46" i="37"/>
  <c r="L46" i="37"/>
  <c r="M46" i="37"/>
  <c r="N46" i="37"/>
  <c r="O46" i="37"/>
  <c r="P46" i="37"/>
  <c r="Q46" i="37"/>
  <c r="R46" i="37"/>
  <c r="S46" i="37"/>
  <c r="T46" i="37"/>
  <c r="U46" i="37"/>
  <c r="V46" i="37"/>
  <c r="W46" i="37"/>
  <c r="X46" i="37"/>
  <c r="Y46" i="37"/>
  <c r="Z46" i="37"/>
  <c r="AA46" i="37"/>
  <c r="AB46" i="37"/>
  <c r="AC46" i="37"/>
  <c r="AD46" i="37"/>
  <c r="AE46" i="37"/>
  <c r="AF46" i="37"/>
  <c r="AG46" i="37"/>
  <c r="AH46" i="37"/>
  <c r="AI46" i="37"/>
  <c r="AJ46" i="37"/>
  <c r="AK46" i="37"/>
  <c r="AL46" i="37"/>
  <c r="AM46" i="37"/>
  <c r="AN46" i="37"/>
  <c r="AO46" i="37"/>
  <c r="AP46" i="37"/>
  <c r="AQ46" i="37"/>
  <c r="AR46" i="37"/>
  <c r="AS46" i="37"/>
  <c r="AT46" i="37"/>
  <c r="AU46" i="37"/>
  <c r="AV46" i="37"/>
  <c r="E45" i="37"/>
  <c r="F45" i="37"/>
  <c r="G45" i="37"/>
  <c r="H45" i="37"/>
  <c r="I45" i="37"/>
  <c r="K45" i="37"/>
  <c r="L45" i="37"/>
  <c r="M45" i="37"/>
  <c r="N45" i="37"/>
  <c r="O45" i="37"/>
  <c r="P45" i="37"/>
  <c r="Q45" i="37"/>
  <c r="R45" i="37"/>
  <c r="S45" i="37"/>
  <c r="T45" i="37"/>
  <c r="U45" i="37"/>
  <c r="V45" i="37"/>
  <c r="W45" i="37"/>
  <c r="X45" i="37"/>
  <c r="Y45" i="37"/>
  <c r="Z45" i="37"/>
  <c r="AA45" i="37"/>
  <c r="AB45" i="37"/>
  <c r="AC45" i="37"/>
  <c r="AD45" i="37"/>
  <c r="AE45" i="37"/>
  <c r="AF45" i="37"/>
  <c r="AG45" i="37"/>
  <c r="AH45" i="37"/>
  <c r="AI45" i="37"/>
  <c r="AJ45" i="37"/>
  <c r="AK45" i="37"/>
  <c r="AL45" i="37"/>
  <c r="AM45" i="37"/>
  <c r="AN45" i="37"/>
  <c r="AO45" i="37"/>
  <c r="AP45" i="37"/>
  <c r="AQ45" i="37"/>
  <c r="AR45" i="37"/>
  <c r="AS45" i="37"/>
  <c r="AT45" i="37"/>
  <c r="AU45" i="37"/>
  <c r="AV45" i="37"/>
  <c r="L23" i="37"/>
  <c r="M23" i="37"/>
  <c r="N23" i="37"/>
  <c r="O23" i="37"/>
  <c r="P23" i="37"/>
  <c r="Q23" i="37"/>
  <c r="R23" i="37"/>
  <c r="S23" i="37"/>
  <c r="T23" i="37"/>
  <c r="U23" i="37"/>
  <c r="V23" i="37"/>
  <c r="W23" i="37"/>
  <c r="X23" i="37"/>
  <c r="Y23" i="37"/>
  <c r="Z23" i="37"/>
  <c r="AA23" i="37"/>
  <c r="AB23" i="37"/>
  <c r="AC23" i="37"/>
  <c r="AD23" i="37"/>
  <c r="AE23" i="37"/>
  <c r="AF23" i="37"/>
  <c r="AG23" i="37"/>
  <c r="AH23" i="37"/>
  <c r="AI23" i="37"/>
  <c r="AJ23" i="37"/>
  <c r="AK23" i="37"/>
  <c r="AL23" i="37"/>
  <c r="AM23" i="37"/>
  <c r="AN23" i="37"/>
  <c r="AO23" i="37"/>
  <c r="AP23" i="37"/>
  <c r="AQ23" i="37"/>
  <c r="AR23" i="37"/>
  <c r="AS23" i="37"/>
  <c r="AT23" i="37"/>
  <c r="AU23" i="37"/>
  <c r="AV23" i="37"/>
  <c r="J22" i="37"/>
  <c r="J62" i="37" s="1"/>
  <c r="J21" i="37"/>
  <c r="J20" i="37"/>
  <c r="J19" i="37"/>
  <c r="J17" i="37"/>
  <c r="J16" i="37"/>
  <c r="J79" i="37" s="1"/>
  <c r="J15" i="37"/>
  <c r="J56" i="37" s="1"/>
  <c r="J14" i="37"/>
  <c r="J13" i="37"/>
  <c r="J45" i="37" s="1"/>
  <c r="J12" i="37"/>
  <c r="J91" i="37" s="1"/>
  <c r="J10" i="37"/>
  <c r="J9" i="37"/>
  <c r="J47" i="37" s="1"/>
  <c r="J8" i="37"/>
  <c r="J46" i="37" s="1"/>
  <c r="J18" i="37"/>
  <c r="J36" i="37" s="1"/>
  <c r="E36" i="37"/>
  <c r="F36" i="37"/>
  <c r="G36" i="37"/>
  <c r="H36" i="37"/>
  <c r="I36" i="37"/>
  <c r="K36" i="37"/>
  <c r="L36" i="37"/>
  <c r="M36" i="37"/>
  <c r="N36" i="37"/>
  <c r="O36" i="37"/>
  <c r="P36" i="37"/>
  <c r="Q36" i="37"/>
  <c r="R36" i="37"/>
  <c r="S36" i="37"/>
  <c r="T36" i="37"/>
  <c r="U36" i="37"/>
  <c r="V36" i="37"/>
  <c r="W36" i="37"/>
  <c r="X36" i="37"/>
  <c r="Y36" i="37"/>
  <c r="Z36" i="37"/>
  <c r="AA36" i="37"/>
  <c r="AB36" i="37"/>
  <c r="AC36" i="37"/>
  <c r="AD36" i="37"/>
  <c r="AE36" i="37"/>
  <c r="AF36" i="37"/>
  <c r="AG36" i="37"/>
  <c r="AH36" i="37"/>
  <c r="AI36" i="37"/>
  <c r="AJ36" i="37"/>
  <c r="AK36" i="37"/>
  <c r="AL36" i="37"/>
  <c r="AM36" i="37"/>
  <c r="AN36" i="37"/>
  <c r="AO36" i="37"/>
  <c r="AP36" i="37"/>
  <c r="AQ36" i="37"/>
  <c r="AR36" i="37"/>
  <c r="AS36" i="37"/>
  <c r="AT36" i="37"/>
  <c r="AU36" i="37"/>
  <c r="AV36" i="37"/>
  <c r="J96" i="37" l="1"/>
  <c r="J308" i="17"/>
  <c r="J317" i="17"/>
  <c r="J86" i="37"/>
  <c r="J74" i="37"/>
  <c r="F23" i="37"/>
  <c r="K370" i="17" l="1"/>
  <c r="J370" i="17"/>
  <c r="I370" i="17"/>
  <c r="H370" i="17"/>
  <c r="F370" i="17"/>
  <c r="K379" i="17"/>
  <c r="J379" i="17"/>
  <c r="I379" i="17"/>
  <c r="H379" i="17"/>
  <c r="G379" i="17"/>
  <c r="F379" i="17"/>
  <c r="K378" i="17"/>
  <c r="I378" i="17"/>
  <c r="H378" i="17"/>
  <c r="G378" i="17"/>
  <c r="F378" i="17"/>
  <c r="E378" i="17"/>
  <c r="K377" i="17"/>
  <c r="I377" i="17"/>
  <c r="H377" i="17"/>
  <c r="G377" i="17"/>
  <c r="F377" i="17"/>
  <c r="E377" i="17"/>
  <c r="E374" i="17"/>
  <c r="F374" i="17"/>
  <c r="G374" i="17"/>
  <c r="H374" i="17"/>
  <c r="I374" i="17"/>
  <c r="J374" i="17"/>
  <c r="K374" i="17"/>
  <c r="E373" i="17"/>
  <c r="F373" i="17"/>
  <c r="G373" i="17"/>
  <c r="H373" i="17"/>
  <c r="I373" i="17"/>
  <c r="J373" i="17"/>
  <c r="K373" i="17"/>
  <c r="G369" i="17"/>
  <c r="E369" i="17"/>
  <c r="G368" i="17"/>
  <c r="F368" i="17"/>
  <c r="E368" i="17"/>
  <c r="H805" i="17"/>
  <c r="H803" i="17"/>
  <c r="H802" i="17"/>
  <c r="H801" i="17"/>
  <c r="H800" i="17"/>
  <c r="E751" i="17"/>
  <c r="F751" i="17"/>
  <c r="G751" i="17"/>
  <c r="E92" i="37"/>
  <c r="F92" i="37"/>
  <c r="G92" i="37"/>
  <c r="H92" i="37"/>
  <c r="I92" i="37"/>
  <c r="K92" i="37"/>
  <c r="E928" i="17" l="1"/>
  <c r="E1014" i="17" s="1"/>
  <c r="F928" i="17"/>
  <c r="G928" i="17"/>
  <c r="H928" i="17"/>
  <c r="I928" i="17"/>
  <c r="K928" i="17"/>
  <c r="E805" i="17"/>
  <c r="F805" i="17"/>
  <c r="G805" i="17"/>
  <c r="I805" i="17"/>
  <c r="K805" i="17"/>
  <c r="E1000" i="17" l="1"/>
  <c r="E836" i="17"/>
  <c r="F836" i="17"/>
  <c r="G836" i="17"/>
  <c r="H836" i="17"/>
  <c r="I836" i="17"/>
  <c r="K836" i="17"/>
  <c r="E771" i="17"/>
  <c r="F771" i="17"/>
  <c r="G771" i="17"/>
  <c r="H771" i="17"/>
  <c r="I771" i="17"/>
  <c r="K771" i="17"/>
  <c r="K758" i="17"/>
  <c r="I758" i="17"/>
  <c r="H758" i="17"/>
  <c r="G758" i="17"/>
  <c r="F758" i="17"/>
  <c r="E758" i="17"/>
  <c r="K794" i="17"/>
  <c r="I794" i="17"/>
  <c r="H794" i="17"/>
  <c r="G794" i="17"/>
  <c r="F794" i="17"/>
  <c r="E794" i="17"/>
  <c r="E889" i="17"/>
  <c r="F889" i="17"/>
  <c r="G889" i="17"/>
  <c r="H889" i="17"/>
  <c r="I889" i="17"/>
  <c r="K889" i="17"/>
  <c r="E731" i="17"/>
  <c r="E59" i="38" s="1"/>
  <c r="F731" i="17"/>
  <c r="F59" i="38" s="1"/>
  <c r="G731" i="17"/>
  <c r="G59" i="38" s="1"/>
  <c r="H731" i="17"/>
  <c r="H59" i="38" s="1"/>
  <c r="I731" i="17"/>
  <c r="I59" i="38" s="1"/>
  <c r="K731" i="17"/>
  <c r="K59" i="38" s="1"/>
  <c r="E719" i="17"/>
  <c r="F719" i="17"/>
  <c r="G719" i="17"/>
  <c r="H719" i="17"/>
  <c r="I719" i="17"/>
  <c r="K719" i="17"/>
  <c r="E718" i="17"/>
  <c r="F718" i="17"/>
  <c r="G718" i="17"/>
  <c r="H718" i="17"/>
  <c r="I718" i="17"/>
  <c r="K718" i="17"/>
  <c r="K620" i="17"/>
  <c r="I620" i="17"/>
  <c r="H620" i="17"/>
  <c r="G620" i="17"/>
  <c r="F620" i="17"/>
  <c r="E620" i="17"/>
  <c r="K608" i="17"/>
  <c r="I608" i="17"/>
  <c r="H608" i="17"/>
  <c r="G608" i="17"/>
  <c r="F608" i="17"/>
  <c r="E608" i="17"/>
  <c r="E597" i="17"/>
  <c r="F597" i="17"/>
  <c r="G597" i="17"/>
  <c r="H597" i="17"/>
  <c r="I597" i="17"/>
  <c r="K597" i="17"/>
  <c r="E542" i="17"/>
  <c r="F542" i="17"/>
  <c r="G542" i="17"/>
  <c r="H542" i="17"/>
  <c r="I542" i="17"/>
  <c r="K542" i="17"/>
  <c r="L706" i="17"/>
  <c r="L542" i="17" s="1"/>
  <c r="E695" i="17"/>
  <c r="E717" i="17" s="1"/>
  <c r="F695" i="17"/>
  <c r="F717" i="17" s="1"/>
  <c r="G695" i="17"/>
  <c r="G717" i="17" s="1"/>
  <c r="H695" i="17"/>
  <c r="H717" i="17" s="1"/>
  <c r="I695" i="17"/>
  <c r="I717" i="17" s="1"/>
  <c r="K695" i="17"/>
  <c r="K717" i="17" s="1"/>
  <c r="AV686" i="17"/>
  <c r="AU686" i="17"/>
  <c r="AT686" i="17"/>
  <c r="AS686" i="17"/>
  <c r="AR686" i="17"/>
  <c r="AQ686" i="17"/>
  <c r="AP686" i="17"/>
  <c r="AO686" i="17"/>
  <c r="AN686" i="17"/>
  <c r="AM686" i="17"/>
  <c r="AL686" i="17"/>
  <c r="AK686" i="17"/>
  <c r="AJ686" i="17"/>
  <c r="AI686" i="17"/>
  <c r="AH686" i="17"/>
  <c r="AG686" i="17"/>
  <c r="AF686" i="17"/>
  <c r="AE686" i="17"/>
  <c r="AD686" i="17"/>
  <c r="AC686" i="17"/>
  <c r="AB686" i="17"/>
  <c r="AA686" i="17"/>
  <c r="Z686" i="17"/>
  <c r="Y686" i="17"/>
  <c r="X686" i="17"/>
  <c r="W686" i="17"/>
  <c r="V686" i="17"/>
  <c r="U686" i="17"/>
  <c r="T686" i="17"/>
  <c r="S686" i="17"/>
  <c r="R686" i="17"/>
  <c r="Q686" i="17"/>
  <c r="P686" i="17"/>
  <c r="O686" i="17"/>
  <c r="N686" i="17"/>
  <c r="M686" i="17"/>
  <c r="L686" i="17"/>
  <c r="K686" i="17"/>
  <c r="J686" i="17"/>
  <c r="I686" i="17"/>
  <c r="H686" i="17"/>
  <c r="G686" i="17"/>
  <c r="F686" i="17"/>
  <c r="E686" i="17"/>
  <c r="K680" i="17"/>
  <c r="K716" i="17" s="1"/>
  <c r="I680" i="17"/>
  <c r="I716" i="17" s="1"/>
  <c r="H680" i="17"/>
  <c r="H716" i="17" s="1"/>
  <c r="G680" i="17"/>
  <c r="G716" i="17" s="1"/>
  <c r="F680" i="17"/>
  <c r="F716" i="17" s="1"/>
  <c r="E680" i="17"/>
  <c r="E716" i="17" s="1"/>
  <c r="J704" i="17"/>
  <c r="E703" i="17"/>
  <c r="G702" i="17"/>
  <c r="H702" i="17"/>
  <c r="I702" i="17"/>
  <c r="K702" i="17"/>
  <c r="G701" i="17"/>
  <c r="E702" i="17"/>
  <c r="E701" i="17"/>
  <c r="F701" i="17"/>
  <c r="H701" i="17"/>
  <c r="I701" i="17"/>
  <c r="K679" i="17"/>
  <c r="K701" i="17" s="1"/>
  <c r="L678" i="17"/>
  <c r="K677" i="17"/>
  <c r="J677" i="17"/>
  <c r="I677" i="17"/>
  <c r="H677" i="17"/>
  <c r="G677" i="17"/>
  <c r="F677" i="17"/>
  <c r="E677" i="17"/>
  <c r="G672" i="17"/>
  <c r="F672" i="17"/>
  <c r="E672" i="17"/>
  <c r="G671" i="17"/>
  <c r="F671" i="17"/>
  <c r="E671" i="17"/>
  <c r="K451" i="17"/>
  <c r="I451" i="17"/>
  <c r="H451" i="17"/>
  <c r="G451" i="17"/>
  <c r="F451" i="17"/>
  <c r="E451" i="17"/>
  <c r="K416" i="17"/>
  <c r="I416" i="17"/>
  <c r="H416" i="17"/>
  <c r="G416" i="17"/>
  <c r="F416" i="17"/>
  <c r="E416" i="17"/>
  <c r="J98" i="1"/>
  <c r="V404" i="17"/>
  <c r="F487" i="17"/>
  <c r="G487" i="17"/>
  <c r="H487" i="17"/>
  <c r="I487" i="17"/>
  <c r="J487" i="17"/>
  <c r="F482" i="17"/>
  <c r="E482" i="17"/>
  <c r="E461" i="17"/>
  <c r="F461" i="17"/>
  <c r="G461" i="17"/>
  <c r="H461" i="17"/>
  <c r="I461" i="17"/>
  <c r="J461" i="17"/>
  <c r="K461" i="17"/>
  <c r="L461" i="17"/>
  <c r="L504" i="17" s="1"/>
  <c r="M461" i="17"/>
  <c r="M504" i="17" s="1"/>
  <c r="N461" i="17"/>
  <c r="N504" i="17" s="1"/>
  <c r="O461" i="17"/>
  <c r="O504" i="17" s="1"/>
  <c r="P461" i="17"/>
  <c r="P504" i="17" s="1"/>
  <c r="Q461" i="17"/>
  <c r="Q504" i="17" s="1"/>
  <c r="R461" i="17"/>
  <c r="S461" i="17"/>
  <c r="T461" i="17"/>
  <c r="U461" i="17"/>
  <c r="V461" i="17"/>
  <c r="W461" i="17"/>
  <c r="X461" i="17"/>
  <c r="Y461" i="17"/>
  <c r="Z461" i="17"/>
  <c r="AA461" i="17"/>
  <c r="AB461" i="17"/>
  <c r="AC461" i="17"/>
  <c r="AD461" i="17"/>
  <c r="AE461" i="17"/>
  <c r="AE504" i="17" s="1"/>
  <c r="AF461" i="17"/>
  <c r="AF504" i="17" s="1"/>
  <c r="AG461" i="17"/>
  <c r="AG504" i="17" s="1"/>
  <c r="AH461" i="17"/>
  <c r="AH504" i="17" s="1"/>
  <c r="AI461" i="17"/>
  <c r="AI504" i="17" s="1"/>
  <c r="AJ461" i="17"/>
  <c r="AJ504" i="17" s="1"/>
  <c r="AK461" i="17"/>
  <c r="AK504" i="17" s="1"/>
  <c r="AL461" i="17"/>
  <c r="AL504" i="17" s="1"/>
  <c r="AM461" i="17"/>
  <c r="AM504" i="17" s="1"/>
  <c r="AN461" i="17"/>
  <c r="AN504" i="17" s="1"/>
  <c r="AO461" i="17"/>
  <c r="AO504" i="17" s="1"/>
  <c r="AP461" i="17"/>
  <c r="AP504" i="17" s="1"/>
  <c r="AQ461" i="17"/>
  <c r="AQ504" i="17" s="1"/>
  <c r="AR461" i="17"/>
  <c r="AR504" i="17" s="1"/>
  <c r="AS461" i="17"/>
  <c r="AS504" i="17" s="1"/>
  <c r="AT461" i="17"/>
  <c r="AT504" i="17" s="1"/>
  <c r="AU461" i="17"/>
  <c r="AU504" i="17" s="1"/>
  <c r="AV461" i="17"/>
  <c r="AV504" i="17" s="1"/>
  <c r="E460" i="17"/>
  <c r="F460" i="17"/>
  <c r="G460" i="17"/>
  <c r="H460" i="17"/>
  <c r="I460" i="17"/>
  <c r="J460" i="17"/>
  <c r="K460" i="17"/>
  <c r="L460" i="17"/>
  <c r="L503" i="17" s="1"/>
  <c r="M460" i="17"/>
  <c r="M503" i="17" s="1"/>
  <c r="N460" i="17"/>
  <c r="N503" i="17" s="1"/>
  <c r="O460" i="17"/>
  <c r="O503" i="17" s="1"/>
  <c r="P460" i="17"/>
  <c r="P503" i="17" s="1"/>
  <c r="Q460" i="17"/>
  <c r="Q503" i="17" s="1"/>
  <c r="R460" i="17"/>
  <c r="S460" i="17"/>
  <c r="T460" i="17"/>
  <c r="U460" i="17"/>
  <c r="V460" i="17"/>
  <c r="W460" i="17"/>
  <c r="X460" i="17"/>
  <c r="Y460" i="17"/>
  <c r="Z460" i="17"/>
  <c r="AA460" i="17"/>
  <c r="AB460" i="17"/>
  <c r="AC460" i="17"/>
  <c r="AD460" i="17"/>
  <c r="AE460" i="17"/>
  <c r="AE503" i="17" s="1"/>
  <c r="AF460" i="17"/>
  <c r="AF503" i="17" s="1"/>
  <c r="AG460" i="17"/>
  <c r="AG503" i="17" s="1"/>
  <c r="AH460" i="17"/>
  <c r="AH503" i="17" s="1"/>
  <c r="AI460" i="17"/>
  <c r="AI503" i="17" s="1"/>
  <c r="AJ460" i="17"/>
  <c r="AJ503" i="17" s="1"/>
  <c r="AK460" i="17"/>
  <c r="AK503" i="17" s="1"/>
  <c r="AL460" i="17"/>
  <c r="AL503" i="17" s="1"/>
  <c r="AM460" i="17"/>
  <c r="AM503" i="17" s="1"/>
  <c r="AN460" i="17"/>
  <c r="AN503" i="17" s="1"/>
  <c r="AO460" i="17"/>
  <c r="AO503" i="17" s="1"/>
  <c r="AP460" i="17"/>
  <c r="AP503" i="17" s="1"/>
  <c r="AQ460" i="17"/>
  <c r="AQ503" i="17" s="1"/>
  <c r="AR460" i="17"/>
  <c r="AR503" i="17" s="1"/>
  <c r="AS460" i="17"/>
  <c r="AS503" i="17" s="1"/>
  <c r="AT460" i="17"/>
  <c r="AT503" i="17" s="1"/>
  <c r="AU460" i="17"/>
  <c r="AU503" i="17" s="1"/>
  <c r="AV460" i="17"/>
  <c r="AV503" i="17" s="1"/>
  <c r="E436" i="17"/>
  <c r="E437" i="17"/>
  <c r="G437" i="17"/>
  <c r="K558" i="17"/>
  <c r="I558" i="17"/>
  <c r="H558" i="17"/>
  <c r="G558" i="17"/>
  <c r="F558" i="17"/>
  <c r="E558" i="17"/>
  <c r="G400" i="17"/>
  <c r="E400" i="17"/>
  <c r="E401" i="17"/>
  <c r="H400" i="17"/>
  <c r="I400" i="17"/>
  <c r="J400" i="17"/>
  <c r="K400" i="17"/>
  <c r="E53" i="40"/>
  <c r="E52" i="40"/>
  <c r="F52" i="40"/>
  <c r="I52" i="40"/>
  <c r="F409" i="17"/>
  <c r="H409" i="17"/>
  <c r="I409" i="17"/>
  <c r="J409" i="17"/>
  <c r="K409" i="17"/>
  <c r="E404" i="17"/>
  <c r="F404" i="17"/>
  <c r="G404" i="17"/>
  <c r="H404" i="17"/>
  <c r="I404" i="17"/>
  <c r="J404" i="17"/>
  <c r="K404" i="17"/>
  <c r="L404" i="17"/>
  <c r="M404" i="17"/>
  <c r="N404" i="17"/>
  <c r="O404" i="17"/>
  <c r="P404" i="17"/>
  <c r="Q404" i="17"/>
  <c r="R404" i="17"/>
  <c r="S404" i="17"/>
  <c r="T404" i="17"/>
  <c r="U404" i="17"/>
  <c r="W404" i="17"/>
  <c r="X404" i="17"/>
  <c r="Y404" i="17"/>
  <c r="Z404" i="17"/>
  <c r="AA404" i="17"/>
  <c r="AB404" i="17"/>
  <c r="AC404" i="17"/>
  <c r="AD404" i="17"/>
  <c r="AE404" i="17"/>
  <c r="AF404" i="17"/>
  <c r="AG404" i="17"/>
  <c r="AH404" i="17"/>
  <c r="AI404" i="17"/>
  <c r="AJ404" i="17"/>
  <c r="AK404" i="17"/>
  <c r="AL404" i="17"/>
  <c r="AM404" i="17"/>
  <c r="AN404" i="17"/>
  <c r="AO404" i="17"/>
  <c r="AP404" i="17"/>
  <c r="AQ404" i="17"/>
  <c r="AR404" i="17"/>
  <c r="AS404" i="17"/>
  <c r="AT404" i="17"/>
  <c r="AU404" i="17"/>
  <c r="AV404" i="17"/>
  <c r="G396" i="17"/>
  <c r="F396" i="17"/>
  <c r="E396" i="17"/>
  <c r="G395" i="17"/>
  <c r="F395" i="17"/>
  <c r="E395" i="17"/>
  <c r="E96" i="26"/>
  <c r="F96" i="26"/>
  <c r="G96" i="26"/>
  <c r="H96" i="26"/>
  <c r="I96" i="26"/>
  <c r="K96" i="26"/>
  <c r="K80" i="37"/>
  <c r="I80" i="37"/>
  <c r="H80" i="37"/>
  <c r="G80" i="37"/>
  <c r="F80" i="37"/>
  <c r="E80" i="37"/>
  <c r="K63" i="37"/>
  <c r="I63" i="37"/>
  <c r="H63" i="37"/>
  <c r="G63" i="37"/>
  <c r="F63" i="37"/>
  <c r="E63" i="37"/>
  <c r="K495" i="17"/>
  <c r="I495" i="17"/>
  <c r="H495" i="17"/>
  <c r="G495" i="17"/>
  <c r="F495" i="17"/>
  <c r="E495" i="17"/>
  <c r="F364" i="17"/>
  <c r="G364" i="17"/>
  <c r="H364" i="17"/>
  <c r="I364" i="17"/>
  <c r="J364" i="17"/>
  <c r="K364" i="17"/>
  <c r="E363" i="17"/>
  <c r="F363" i="17"/>
  <c r="G363" i="17"/>
  <c r="H363" i="17"/>
  <c r="I363" i="17"/>
  <c r="J363" i="17"/>
  <c r="K363" i="17"/>
  <c r="E362" i="17"/>
  <c r="F362" i="17"/>
  <c r="G362" i="17"/>
  <c r="H362" i="17"/>
  <c r="I362" i="17"/>
  <c r="J362" i="17"/>
  <c r="K362" i="17"/>
  <c r="F353" i="17"/>
  <c r="E353" i="17"/>
  <c r="G31" i="41"/>
  <c r="G353" i="17" s="1"/>
  <c r="F351" i="17"/>
  <c r="G351" i="17"/>
  <c r="H351" i="17"/>
  <c r="I351" i="17"/>
  <c r="K351" i="17"/>
  <c r="E350" i="17"/>
  <c r="F350" i="17"/>
  <c r="G350" i="17"/>
  <c r="H350" i="17"/>
  <c r="I350" i="17"/>
  <c r="K350" i="17"/>
  <c r="E349" i="17"/>
  <c r="F349" i="17"/>
  <c r="G349" i="17"/>
  <c r="H349" i="17"/>
  <c r="I349" i="17"/>
  <c r="K349" i="17"/>
  <c r="F345" i="17"/>
  <c r="H345" i="17"/>
  <c r="I345" i="17"/>
  <c r="J345" i="17"/>
  <c r="K345" i="17"/>
  <c r="G42" i="40"/>
  <c r="G41" i="40"/>
  <c r="F41" i="40"/>
  <c r="E41" i="40"/>
  <c r="E40" i="40"/>
  <c r="G39" i="40"/>
  <c r="E342" i="17"/>
  <c r="E351" i="17" s="1"/>
  <c r="E341" i="17"/>
  <c r="F341" i="17"/>
  <c r="G341" i="17"/>
  <c r="H341" i="17"/>
  <c r="I341" i="17"/>
  <c r="J341" i="17"/>
  <c r="K341" i="17"/>
  <c r="L341" i="17"/>
  <c r="M341" i="17"/>
  <c r="N341" i="17"/>
  <c r="O341" i="17"/>
  <c r="P341" i="17"/>
  <c r="Q341" i="17"/>
  <c r="R341" i="17"/>
  <c r="S341" i="17"/>
  <c r="T341" i="17"/>
  <c r="U341" i="17"/>
  <c r="V341" i="17"/>
  <c r="W341" i="17"/>
  <c r="X341" i="17"/>
  <c r="Y341" i="17"/>
  <c r="Z341" i="17"/>
  <c r="AA341" i="17"/>
  <c r="AB341" i="17"/>
  <c r="AC341" i="17"/>
  <c r="AD341" i="17"/>
  <c r="AE341" i="17"/>
  <c r="AF341" i="17"/>
  <c r="AG341" i="17"/>
  <c r="AH341" i="17"/>
  <c r="AI341" i="17"/>
  <c r="AJ341" i="17"/>
  <c r="AK341" i="17"/>
  <c r="AL341" i="17"/>
  <c r="AM341" i="17"/>
  <c r="AN341" i="17"/>
  <c r="AO341" i="17"/>
  <c r="AP341" i="17"/>
  <c r="AQ341" i="17"/>
  <c r="AR341" i="17"/>
  <c r="AS341" i="17"/>
  <c r="AT341" i="17"/>
  <c r="AU341" i="17"/>
  <c r="AV341" i="17"/>
  <c r="E340" i="17"/>
  <c r="F340" i="17"/>
  <c r="G340" i="17"/>
  <c r="H340" i="17"/>
  <c r="I340" i="17"/>
  <c r="J340" i="17"/>
  <c r="K340" i="17"/>
  <c r="L340" i="17"/>
  <c r="M340" i="17"/>
  <c r="N340" i="17"/>
  <c r="O340" i="17"/>
  <c r="P340" i="17"/>
  <c r="Q340" i="17"/>
  <c r="R340" i="17"/>
  <c r="S340" i="17"/>
  <c r="T340" i="17"/>
  <c r="U340" i="17"/>
  <c r="V340" i="17"/>
  <c r="W340" i="17"/>
  <c r="X340" i="17"/>
  <c r="Y340" i="17"/>
  <c r="Z340" i="17"/>
  <c r="AA340" i="17"/>
  <c r="AB340" i="17"/>
  <c r="AC340" i="17"/>
  <c r="AD340" i="17"/>
  <c r="AE340" i="17"/>
  <c r="AF340" i="17"/>
  <c r="AG340" i="17"/>
  <c r="AH340" i="17"/>
  <c r="AI340" i="17"/>
  <c r="AJ340" i="17"/>
  <c r="AK340" i="17"/>
  <c r="AL340" i="17"/>
  <c r="AM340" i="17"/>
  <c r="AN340" i="17"/>
  <c r="AO340" i="17"/>
  <c r="AP340" i="17"/>
  <c r="AQ340" i="17"/>
  <c r="AR340" i="17"/>
  <c r="AS340" i="17"/>
  <c r="AT340" i="17"/>
  <c r="AU340" i="17"/>
  <c r="AV340" i="17"/>
  <c r="E339" i="17"/>
  <c r="F339" i="17"/>
  <c r="G339" i="17"/>
  <c r="H339" i="17"/>
  <c r="I339" i="17"/>
  <c r="J339" i="17"/>
  <c r="K339" i="17"/>
  <c r="L339" i="17"/>
  <c r="M339" i="17"/>
  <c r="N339" i="17"/>
  <c r="O339" i="17"/>
  <c r="P339" i="17"/>
  <c r="Q339" i="17"/>
  <c r="R339" i="17"/>
  <c r="S339" i="17"/>
  <c r="T339" i="17"/>
  <c r="U339" i="17"/>
  <c r="V339" i="17"/>
  <c r="W339" i="17"/>
  <c r="X339" i="17"/>
  <c r="Y339" i="17"/>
  <c r="Z339" i="17"/>
  <c r="AA339" i="17"/>
  <c r="AB339" i="17"/>
  <c r="AC339" i="17"/>
  <c r="AD339" i="17"/>
  <c r="AE339" i="17"/>
  <c r="AF339" i="17"/>
  <c r="AG339" i="17"/>
  <c r="AH339" i="17"/>
  <c r="AI339" i="17"/>
  <c r="AJ339" i="17"/>
  <c r="AK339" i="17"/>
  <c r="AL339" i="17"/>
  <c r="AM339" i="17"/>
  <c r="AN339" i="17"/>
  <c r="AO339" i="17"/>
  <c r="AP339" i="17"/>
  <c r="AQ339" i="17"/>
  <c r="AR339" i="17"/>
  <c r="AS339" i="17"/>
  <c r="AT339" i="17"/>
  <c r="AU339" i="17"/>
  <c r="AV339" i="17"/>
  <c r="E338" i="17"/>
  <c r="F338" i="17"/>
  <c r="G338" i="17"/>
  <c r="H338" i="17"/>
  <c r="I338" i="17"/>
  <c r="J338" i="17"/>
  <c r="K338" i="17"/>
  <c r="L338" i="17"/>
  <c r="M338" i="17"/>
  <c r="N338" i="17"/>
  <c r="O338" i="17"/>
  <c r="P338" i="17"/>
  <c r="Q338" i="17"/>
  <c r="R338" i="17"/>
  <c r="S338" i="17"/>
  <c r="T338" i="17"/>
  <c r="U338" i="17"/>
  <c r="V338" i="17"/>
  <c r="W338" i="17"/>
  <c r="X338" i="17"/>
  <c r="Y338" i="17"/>
  <c r="Z338" i="17"/>
  <c r="AA338" i="17"/>
  <c r="AB338" i="17"/>
  <c r="AC338" i="17"/>
  <c r="AD338" i="17"/>
  <c r="AE338" i="17"/>
  <c r="AF338" i="17"/>
  <c r="AG338" i="17"/>
  <c r="AH338" i="17"/>
  <c r="AI338" i="17"/>
  <c r="AJ338" i="17"/>
  <c r="AK338" i="17"/>
  <c r="AL338" i="17"/>
  <c r="AM338" i="17"/>
  <c r="AN338" i="17"/>
  <c r="AO338" i="17"/>
  <c r="AP338" i="17"/>
  <c r="AQ338" i="17"/>
  <c r="AR338" i="17"/>
  <c r="AS338" i="17"/>
  <c r="AT338" i="17"/>
  <c r="AU338" i="17"/>
  <c r="AV338" i="17"/>
  <c r="E337" i="17"/>
  <c r="F337" i="17"/>
  <c r="G337" i="17"/>
  <c r="H337" i="17"/>
  <c r="I337" i="17"/>
  <c r="J337" i="17"/>
  <c r="K337" i="17"/>
  <c r="L337" i="17"/>
  <c r="M337" i="17"/>
  <c r="N337" i="17"/>
  <c r="O337" i="17"/>
  <c r="P337" i="17"/>
  <c r="Q337" i="17"/>
  <c r="R337" i="17"/>
  <c r="S337" i="17"/>
  <c r="T337" i="17"/>
  <c r="U337" i="17"/>
  <c r="V337" i="17"/>
  <c r="W337" i="17"/>
  <c r="X337" i="17"/>
  <c r="Y337" i="17"/>
  <c r="Z337" i="17"/>
  <c r="AA337" i="17"/>
  <c r="AB337" i="17"/>
  <c r="AC337" i="17"/>
  <c r="AD337" i="17"/>
  <c r="AE337" i="17"/>
  <c r="AF337" i="17"/>
  <c r="AG337" i="17"/>
  <c r="AH337" i="17"/>
  <c r="AI337" i="17"/>
  <c r="AJ337" i="17"/>
  <c r="AK337" i="17"/>
  <c r="AL337" i="17"/>
  <c r="AM337" i="17"/>
  <c r="AN337" i="17"/>
  <c r="AO337" i="17"/>
  <c r="AP337" i="17"/>
  <c r="AQ337" i="17"/>
  <c r="AR337" i="17"/>
  <c r="AS337" i="17"/>
  <c r="AT337" i="17"/>
  <c r="AU337" i="17"/>
  <c r="AV337" i="17"/>
  <c r="E336" i="17"/>
  <c r="F336" i="17"/>
  <c r="G336" i="17"/>
  <c r="H336" i="17"/>
  <c r="I336" i="17"/>
  <c r="J336" i="17"/>
  <c r="K336" i="17"/>
  <c r="L336" i="17"/>
  <c r="M336" i="17"/>
  <c r="N336" i="17"/>
  <c r="O336" i="17"/>
  <c r="P336" i="17"/>
  <c r="Q336" i="17"/>
  <c r="R336" i="17"/>
  <c r="S336" i="17"/>
  <c r="T336" i="17"/>
  <c r="U336" i="17"/>
  <c r="V336" i="17"/>
  <c r="W336" i="17"/>
  <c r="X336" i="17"/>
  <c r="Y336" i="17"/>
  <c r="Z336" i="17"/>
  <c r="AA336" i="17"/>
  <c r="AB336" i="17"/>
  <c r="AC336" i="17"/>
  <c r="AD336" i="17"/>
  <c r="AE336" i="17"/>
  <c r="AF336" i="17"/>
  <c r="AG336" i="17"/>
  <c r="AH336" i="17"/>
  <c r="AI336" i="17"/>
  <c r="AJ336" i="17"/>
  <c r="AK336" i="17"/>
  <c r="AL336" i="17"/>
  <c r="AM336" i="17"/>
  <c r="AN336" i="17"/>
  <c r="AO336" i="17"/>
  <c r="AP336" i="17"/>
  <c r="AQ336" i="17"/>
  <c r="AR336" i="17"/>
  <c r="AS336" i="17"/>
  <c r="AT336" i="17"/>
  <c r="AU336" i="17"/>
  <c r="AV336" i="17"/>
  <c r="E335" i="17"/>
  <c r="F335" i="17"/>
  <c r="G335" i="17"/>
  <c r="H335" i="17"/>
  <c r="I335" i="17"/>
  <c r="J335" i="17"/>
  <c r="K335" i="17"/>
  <c r="L335" i="17"/>
  <c r="M335" i="17"/>
  <c r="N335" i="17"/>
  <c r="O335" i="17"/>
  <c r="P335" i="17"/>
  <c r="Q335" i="17"/>
  <c r="R335" i="17"/>
  <c r="S335" i="17"/>
  <c r="T335" i="17"/>
  <c r="U335" i="17"/>
  <c r="V335" i="17"/>
  <c r="W335" i="17"/>
  <c r="X335" i="17"/>
  <c r="Y335" i="17"/>
  <c r="Z335" i="17"/>
  <c r="AA335" i="17"/>
  <c r="AB335" i="17"/>
  <c r="AC335" i="17"/>
  <c r="AD335" i="17"/>
  <c r="AE335" i="17"/>
  <c r="AF335" i="17"/>
  <c r="AG335" i="17"/>
  <c r="AH335" i="17"/>
  <c r="AI335" i="17"/>
  <c r="AJ335" i="17"/>
  <c r="AK335" i="17"/>
  <c r="AL335" i="17"/>
  <c r="AM335" i="17"/>
  <c r="AN335" i="17"/>
  <c r="AO335" i="17"/>
  <c r="AP335" i="17"/>
  <c r="AQ335" i="17"/>
  <c r="AR335" i="17"/>
  <c r="AS335" i="17"/>
  <c r="AT335" i="17"/>
  <c r="AU335" i="17"/>
  <c r="AV335" i="17"/>
  <c r="P21" i="17"/>
  <c r="Q21" i="17"/>
  <c r="R21" i="17"/>
  <c r="R22" i="17" s="1"/>
  <c r="S21" i="17"/>
  <c r="S22" i="17" s="1"/>
  <c r="T21" i="17"/>
  <c r="T22" i="17" s="1"/>
  <c r="U21" i="17"/>
  <c r="U22" i="17" s="1"/>
  <c r="V21" i="17"/>
  <c r="V22" i="17" s="1"/>
  <c r="W21" i="17"/>
  <c r="W22" i="17" s="1"/>
  <c r="X21" i="17"/>
  <c r="X22" i="17" s="1"/>
  <c r="Y21" i="17"/>
  <c r="Y22" i="17" s="1"/>
  <c r="Z21" i="17"/>
  <c r="Z22" i="17" s="1"/>
  <c r="AA21" i="17"/>
  <c r="AA22" i="17" s="1"/>
  <c r="AB21" i="17"/>
  <c r="AB22" i="17" s="1"/>
  <c r="AC21" i="17"/>
  <c r="AC22" i="17" s="1"/>
  <c r="AD21" i="17"/>
  <c r="AD22" i="17" s="1"/>
  <c r="AE21" i="17"/>
  <c r="AF21" i="17"/>
  <c r="AG21" i="17"/>
  <c r="AH21" i="17"/>
  <c r="AI21" i="17"/>
  <c r="AJ21" i="17"/>
  <c r="AK21" i="17"/>
  <c r="AL21" i="17"/>
  <c r="AM21" i="17"/>
  <c r="AN21" i="17"/>
  <c r="AO21" i="17"/>
  <c r="AP21" i="17"/>
  <c r="AQ21" i="17"/>
  <c r="AR21" i="17"/>
  <c r="AS21" i="17"/>
  <c r="AT21" i="17"/>
  <c r="AU21" i="17"/>
  <c r="AV21" i="17"/>
  <c r="Q11" i="17"/>
  <c r="R11" i="17"/>
  <c r="S11" i="17"/>
  <c r="T11" i="17"/>
  <c r="U11" i="17"/>
  <c r="V11" i="17"/>
  <c r="W11" i="17"/>
  <c r="X11" i="17"/>
  <c r="Y11" i="17"/>
  <c r="Z11" i="17"/>
  <c r="AA11" i="17"/>
  <c r="AB11" i="17"/>
  <c r="AC11" i="17"/>
  <c r="AD11" i="17"/>
  <c r="AE11" i="17"/>
  <c r="AF11" i="17"/>
  <c r="AG11" i="17"/>
  <c r="AH11" i="17"/>
  <c r="AI11" i="17"/>
  <c r="AJ11" i="17"/>
  <c r="AK11" i="17"/>
  <c r="AL11" i="17"/>
  <c r="AM11" i="17"/>
  <c r="AN11" i="17"/>
  <c r="AO11" i="17"/>
  <c r="AP11" i="17"/>
  <c r="AQ11" i="17"/>
  <c r="AR11" i="17"/>
  <c r="AS11" i="17"/>
  <c r="AT11" i="17"/>
  <c r="AU11" i="17"/>
  <c r="AV11" i="17"/>
  <c r="G345" i="17" l="1"/>
  <c r="G370" i="17"/>
  <c r="G409" i="17"/>
  <c r="F397" i="17"/>
  <c r="AB342" i="17"/>
  <c r="AR342" i="17"/>
  <c r="AJ342" i="17"/>
  <c r="T342" i="17"/>
  <c r="L342" i="17"/>
  <c r="AP342" i="17"/>
  <c r="AH342" i="17"/>
  <c r="Z342" i="17"/>
  <c r="R342" i="17"/>
  <c r="P342" i="17"/>
  <c r="P351" i="17" s="1"/>
  <c r="AO342" i="17"/>
  <c r="AG342" i="17"/>
  <c r="Y342" i="17"/>
  <c r="Q342" i="17"/>
  <c r="AU342" i="17"/>
  <c r="AM342" i="17"/>
  <c r="AE342" i="17"/>
  <c r="W342" i="17"/>
  <c r="O342" i="17"/>
  <c r="AT342" i="17"/>
  <c r="AL342" i="17"/>
  <c r="AD342" i="17"/>
  <c r="V342" i="17"/>
  <c r="N342" i="17"/>
  <c r="AS342" i="17"/>
  <c r="AK342" i="17"/>
  <c r="AC342" i="17"/>
  <c r="U342" i="17"/>
  <c r="M342" i="17"/>
  <c r="AV342" i="17"/>
  <c r="X342" i="17"/>
  <c r="AN342" i="17"/>
  <c r="AQ342" i="17"/>
  <c r="AI342" i="17"/>
  <c r="AA342" i="17"/>
  <c r="S342" i="17"/>
  <c r="AF342" i="17"/>
  <c r="S351" i="17" l="1"/>
  <c r="T351" i="17"/>
  <c r="O351" i="17"/>
  <c r="AS351" i="17"/>
  <c r="AE351" i="17"/>
  <c r="R351" i="17"/>
  <c r="AB351" i="17"/>
  <c r="AN351" i="17"/>
  <c r="N351" i="17"/>
  <c r="AM351" i="17"/>
  <c r="Z351" i="17"/>
  <c r="AT351" i="17"/>
  <c r="AA351" i="17"/>
  <c r="AJ351" i="17"/>
  <c r="W351" i="17"/>
  <c r="AQ351" i="17"/>
  <c r="AU351" i="17"/>
  <c r="AV351" i="17"/>
  <c r="AD351" i="17"/>
  <c r="Q351" i="17"/>
  <c r="AP351" i="17"/>
  <c r="U351" i="17"/>
  <c r="AG351" i="17"/>
  <c r="AC351" i="17"/>
  <c r="AO351" i="17"/>
  <c r="AI351" i="17"/>
  <c r="AK351" i="17"/>
  <c r="AR351" i="17"/>
  <c r="X351" i="17"/>
  <c r="V351" i="17"/>
  <c r="AH351" i="17"/>
  <c r="AF351" i="17"/>
  <c r="M351" i="17"/>
  <c r="AL351" i="17"/>
  <c r="Y351" i="17"/>
  <c r="L351" i="17"/>
  <c r="J342" i="17"/>
  <c r="J351" i="17" s="1"/>
  <c r="G304" i="17" l="1"/>
  <c r="F304" i="17"/>
  <c r="E304" i="17"/>
  <c r="E295" i="17"/>
  <c r="F295" i="17"/>
  <c r="G295" i="17"/>
  <c r="H295" i="17"/>
  <c r="I295" i="17"/>
  <c r="K295" i="17"/>
  <c r="E280" i="17"/>
  <c r="E293" i="17" s="1"/>
  <c r="E300" i="17" s="1"/>
  <c r="F280" i="17"/>
  <c r="G280" i="17"/>
  <c r="K288" i="17"/>
  <c r="J288" i="17"/>
  <c r="I288" i="17"/>
  <c r="H288" i="17"/>
  <c r="G288" i="17"/>
  <c r="F288" i="17"/>
  <c r="E288" i="17"/>
  <c r="G286" i="17"/>
  <c r="F286" i="17"/>
  <c r="E286" i="17"/>
  <c r="G285" i="17"/>
  <c r="F285" i="17"/>
  <c r="E285" i="17"/>
  <c r="G284" i="17"/>
  <c r="F284" i="17"/>
  <c r="E284" i="17"/>
  <c r="G283" i="17"/>
  <c r="F283" i="17"/>
  <c r="E283" i="17"/>
  <c r="G282" i="17"/>
  <c r="F282" i="17"/>
  <c r="E282" i="17"/>
  <c r="G281" i="17"/>
  <c r="F281" i="17"/>
  <c r="E281" i="17"/>
  <c r="G279" i="17"/>
  <c r="F279" i="17"/>
  <c r="E279" i="17"/>
  <c r="E292" i="17" s="1"/>
  <c r="E299" i="17" s="1"/>
  <c r="G278" i="17"/>
  <c r="F278" i="17"/>
  <c r="E278" i="17"/>
  <c r="E291" i="17" s="1"/>
  <c r="E298" i="17" s="1"/>
  <c r="G277" i="17"/>
  <c r="F277" i="17"/>
  <c r="E277" i="17"/>
  <c r="E290" i="17" s="1"/>
  <c r="E297" i="17" s="1"/>
  <c r="G276" i="17"/>
  <c r="F276" i="17"/>
  <c r="E276" i="17"/>
  <c r="E289" i="17" s="1"/>
  <c r="E296" i="17" s="1"/>
  <c r="G275" i="17"/>
  <c r="F275" i="17"/>
  <c r="E275" i="17"/>
  <c r="C10" i="24"/>
  <c r="K179" i="17"/>
  <c r="I179" i="17"/>
  <c r="H179" i="17"/>
  <c r="G179" i="17"/>
  <c r="F179" i="17"/>
  <c r="E179" i="17"/>
  <c r="C8" i="24"/>
  <c r="C6" i="24"/>
  <c r="L320" i="17" l="1"/>
  <c r="O321" i="17"/>
  <c r="W321" i="17"/>
  <c r="AE321" i="17"/>
  <c r="AM321" i="17"/>
  <c r="AU321" i="17"/>
  <c r="P321" i="17"/>
  <c r="AB321" i="17"/>
  <c r="T321" i="17"/>
  <c r="AH321" i="17"/>
  <c r="X321" i="17"/>
  <c r="AL321" i="17"/>
  <c r="L321" i="17"/>
  <c r="R321" i="17"/>
  <c r="AD321" i="17"/>
  <c r="AQ321" i="17"/>
  <c r="AF321" i="17"/>
  <c r="N321" i="17"/>
  <c r="AS321" i="17"/>
  <c r="AI321" i="17"/>
  <c r="AV321" i="17"/>
  <c r="AT321" i="17"/>
  <c r="AK321" i="17"/>
  <c r="AA321" i="17"/>
  <c r="AO321" i="17"/>
  <c r="AN321" i="17"/>
  <c r="AP321" i="17"/>
  <c r="Q321" i="17"/>
  <c r="V321" i="17"/>
  <c r="AC321" i="17"/>
  <c r="S321" i="17"/>
  <c r="AG321" i="17"/>
  <c r="U321" i="17"/>
  <c r="Z321" i="17"/>
  <c r="Y321" i="17"/>
  <c r="M321" i="17"/>
  <c r="AR321" i="17"/>
  <c r="AJ321" i="17"/>
  <c r="AB322" i="17"/>
  <c r="AJ322" i="17"/>
  <c r="T322" i="17"/>
  <c r="L322" i="17"/>
  <c r="AR322" i="17"/>
  <c r="AA322" i="17"/>
  <c r="AO322" i="17"/>
  <c r="AE322" i="17"/>
  <c r="AS322" i="17"/>
  <c r="S322" i="17"/>
  <c r="AG322" i="17"/>
  <c r="AV322" i="17"/>
  <c r="W322" i="17"/>
  <c r="AK322" i="17"/>
  <c r="Y322" i="17"/>
  <c r="P322" i="17"/>
  <c r="AN322" i="17"/>
  <c r="O322" i="17"/>
  <c r="AT322" i="17"/>
  <c r="AC322" i="17"/>
  <c r="Q322" i="17"/>
  <c r="AF322" i="17"/>
  <c r="U322" i="17"/>
  <c r="AL322" i="17"/>
  <c r="AP322" i="17"/>
  <c r="X322" i="17"/>
  <c r="AD322" i="17"/>
  <c r="M322" i="17"/>
  <c r="AH322" i="17"/>
  <c r="V322" i="17"/>
  <c r="AQ322" i="17"/>
  <c r="R322" i="17"/>
  <c r="Z322" i="17"/>
  <c r="AU322" i="17"/>
  <c r="N322" i="17"/>
  <c r="AI322" i="17"/>
  <c r="AM322" i="17"/>
  <c r="AG320" i="17"/>
  <c r="W320" i="17"/>
  <c r="AP320" i="17"/>
  <c r="AK320" i="17"/>
  <c r="Y320" i="17"/>
  <c r="O320" i="17"/>
  <c r="Z320" i="17"/>
  <c r="AC320" i="17"/>
  <c r="AQ320" i="17"/>
  <c r="AR320" i="17"/>
  <c r="Q320" i="17"/>
  <c r="R320" i="17"/>
  <c r="R323" i="17" s="1"/>
  <c r="R328" i="17" s="1"/>
  <c r="U320" i="17"/>
  <c r="AI320" i="17"/>
  <c r="AJ320" i="17"/>
  <c r="AL320" i="17"/>
  <c r="M320" i="17"/>
  <c r="AA320" i="17"/>
  <c r="T320" i="17"/>
  <c r="AV320" i="17"/>
  <c r="AH320" i="17"/>
  <c r="AD320" i="17"/>
  <c r="AB320" i="17"/>
  <c r="S320" i="17"/>
  <c r="AN320" i="17"/>
  <c r="AF320" i="17"/>
  <c r="AU320" i="17"/>
  <c r="AT320" i="17"/>
  <c r="V320" i="17"/>
  <c r="X320" i="17"/>
  <c r="P320" i="17"/>
  <c r="AM320" i="17"/>
  <c r="N320" i="17"/>
  <c r="AO320" i="17"/>
  <c r="AE320" i="17"/>
  <c r="AS320" i="17"/>
  <c r="C4" i="24"/>
  <c r="K52" i="17"/>
  <c r="L52" i="17"/>
  <c r="M52" i="17"/>
  <c r="N52" i="17"/>
  <c r="O52" i="17"/>
  <c r="P52" i="17"/>
  <c r="Q52" i="17"/>
  <c r="R52" i="17"/>
  <c r="S52" i="17"/>
  <c r="T52" i="17"/>
  <c r="U52" i="17"/>
  <c r="V52" i="17"/>
  <c r="W52" i="17"/>
  <c r="X52" i="17"/>
  <c r="Y52" i="17"/>
  <c r="Z52" i="17"/>
  <c r="AA52" i="17"/>
  <c r="AB52" i="17"/>
  <c r="AC52" i="17"/>
  <c r="AD52" i="17"/>
  <c r="AE52" i="17"/>
  <c r="AF52" i="17"/>
  <c r="AG52" i="17"/>
  <c r="AH52" i="17"/>
  <c r="AI52" i="17"/>
  <c r="AJ52" i="17"/>
  <c r="AK52" i="17"/>
  <c r="AL52" i="17"/>
  <c r="AM52" i="17"/>
  <c r="AN52" i="17"/>
  <c r="AO52" i="17"/>
  <c r="AP52" i="17"/>
  <c r="AQ52" i="17"/>
  <c r="AR52" i="17"/>
  <c r="AS52" i="17"/>
  <c r="AT52" i="17"/>
  <c r="AU52" i="17"/>
  <c r="AV52" i="17"/>
  <c r="N45" i="17"/>
  <c r="N46" i="17" s="1"/>
  <c r="O45" i="17"/>
  <c r="O46" i="17" s="1"/>
  <c r="P45" i="17"/>
  <c r="P46" i="17" s="1"/>
  <c r="Q45" i="17"/>
  <c r="Q46" i="17" s="1"/>
  <c r="R45" i="17"/>
  <c r="R46" i="17" s="1"/>
  <c r="S45" i="17"/>
  <c r="S46" i="17" s="1"/>
  <c r="T45" i="17"/>
  <c r="T46" i="17" s="1"/>
  <c r="U45" i="17"/>
  <c r="U46" i="17" s="1"/>
  <c r="V45" i="17"/>
  <c r="V46" i="17" s="1"/>
  <c r="W45" i="17"/>
  <c r="W46" i="17" s="1"/>
  <c r="X45" i="17"/>
  <c r="X46" i="17" s="1"/>
  <c r="Y45" i="17"/>
  <c r="Y46" i="17" s="1"/>
  <c r="Z45" i="17"/>
  <c r="Z46" i="17" s="1"/>
  <c r="AA45" i="17"/>
  <c r="AA46" i="17" s="1"/>
  <c r="AB45" i="17"/>
  <c r="AB46" i="17" s="1"/>
  <c r="AC45" i="17"/>
  <c r="AC46" i="17" s="1"/>
  <c r="AD45" i="17"/>
  <c r="AD46" i="17" s="1"/>
  <c r="AE45" i="17"/>
  <c r="AE46" i="17" s="1"/>
  <c r="AF45" i="17"/>
  <c r="AF46" i="17" s="1"/>
  <c r="AG45" i="17"/>
  <c r="AG46" i="17" s="1"/>
  <c r="AH45" i="17"/>
  <c r="AH46" i="17" s="1"/>
  <c r="AI45" i="17"/>
  <c r="AI46" i="17" s="1"/>
  <c r="AJ45" i="17"/>
  <c r="AJ46" i="17" s="1"/>
  <c r="AK45" i="17"/>
  <c r="AK46" i="17" s="1"/>
  <c r="AL45" i="17"/>
  <c r="AL46" i="17" s="1"/>
  <c r="AM45" i="17"/>
  <c r="AM46" i="17" s="1"/>
  <c r="AN45" i="17"/>
  <c r="AN46" i="17" s="1"/>
  <c r="AO45" i="17"/>
  <c r="AO46" i="17" s="1"/>
  <c r="AP45" i="17"/>
  <c r="AP46" i="17" s="1"/>
  <c r="AQ45" i="17"/>
  <c r="AQ46" i="17" s="1"/>
  <c r="AR45" i="17"/>
  <c r="AR46" i="17" s="1"/>
  <c r="AS45" i="17"/>
  <c r="AS46" i="17" s="1"/>
  <c r="AT45" i="17"/>
  <c r="AT46" i="17" s="1"/>
  <c r="AU45" i="17"/>
  <c r="AU46" i="17" s="1"/>
  <c r="AV45" i="17"/>
  <c r="AV46" i="17" s="1"/>
  <c r="K36" i="17"/>
  <c r="L36" i="17"/>
  <c r="M36" i="17"/>
  <c r="N36" i="17"/>
  <c r="O36" i="17"/>
  <c r="P36" i="17"/>
  <c r="Q36" i="17"/>
  <c r="R36" i="17"/>
  <c r="S36" i="17"/>
  <c r="T36" i="17"/>
  <c r="U36" i="17"/>
  <c r="V36" i="17"/>
  <c r="W36" i="17"/>
  <c r="X36" i="17"/>
  <c r="Y36" i="17"/>
  <c r="Z36" i="17"/>
  <c r="AA36" i="17"/>
  <c r="AB36" i="17"/>
  <c r="AC36" i="17"/>
  <c r="AD36" i="17"/>
  <c r="AE36" i="17"/>
  <c r="AF36" i="17"/>
  <c r="AG36" i="17"/>
  <c r="AH36" i="17"/>
  <c r="AI36" i="17"/>
  <c r="AJ36" i="17"/>
  <c r="AK36" i="17"/>
  <c r="AL36" i="17"/>
  <c r="AM36" i="17"/>
  <c r="AN36" i="17"/>
  <c r="AO36" i="17"/>
  <c r="AP36" i="17"/>
  <c r="AQ36" i="17"/>
  <c r="AR36" i="17"/>
  <c r="AS36" i="17"/>
  <c r="AT36" i="17"/>
  <c r="AU36" i="17"/>
  <c r="AV36" i="17"/>
  <c r="AL323" i="17" l="1"/>
  <c r="AL328" i="17" s="1"/>
  <c r="AC323" i="17"/>
  <c r="AC328" i="17" s="1"/>
  <c r="V323" i="17"/>
  <c r="V328" i="17" s="1"/>
  <c r="AH323" i="17"/>
  <c r="AH328" i="17" s="1"/>
  <c r="U323" i="17"/>
  <c r="U328" i="17" s="1"/>
  <c r="AK323" i="17"/>
  <c r="AK328" i="17" s="1"/>
  <c r="AE323" i="17"/>
  <c r="AE328" i="17" s="1"/>
  <c r="AI323" i="17"/>
  <c r="AI328" i="17" s="1"/>
  <c r="N323" i="17"/>
  <c r="N328" i="17" s="1"/>
  <c r="AS323" i="17"/>
  <c r="AS328" i="17" s="1"/>
  <c r="AT323" i="17"/>
  <c r="AT328" i="17" s="1"/>
  <c r="AV323" i="17"/>
  <c r="AV328" i="17" s="1"/>
  <c r="Q323" i="17"/>
  <c r="Q328" i="17" s="1"/>
  <c r="AP323" i="17"/>
  <c r="AP328" i="17" s="1"/>
  <c r="Y323" i="17"/>
  <c r="Y328" i="17" s="1"/>
  <c r="T323" i="17"/>
  <c r="T328" i="17" s="1"/>
  <c r="AO323" i="17"/>
  <c r="AO328" i="17" s="1"/>
  <c r="AR323" i="17"/>
  <c r="AR328" i="17" s="1"/>
  <c r="W323" i="17"/>
  <c r="W328" i="17" s="1"/>
  <c r="AM323" i="17"/>
  <c r="AM328" i="17" s="1"/>
  <c r="L323" i="17"/>
  <c r="L328" i="17" s="1"/>
  <c r="AF323" i="17"/>
  <c r="AF328" i="17" s="1"/>
  <c r="M323" i="17"/>
  <c r="M328" i="17" s="1"/>
  <c r="AU323" i="17"/>
  <c r="AU328" i="17" s="1"/>
  <c r="AA323" i="17"/>
  <c r="AA328" i="17" s="1"/>
  <c r="AN323" i="17"/>
  <c r="AN328" i="17" s="1"/>
  <c r="AQ323" i="17"/>
  <c r="AQ328" i="17" s="1"/>
  <c r="AG323" i="17"/>
  <c r="AG328" i="17" s="1"/>
  <c r="S323" i="17"/>
  <c r="S328" i="17" s="1"/>
  <c r="P323" i="17"/>
  <c r="P328" i="17" s="1"/>
  <c r="AB323" i="17"/>
  <c r="AB328" i="17" s="1"/>
  <c r="AJ323" i="17"/>
  <c r="AJ328" i="17" s="1"/>
  <c r="Z323" i="17"/>
  <c r="Z328" i="17" s="1"/>
  <c r="X323" i="17"/>
  <c r="X328" i="17" s="1"/>
  <c r="AD323" i="17"/>
  <c r="AD328" i="17" s="1"/>
  <c r="O323" i="17"/>
  <c r="O328" i="17" s="1"/>
  <c r="J321" i="17"/>
  <c r="J320" i="17"/>
  <c r="J322" i="17"/>
  <c r="F25" i="17"/>
  <c r="G25" i="17"/>
  <c r="H25" i="17"/>
  <c r="I25" i="17"/>
  <c r="J25" i="17"/>
  <c r="K25" i="17"/>
  <c r="K22" i="17"/>
  <c r="H22" i="17"/>
  <c r="E21" i="17"/>
  <c r="F21" i="17"/>
  <c r="G21" i="17"/>
  <c r="G22" i="17" s="1"/>
  <c r="H21" i="17"/>
  <c r="I21" i="17"/>
  <c r="J21" i="17"/>
  <c r="K21" i="17"/>
  <c r="L21" i="17"/>
  <c r="M21" i="17"/>
  <c r="N21" i="17"/>
  <c r="O2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T12" i="17"/>
  <c r="T52" i="40" s="1"/>
  <c r="U12" i="17"/>
  <c r="U52" i="40" s="1"/>
  <c r="V12" i="17"/>
  <c r="V52" i="40" s="1"/>
  <c r="W12" i="17"/>
  <c r="W52" i="40" s="1"/>
  <c r="X12" i="17"/>
  <c r="X52" i="40" s="1"/>
  <c r="Y12" i="17"/>
  <c r="Y52" i="40" s="1"/>
  <c r="Z12" i="17"/>
  <c r="Z52" i="40" s="1"/>
  <c r="AA12" i="17"/>
  <c r="AA52" i="40" s="1"/>
  <c r="AB12" i="17"/>
  <c r="AB52" i="40" s="1"/>
  <c r="AC12" i="17"/>
  <c r="AC52" i="40" s="1"/>
  <c r="AD12" i="17"/>
  <c r="AD52" i="40" s="1"/>
  <c r="E10" i="17"/>
  <c r="F10" i="17"/>
  <c r="G10" i="17"/>
  <c r="H10" i="17"/>
  <c r="J10" i="17"/>
  <c r="K10" i="17"/>
  <c r="L10" i="17"/>
  <c r="M10" i="17"/>
  <c r="N10" i="17"/>
  <c r="O10" i="17"/>
  <c r="P10" i="17"/>
  <c r="Q10" i="17"/>
  <c r="R10" i="17"/>
  <c r="S10" i="17"/>
  <c r="T10" i="17"/>
  <c r="U10" i="17"/>
  <c r="V10" i="17"/>
  <c r="W10" i="17"/>
  <c r="X10" i="17"/>
  <c r="Y10" i="17"/>
  <c r="Z10" i="17"/>
  <c r="AA10" i="17"/>
  <c r="AB10" i="17"/>
  <c r="AC10" i="17"/>
  <c r="AD10" i="17"/>
  <c r="AE10" i="17"/>
  <c r="AE12" i="17" s="1"/>
  <c r="AE52" i="40" s="1"/>
  <c r="AF10" i="17"/>
  <c r="AF12" i="17" s="1"/>
  <c r="AF52" i="40" s="1"/>
  <c r="AG10" i="17"/>
  <c r="AH10" i="17"/>
  <c r="AI10" i="17"/>
  <c r="AJ10" i="17"/>
  <c r="AK10" i="17"/>
  <c r="AL10" i="17"/>
  <c r="AM10" i="17"/>
  <c r="AN10" i="17"/>
  <c r="AO10" i="17"/>
  <c r="AP10" i="17"/>
  <c r="AQ10" i="17"/>
  <c r="AR10" i="17"/>
  <c r="AS10" i="17"/>
  <c r="AT10" i="17"/>
  <c r="AU10" i="17"/>
  <c r="AV10" i="17"/>
  <c r="J323" i="17" l="1"/>
  <c r="J328" i="17" s="1"/>
  <c r="F324" i="17"/>
  <c r="Z53" i="40"/>
  <c r="AA53" i="40"/>
  <c r="AC53" i="40"/>
  <c r="Y53" i="40"/>
  <c r="W53" i="40"/>
  <c r="AF53" i="40"/>
  <c r="X53" i="40"/>
  <c r="AE53" i="40"/>
  <c r="AD53" i="40"/>
  <c r="V53" i="40"/>
  <c r="U53" i="40"/>
  <c r="AB53" i="40"/>
  <c r="R12" i="17"/>
  <c r="R52" i="40" s="1"/>
  <c r="M12" i="17"/>
  <c r="M52" i="40" s="1"/>
  <c r="AH12" i="17"/>
  <c r="AH52" i="40" s="1"/>
  <c r="AS12" i="17"/>
  <c r="AS52" i="40" s="1"/>
  <c r="AO12" i="17"/>
  <c r="AO52" i="40" s="1"/>
  <c r="AG12" i="17"/>
  <c r="AG52" i="40" s="1"/>
  <c r="AP12" i="17"/>
  <c r="AP52" i="40" s="1"/>
  <c r="Q12" i="17"/>
  <c r="Q52" i="40" s="1"/>
  <c r="AU12" i="17"/>
  <c r="AU52" i="40" s="1"/>
  <c r="AM12" i="17"/>
  <c r="AM52" i="40" s="1"/>
  <c r="O12" i="17"/>
  <c r="O52" i="40" s="1"/>
  <c r="AK12" i="17"/>
  <c r="AK52" i="40" s="1"/>
  <c r="AR12" i="17"/>
  <c r="AR52" i="40" s="1"/>
  <c r="AJ12" i="17"/>
  <c r="AJ52" i="40" s="1"/>
  <c r="L12" i="17"/>
  <c r="L52" i="40" s="1"/>
  <c r="AQ12" i="17"/>
  <c r="AQ52" i="40" s="1"/>
  <c r="AI12" i="17"/>
  <c r="AI52" i="40" s="1"/>
  <c r="S12" i="17"/>
  <c r="S52" i="40" s="1"/>
  <c r="T53" i="40" s="1"/>
  <c r="AV12" i="17"/>
  <c r="AV52" i="40" s="1"/>
  <c r="AN12" i="17"/>
  <c r="AN52" i="40" s="1"/>
  <c r="P12" i="17"/>
  <c r="P52" i="40" s="1"/>
  <c r="AT12" i="17"/>
  <c r="AT52" i="40" s="1"/>
  <c r="AL12" i="17"/>
  <c r="AL52" i="40" s="1"/>
  <c r="N12" i="17"/>
  <c r="N52" i="40" s="1"/>
  <c r="G133" i="41"/>
  <c r="G635" i="17" s="1"/>
  <c r="E133" i="41"/>
  <c r="E635" i="17" s="1"/>
  <c r="E886" i="17"/>
  <c r="F886" i="17"/>
  <c r="F49" i="38" s="1"/>
  <c r="G886" i="17"/>
  <c r="G49" i="38" s="1"/>
  <c r="H886" i="17"/>
  <c r="H49" i="38" s="1"/>
  <c r="I886" i="17"/>
  <c r="I49" i="38" s="1"/>
  <c r="K886" i="17"/>
  <c r="K49" i="38" s="1"/>
  <c r="E791" i="17"/>
  <c r="E150" i="26" s="1"/>
  <c r="F791" i="17"/>
  <c r="F150" i="26" s="1"/>
  <c r="G791" i="17"/>
  <c r="G150" i="26" s="1"/>
  <c r="H791" i="17"/>
  <c r="H150" i="26" s="1"/>
  <c r="I791" i="17"/>
  <c r="I150" i="26" s="1"/>
  <c r="K791" i="17"/>
  <c r="K150" i="26" s="1"/>
  <c r="E655" i="17"/>
  <c r="F655" i="17"/>
  <c r="G655" i="17"/>
  <c r="H655" i="17"/>
  <c r="I655" i="17"/>
  <c r="K655" i="17"/>
  <c r="G68" i="40"/>
  <c r="F68" i="40"/>
  <c r="E68" i="40"/>
  <c r="K44" i="37"/>
  <c r="J44" i="37"/>
  <c r="I44" i="37"/>
  <c r="H44" i="37"/>
  <c r="G44" i="37"/>
  <c r="F44" i="37"/>
  <c r="E44" i="37"/>
  <c r="E35" i="37"/>
  <c r="F35" i="37"/>
  <c r="G35" i="37"/>
  <c r="H35" i="37"/>
  <c r="I35" i="37"/>
  <c r="J35" i="37"/>
  <c r="K35" i="37"/>
  <c r="P6" i="44"/>
  <c r="P10" i="44"/>
  <c r="O10" i="44"/>
  <c r="P9" i="44"/>
  <c r="O9" i="44"/>
  <c r="P8" i="44"/>
  <c r="O8" i="44"/>
  <c r="P7" i="44"/>
  <c r="O7" i="44"/>
  <c r="N10" i="44"/>
  <c r="N9" i="44"/>
  <c r="N8" i="44"/>
  <c r="N7" i="44"/>
  <c r="N6" i="44"/>
  <c r="P5" i="44"/>
  <c r="N5" i="44"/>
  <c r="B112" i="43"/>
  <c r="G123" i="41"/>
  <c r="E123" i="41"/>
  <c r="J7" i="44" l="1"/>
  <c r="J5" i="44"/>
  <c r="J8" i="44"/>
  <c r="J10" i="44"/>
  <c r="J6" i="44"/>
  <c r="J9" i="44"/>
  <c r="E49" i="38"/>
  <c r="E912" i="17"/>
  <c r="AH53" i="40"/>
  <c r="AK53" i="40"/>
  <c r="AS53" i="40"/>
  <c r="AM53" i="40"/>
  <c r="M53" i="40"/>
  <c r="S53" i="40"/>
  <c r="O53" i="40"/>
  <c r="AR53" i="40"/>
  <c r="AJ53" i="40"/>
  <c r="AV53" i="40"/>
  <c r="Q53" i="40"/>
  <c r="AO53" i="40"/>
  <c r="R53" i="40"/>
  <c r="AQ53" i="40"/>
  <c r="AU53" i="40"/>
  <c r="AP53" i="40"/>
  <c r="AL53" i="40"/>
  <c r="AT53" i="40"/>
  <c r="P53" i="40"/>
  <c r="AI53" i="40"/>
  <c r="AN53" i="40"/>
  <c r="N53" i="40"/>
  <c r="AG53" i="40"/>
  <c r="I912" i="17"/>
  <c r="F171" i="43" s="1"/>
  <c r="E984" i="17"/>
  <c r="C56" i="25" s="1"/>
  <c r="E71" i="42" s="1"/>
  <c r="G984" i="17"/>
  <c r="E56" i="25" s="1"/>
  <c r="G71" i="42" s="1"/>
  <c r="B107" i="43"/>
  <c r="B106" i="43"/>
  <c r="J110" i="43"/>
  <c r="I110" i="43"/>
  <c r="J15" i="44"/>
  <c r="G163" i="41"/>
  <c r="E163" i="41"/>
  <c r="B100" i="43"/>
  <c r="B94" i="43"/>
  <c r="B88" i="43"/>
  <c r="B82" i="43"/>
  <c r="B76" i="43"/>
  <c r="B70" i="43"/>
  <c r="B64" i="43"/>
  <c r="B101" i="43"/>
  <c r="G116" i="41"/>
  <c r="E116" i="41"/>
  <c r="J104" i="43"/>
  <c r="I104" i="43"/>
  <c r="H104" i="43"/>
  <c r="K478" i="17"/>
  <c r="I478" i="17"/>
  <c r="H478" i="17"/>
  <c r="G478" i="17"/>
  <c r="F478" i="17"/>
  <c r="K477" i="17"/>
  <c r="I477" i="17"/>
  <c r="H477" i="17"/>
  <c r="G477" i="17"/>
  <c r="F477" i="17"/>
  <c r="E478" i="17" l="1"/>
  <c r="E477" i="17"/>
  <c r="E463" i="17"/>
  <c r="F463" i="17"/>
  <c r="G463" i="17"/>
  <c r="H463" i="17"/>
  <c r="I463" i="17"/>
  <c r="J463" i="17"/>
  <c r="K463" i="17"/>
  <c r="G469" i="17"/>
  <c r="F469" i="17"/>
  <c r="E469" i="17"/>
  <c r="G466" i="17"/>
  <c r="E466" i="17"/>
  <c r="F468" i="17"/>
  <c r="F467" i="17"/>
  <c r="F464" i="17"/>
  <c r="G464" i="17"/>
  <c r="H464" i="17"/>
  <c r="I464" i="17"/>
  <c r="J464" i="17"/>
  <c r="K464" i="17"/>
  <c r="F157" i="41"/>
  <c r="F97" i="37"/>
  <c r="G97" i="37"/>
  <c r="H97" i="37"/>
  <c r="I97" i="37"/>
  <c r="K97" i="37"/>
  <c r="F65" i="40"/>
  <c r="G65" i="40"/>
  <c r="H65" i="40"/>
  <c r="I65" i="40"/>
  <c r="J65" i="40"/>
  <c r="K65" i="40"/>
  <c r="AD69" i="40"/>
  <c r="AC69" i="40"/>
  <c r="AB69" i="40"/>
  <c r="W69" i="40"/>
  <c r="V69" i="40"/>
  <c r="U69" i="40"/>
  <c r="T69" i="40"/>
  <c r="S71" i="40"/>
  <c r="S664" i="17" s="1"/>
  <c r="S666" i="17" s="1"/>
  <c r="R71" i="40"/>
  <c r="R664" i="17" s="1"/>
  <c r="R666" i="17" s="1"/>
  <c r="Q71" i="40"/>
  <c r="Q664" i="17" s="1"/>
  <c r="Q666" i="17" s="1"/>
  <c r="P71" i="40"/>
  <c r="P664" i="17" s="1"/>
  <c r="P666" i="17" s="1"/>
  <c r="O69" i="40"/>
  <c r="N69" i="40"/>
  <c r="M69" i="40"/>
  <c r="L69" i="40"/>
  <c r="E59" i="40"/>
  <c r="F59" i="40"/>
  <c r="G59" i="40"/>
  <c r="H59" i="40"/>
  <c r="I59" i="40"/>
  <c r="J59" i="40"/>
  <c r="K59" i="40"/>
  <c r="P69" i="40" l="1"/>
  <c r="V71" i="40"/>
  <c r="V664" i="17" s="1"/>
  <c r="V666" i="17" s="1"/>
  <c r="U71" i="40"/>
  <c r="U664" i="17" s="1"/>
  <c r="U666" i="17" s="1"/>
  <c r="AE69" i="40"/>
  <c r="AE71" i="40" s="1"/>
  <c r="AE664" i="17" s="1"/>
  <c r="AE666" i="17" s="1"/>
  <c r="O71" i="40"/>
  <c r="O664" i="17" s="1"/>
  <c r="O666" i="17" s="1"/>
  <c r="W71" i="40"/>
  <c r="W664" i="17" s="1"/>
  <c r="W666" i="17" s="1"/>
  <c r="X69" i="40"/>
  <c r="X71" i="40" s="1"/>
  <c r="X664" i="17" s="1"/>
  <c r="X666" i="17" s="1"/>
  <c r="AD71" i="40"/>
  <c r="AD664" i="17" s="1"/>
  <c r="AD666" i="17" s="1"/>
  <c r="N71" i="40"/>
  <c r="N664" i="17" s="1"/>
  <c r="N666" i="17" s="1"/>
  <c r="AC71" i="40"/>
  <c r="AC664" i="17" s="1"/>
  <c r="AC666" i="17" s="1"/>
  <c r="Y69" i="40"/>
  <c r="Y71" i="40" s="1"/>
  <c r="Y664" i="17" s="1"/>
  <c r="Y666" i="17" s="1"/>
  <c r="R69" i="40"/>
  <c r="M71" i="40"/>
  <c r="M664" i="17" s="1"/>
  <c r="M666" i="17" s="1"/>
  <c r="Z69" i="40"/>
  <c r="Z71" i="40" s="1"/>
  <c r="Z664" i="17" s="1"/>
  <c r="Z666" i="17" s="1"/>
  <c r="S69" i="40"/>
  <c r="AA69" i="40"/>
  <c r="AA71" i="40" s="1"/>
  <c r="AA664" i="17" s="1"/>
  <c r="AA666" i="17" s="1"/>
  <c r="AB71" i="40"/>
  <c r="AB664" i="17" s="1"/>
  <c r="AB666" i="17" s="1"/>
  <c r="T71" i="40"/>
  <c r="T664" i="17" s="1"/>
  <c r="T666" i="17" s="1"/>
  <c r="L71" i="40"/>
  <c r="L664" i="17" s="1"/>
  <c r="L666" i="17" s="1"/>
  <c r="Q69" i="40"/>
  <c r="F879" i="17"/>
  <c r="F42" i="38" s="1"/>
  <c r="G879" i="17"/>
  <c r="G42" i="38" s="1"/>
  <c r="H879" i="17"/>
  <c r="H42" i="38" s="1"/>
  <c r="I879" i="17"/>
  <c r="I42" i="38" s="1"/>
  <c r="K879" i="17"/>
  <c r="K42" i="38" s="1"/>
  <c r="F784" i="17"/>
  <c r="F143" i="26" s="1"/>
  <c r="G784" i="17"/>
  <c r="G143" i="26" s="1"/>
  <c r="H784" i="17"/>
  <c r="H143" i="26" s="1"/>
  <c r="I784" i="17"/>
  <c r="I143" i="26" s="1"/>
  <c r="K784" i="17"/>
  <c r="K143" i="26" s="1"/>
  <c r="F595" i="17"/>
  <c r="G595" i="17"/>
  <c r="H595" i="17"/>
  <c r="I595" i="17"/>
  <c r="K595" i="17"/>
  <c r="F556" i="17"/>
  <c r="G556" i="17"/>
  <c r="H556" i="17"/>
  <c r="I556" i="17"/>
  <c r="K556" i="17"/>
  <c r="F494" i="17"/>
  <c r="G494" i="17"/>
  <c r="H494" i="17"/>
  <c r="I494" i="17"/>
  <c r="K494" i="17"/>
  <c r="E307" i="17"/>
  <c r="E784" i="17" s="1"/>
  <c r="E143" i="26" s="1"/>
  <c r="E305" i="17"/>
  <c r="F305" i="17"/>
  <c r="G305" i="17"/>
  <c r="H305" i="17"/>
  <c r="I305" i="17"/>
  <c r="K305" i="17"/>
  <c r="E556" i="17" l="1"/>
  <c r="E879" i="17"/>
  <c r="I905" i="17"/>
  <c r="E494" i="17"/>
  <c r="E97" i="37"/>
  <c r="E595" i="17"/>
  <c r="G977" i="17"/>
  <c r="E49" i="25" s="1"/>
  <c r="G64" i="42" s="1"/>
  <c r="N96" i="43"/>
  <c r="L96" i="43"/>
  <c r="B95" i="43"/>
  <c r="J98" i="43"/>
  <c r="I98" i="43"/>
  <c r="H98" i="43"/>
  <c r="B89" i="43"/>
  <c r="J92" i="43"/>
  <c r="I92" i="43"/>
  <c r="H92" i="43"/>
  <c r="B83" i="43"/>
  <c r="J86" i="43"/>
  <c r="I86" i="43"/>
  <c r="H86" i="43"/>
  <c r="J80" i="43"/>
  <c r="H80" i="43"/>
  <c r="I80" i="43"/>
  <c r="B77" i="43"/>
  <c r="G156" i="1"/>
  <c r="E156" i="1"/>
  <c r="G135" i="1"/>
  <c r="E135" i="1"/>
  <c r="J74" i="43"/>
  <c r="H74" i="43"/>
  <c r="I74" i="43"/>
  <c r="B71" i="43"/>
  <c r="G46" i="41"/>
  <c r="G75" i="17" s="1"/>
  <c r="E46" i="41"/>
  <c r="E75" i="17" s="1"/>
  <c r="I65" i="43"/>
  <c r="J68" i="43"/>
  <c r="I68" i="43"/>
  <c r="H68" i="43"/>
  <c r="G24" i="41"/>
  <c r="G33" i="40"/>
  <c r="F33" i="40"/>
  <c r="H198" i="1" s="1"/>
  <c r="E33" i="40"/>
  <c r="G273" i="1"/>
  <c r="F273" i="1"/>
  <c r="G272" i="1"/>
  <c r="F272" i="1"/>
  <c r="G209" i="1"/>
  <c r="G208" i="1"/>
  <c r="F209" i="1"/>
  <c r="F208" i="1"/>
  <c r="D45" i="43"/>
  <c r="C45" i="43"/>
  <c r="F22" i="41" s="1"/>
  <c r="B45" i="43"/>
  <c r="K282" i="1"/>
  <c r="J282" i="1"/>
  <c r="I282" i="1"/>
  <c r="H282" i="1"/>
  <c r="F282" i="1"/>
  <c r="K218" i="1"/>
  <c r="J218" i="1"/>
  <c r="I218" i="1"/>
  <c r="H218" i="1"/>
  <c r="F218" i="1"/>
  <c r="G46" i="40"/>
  <c r="F46" i="40"/>
  <c r="E46" i="40"/>
  <c r="A54" i="43"/>
  <c r="B65" i="43"/>
  <c r="E177" i="43"/>
  <c r="D177" i="43"/>
  <c r="C177" i="43"/>
  <c r="B177" i="43"/>
  <c r="E163" i="43"/>
  <c r="D163" i="43"/>
  <c r="C163" i="43"/>
  <c r="B163" i="43"/>
  <c r="F159" i="43"/>
  <c r="E159" i="43"/>
  <c r="D159" i="43"/>
  <c r="B159" i="43"/>
  <c r="F155" i="43"/>
  <c r="E155" i="43"/>
  <c r="D155" i="43"/>
  <c r="B155" i="43"/>
  <c r="F154" i="43"/>
  <c r="E154" i="43"/>
  <c r="D154" i="43"/>
  <c r="B154" i="43"/>
  <c r="E902" i="17"/>
  <c r="B162" i="43" s="1"/>
  <c r="E850" i="17"/>
  <c r="B138" i="43" s="1"/>
  <c r="F150" i="43"/>
  <c r="E150" i="43"/>
  <c r="F146" i="43"/>
  <c r="E146" i="43"/>
  <c r="F142" i="43"/>
  <c r="E142" i="43"/>
  <c r="D150" i="43"/>
  <c r="D146" i="43"/>
  <c r="D142" i="43"/>
  <c r="B150" i="43"/>
  <c r="B146" i="43"/>
  <c r="B142" i="43"/>
  <c r="I917" i="17"/>
  <c r="F175" i="43" s="1"/>
  <c r="I915" i="17"/>
  <c r="F173" i="43" s="1"/>
  <c r="E876" i="17"/>
  <c r="F876" i="17"/>
  <c r="G876" i="17"/>
  <c r="H876" i="17"/>
  <c r="I876" i="17"/>
  <c r="J876" i="17"/>
  <c r="K876" i="17"/>
  <c r="I872" i="17"/>
  <c r="F160" i="43" s="1"/>
  <c r="E872" i="17"/>
  <c r="B160" i="43" s="1"/>
  <c r="E817" i="17"/>
  <c r="F817" i="17"/>
  <c r="G817" i="17"/>
  <c r="H817" i="17"/>
  <c r="I817" i="17"/>
  <c r="J817" i="17"/>
  <c r="K817" i="17"/>
  <c r="G23" i="41"/>
  <c r="I902" i="17" s="1"/>
  <c r="F162" i="43" s="1"/>
  <c r="F23" i="41"/>
  <c r="F900" i="17" s="1"/>
  <c r="E23" i="41"/>
  <c r="E847" i="17" s="1"/>
  <c r="E42" i="38" l="1"/>
  <c r="E905" i="17"/>
  <c r="AA288" i="1"/>
  <c r="W288" i="1"/>
  <c r="X288" i="1"/>
  <c r="Y288" i="1"/>
  <c r="Z288" i="1"/>
  <c r="E915" i="17"/>
  <c r="B173" i="43" s="1"/>
  <c r="B171" i="43"/>
  <c r="F54" i="43"/>
  <c r="E977" i="17"/>
  <c r="C49" i="25" s="1"/>
  <c r="E64" i="42" s="1"/>
  <c r="A59" i="43"/>
  <c r="L224" i="1"/>
  <c r="T224" i="1"/>
  <c r="M224" i="1"/>
  <c r="N224" i="1"/>
  <c r="V224" i="1"/>
  <c r="O224" i="1"/>
  <c r="W224" i="1"/>
  <c r="U224" i="1"/>
  <c r="P224" i="1"/>
  <c r="X224" i="1"/>
  <c r="Q224" i="1"/>
  <c r="Y224" i="1"/>
  <c r="R224" i="1"/>
  <c r="Z224" i="1"/>
  <c r="S224" i="1"/>
  <c r="AA224" i="1"/>
  <c r="G900" i="17"/>
  <c r="F847" i="17"/>
  <c r="G850" i="17" s="1"/>
  <c r="D138" i="43" s="1"/>
  <c r="G902" i="17"/>
  <c r="D162" i="43" s="1"/>
  <c r="E900" i="17"/>
  <c r="G847" i="17"/>
  <c r="E917" i="17"/>
  <c r="B175" i="43" s="1"/>
  <c r="D119" i="43" l="1"/>
  <c r="C101" i="43"/>
  <c r="F59" i="43"/>
  <c r="C89" i="43"/>
  <c r="C95" i="43"/>
  <c r="C77" i="43"/>
  <c r="C83" i="43"/>
  <c r="A65" i="43"/>
  <c r="C65" i="43"/>
  <c r="C71" i="43"/>
  <c r="C54" i="43"/>
  <c r="C59" i="43"/>
  <c r="F65" i="43" l="1"/>
  <c r="A71" i="43"/>
  <c r="A77" i="43" l="1"/>
  <c r="F71" i="43"/>
  <c r="G35" i="40"/>
  <c r="F35" i="40"/>
  <c r="E35" i="40"/>
  <c r="F208" i="17"/>
  <c r="H208" i="17"/>
  <c r="I208" i="17"/>
  <c r="J208" i="17"/>
  <c r="K208" i="17"/>
  <c r="G36" i="40"/>
  <c r="E34" i="40"/>
  <c r="F45" i="40"/>
  <c r="F275" i="1" s="1"/>
  <c r="E45" i="40"/>
  <c r="E275" i="1" s="1"/>
  <c r="G45" i="40"/>
  <c r="G275" i="1" s="1"/>
  <c r="E27" i="40"/>
  <c r="E28" i="40" s="1"/>
  <c r="E42" i="40" s="1"/>
  <c r="E370" i="17" s="1"/>
  <c r="J26" i="40"/>
  <c r="I26" i="40"/>
  <c r="H26" i="40"/>
  <c r="F22" i="40"/>
  <c r="E26" i="40"/>
  <c r="F26" i="40"/>
  <c r="G26" i="40"/>
  <c r="K26" i="40"/>
  <c r="D51" i="43"/>
  <c r="C51" i="43"/>
  <c r="B51" i="43"/>
  <c r="C42" i="25"/>
  <c r="E47" i="42" s="1"/>
  <c r="E409" i="17" l="1"/>
  <c r="E345" i="17"/>
  <c r="E29" i="40"/>
  <c r="E65" i="40" s="1"/>
  <c r="E464" i="17"/>
  <c r="F77" i="43"/>
  <c r="A83" i="43"/>
  <c r="G208" i="17"/>
  <c r="G218" i="1"/>
  <c r="G282" i="1"/>
  <c r="E36" i="40"/>
  <c r="E47" i="40"/>
  <c r="E49" i="40"/>
  <c r="D7" i="43"/>
  <c r="C7" i="43"/>
  <c r="B7" i="43"/>
  <c r="F83" i="43" l="1"/>
  <c r="A89" i="43"/>
  <c r="E208" i="17"/>
  <c r="E218" i="1"/>
  <c r="E282" i="1"/>
  <c r="G158" i="1"/>
  <c r="E158" i="1"/>
  <c r="G136" i="1"/>
  <c r="G23" i="42" s="1"/>
  <c r="E136" i="1"/>
  <c r="E23" i="42" s="1"/>
  <c r="G180" i="41"/>
  <c r="E180" i="41"/>
  <c r="G179" i="41"/>
  <c r="E179" i="41"/>
  <c r="G161" i="41"/>
  <c r="E161" i="41"/>
  <c r="G137" i="41"/>
  <c r="E137" i="41"/>
  <c r="G131" i="41"/>
  <c r="E131" i="41"/>
  <c r="G130" i="41"/>
  <c r="E130" i="41"/>
  <c r="G127" i="41"/>
  <c r="E127" i="41"/>
  <c r="G115" i="41"/>
  <c r="E115" i="41"/>
  <c r="G99" i="41"/>
  <c r="E99" i="41"/>
  <c r="G104" i="41"/>
  <c r="G24" i="42" s="1"/>
  <c r="E104" i="41"/>
  <c r="E24" i="42" s="1"/>
  <c r="G106" i="41"/>
  <c r="E106" i="41"/>
  <c r="G29" i="41"/>
  <c r="G21" i="42" s="1"/>
  <c r="G28" i="41"/>
  <c r="G20" i="42" s="1"/>
  <c r="G27" i="41"/>
  <c r="G19" i="42" s="1"/>
  <c r="G26" i="41"/>
  <c r="G18" i="42" s="1"/>
  <c r="G22" i="41"/>
  <c r="G12" i="40" s="1"/>
  <c r="E29" i="41"/>
  <c r="E21" i="42" s="1"/>
  <c r="E28" i="41"/>
  <c r="E20" i="42" s="1"/>
  <c r="E27" i="41"/>
  <c r="E19" i="42" s="1"/>
  <c r="E26" i="41"/>
  <c r="E18" i="42" s="1"/>
  <c r="G14" i="41"/>
  <c r="G16" i="42" s="1"/>
  <c r="E14" i="41"/>
  <c r="E16" i="42" s="1"/>
  <c r="G44" i="41"/>
  <c r="G15" i="42" s="1"/>
  <c r="E44" i="41"/>
  <c r="E15" i="42" s="1"/>
  <c r="G43" i="41"/>
  <c r="G14" i="42" s="1"/>
  <c r="E43" i="41"/>
  <c r="E14" i="42" s="1"/>
  <c r="G42" i="41"/>
  <c r="G13" i="42" s="1"/>
  <c r="E42" i="41"/>
  <c r="E13" i="42" s="1"/>
  <c r="G41" i="41"/>
  <c r="G12" i="42" s="1"/>
  <c r="E41" i="41"/>
  <c r="E12" i="42" s="1"/>
  <c r="G40" i="41"/>
  <c r="G11" i="42" s="1"/>
  <c r="E40" i="41"/>
  <c r="E11" i="42" s="1"/>
  <c r="G39" i="41"/>
  <c r="G10" i="42" s="1"/>
  <c r="E39" i="41"/>
  <c r="E10" i="42" s="1"/>
  <c r="G38" i="41"/>
  <c r="G9" i="42" s="1"/>
  <c r="E38" i="41"/>
  <c r="E9" i="42" s="1"/>
  <c r="G159" i="1"/>
  <c r="G22" i="42" s="1"/>
  <c r="E159" i="1"/>
  <c r="E22" i="42" s="1"/>
  <c r="C8" i="43"/>
  <c r="H6" i="43"/>
  <c r="I6" i="43" s="1"/>
  <c r="J6" i="43" s="1"/>
  <c r="K6" i="43" s="1"/>
  <c r="L6" i="43" s="1"/>
  <c r="M6" i="43" s="1"/>
  <c r="N6" i="43" s="1"/>
  <c r="O6" i="43" s="1"/>
  <c r="P6" i="43" s="1"/>
  <c r="Q6" i="43" s="1"/>
  <c r="R6" i="43" s="1"/>
  <c r="S6" i="43" s="1"/>
  <c r="C39" i="43" l="1" a="1"/>
  <c r="C39" i="43" s="1"/>
  <c r="F133" i="41" s="1"/>
  <c r="F635" i="17" s="1"/>
  <c r="C38" i="43" a="1"/>
  <c r="C38" i="43" s="1"/>
  <c r="F93" i="41" s="1"/>
  <c r="F747" i="17" s="1"/>
  <c r="C28" i="43" a="1"/>
  <c r="C28" i="43" s="1"/>
  <c r="F51" i="41" s="1"/>
  <c r="F388" i="17" s="1"/>
  <c r="C34" i="43" a="1"/>
  <c r="C34" i="43" s="1"/>
  <c r="F668" i="17" s="1"/>
  <c r="C31" i="43" a="1"/>
  <c r="C31" i="43" s="1"/>
  <c r="C17" i="43" a="1"/>
  <c r="C17" i="43" s="1"/>
  <c r="F156" i="1" s="1"/>
  <c r="C33" i="43" a="1"/>
  <c r="C33" i="43" s="1"/>
  <c r="F89" i="43"/>
  <c r="A95" i="43"/>
  <c r="C13" i="43" a="1"/>
  <c r="C13" i="43" s="1"/>
  <c r="F40" i="41" s="1"/>
  <c r="F11" i="42" s="1"/>
  <c r="C16" i="43" a="1"/>
  <c r="C16" i="43" s="1"/>
  <c r="C37" i="43" a="1"/>
  <c r="C37" i="43" s="1"/>
  <c r="F131" i="41" s="1"/>
  <c r="C25" i="43" a="1"/>
  <c r="C25" i="43" s="1"/>
  <c r="C15" i="43" a="1"/>
  <c r="C15" i="43" s="1"/>
  <c r="F42" i="41" s="1"/>
  <c r="F13" i="42" s="1"/>
  <c r="C26" i="43" a="1"/>
  <c r="C26" i="43" s="1"/>
  <c r="F29" i="41" s="1"/>
  <c r="F21" i="42" s="1"/>
  <c r="C36" i="43" a="1"/>
  <c r="C36" i="43" s="1"/>
  <c r="F130" i="41" s="1"/>
  <c r="C24" i="43" a="1"/>
  <c r="C24" i="43" s="1"/>
  <c r="C14" i="43" a="1"/>
  <c r="C14" i="43" s="1"/>
  <c r="F41" i="41" s="1"/>
  <c r="F12" i="42" s="1"/>
  <c r="C35" i="43" a="1"/>
  <c r="C35" i="43" s="1"/>
  <c r="F127" i="41" s="1"/>
  <c r="F349" i="1" s="1"/>
  <c r="F613" i="17" s="1"/>
  <c r="C23" i="43" a="1"/>
  <c r="C23" i="43" s="1"/>
  <c r="C12" i="43" a="1"/>
  <c r="C12" i="43" s="1"/>
  <c r="F39" i="41" s="1"/>
  <c r="F10" i="42" s="1"/>
  <c r="C32" i="43" a="1"/>
  <c r="C32" i="43" s="1"/>
  <c r="F115" i="41" s="1"/>
  <c r="F520" i="17" s="1"/>
  <c r="C22" i="43" a="1"/>
  <c r="C22" i="43" s="1"/>
  <c r="F158" i="1" s="1"/>
  <c r="C11" i="43" a="1"/>
  <c r="C11" i="43" s="1"/>
  <c r="F38" i="41" s="1"/>
  <c r="F9" i="42" s="1"/>
  <c r="C43" i="43" a="1"/>
  <c r="C43" i="43" s="1"/>
  <c r="F161" i="41" s="1"/>
  <c r="C30" i="43" a="1"/>
  <c r="C30" i="43" s="1"/>
  <c r="F99" i="41" s="1"/>
  <c r="F415" i="17" s="1"/>
  <c r="C21" i="43" a="1"/>
  <c r="C21" i="43" s="1"/>
  <c r="F136" i="1" s="1"/>
  <c r="F23" i="42" s="1"/>
  <c r="C18" i="43" a="1"/>
  <c r="C18" i="43" s="1"/>
  <c r="F43" i="41" s="1"/>
  <c r="F14" i="42" s="1"/>
  <c r="C42" i="43" a="1"/>
  <c r="C42" i="43" s="1"/>
  <c r="F180" i="41" s="1"/>
  <c r="C29" i="43" a="1"/>
  <c r="C29" i="43" s="1"/>
  <c r="F104" i="41" s="1"/>
  <c r="F24" i="42" s="1"/>
  <c r="C20" i="43" a="1"/>
  <c r="C20" i="43" s="1"/>
  <c r="F159" i="1" s="1"/>
  <c r="F22" i="42" s="1"/>
  <c r="C40" i="43" a="1"/>
  <c r="C40" i="43" s="1"/>
  <c r="F137" i="41" s="1"/>
  <c r="F648" i="17" s="1"/>
  <c r="C41" i="43" a="1"/>
  <c r="C41" i="43" s="1"/>
  <c r="F179" i="41" s="1"/>
  <c r="C27" i="43" a="1"/>
  <c r="C27" i="43" s="1"/>
  <c r="F106" i="41" s="1"/>
  <c r="C19" i="43" a="1"/>
  <c r="C19" i="43" s="1"/>
  <c r="F44" i="41" s="1"/>
  <c r="F15" i="42" s="1"/>
  <c r="G899" i="17"/>
  <c r="G846" i="17"/>
  <c r="G17" i="42"/>
  <c r="G525" i="17"/>
  <c r="F525" i="17"/>
  <c r="E525" i="17"/>
  <c r="G506" i="17"/>
  <c r="F506" i="17"/>
  <c r="E506" i="17"/>
  <c r="G520" i="17"/>
  <c r="E520" i="17"/>
  <c r="E560" i="17"/>
  <c r="F560" i="17"/>
  <c r="G560" i="17"/>
  <c r="H560" i="17"/>
  <c r="I560" i="17"/>
  <c r="K560" i="17"/>
  <c r="G522" i="17"/>
  <c r="G521" i="17"/>
  <c r="E522" i="17"/>
  <c r="E521" i="17"/>
  <c r="K473" i="17"/>
  <c r="K474" i="17"/>
  <c r="K482" i="17"/>
  <c r="G482" i="17"/>
  <c r="K481" i="17"/>
  <c r="G481" i="17"/>
  <c r="K256" i="13"/>
  <c r="I256" i="13"/>
  <c r="H256" i="13"/>
  <c r="G256" i="13"/>
  <c r="F256" i="13"/>
  <c r="E256" i="13"/>
  <c r="E257" i="13" s="1"/>
  <c r="E255" i="13"/>
  <c r="F255" i="13"/>
  <c r="G255" i="13"/>
  <c r="H255" i="13"/>
  <c r="I255" i="13"/>
  <c r="K255" i="13"/>
  <c r="E254" i="13"/>
  <c r="F254" i="13"/>
  <c r="G254" i="13"/>
  <c r="H254" i="13"/>
  <c r="I254" i="13"/>
  <c r="K254" i="13"/>
  <c r="E116" i="13"/>
  <c r="E117" i="13" s="1"/>
  <c r="G107" i="13"/>
  <c r="E107" i="13"/>
  <c r="K111" i="13"/>
  <c r="I111" i="13"/>
  <c r="H111" i="13"/>
  <c r="G111" i="13"/>
  <c r="F111" i="13"/>
  <c r="K110" i="13"/>
  <c r="I110" i="13"/>
  <c r="H110" i="13"/>
  <c r="G110" i="13"/>
  <c r="F110" i="13"/>
  <c r="E111" i="13"/>
  <c r="E110" i="13"/>
  <c r="K492" i="17"/>
  <c r="I492" i="17"/>
  <c r="H492" i="17"/>
  <c r="G492" i="17"/>
  <c r="F492" i="17"/>
  <c r="E492" i="17"/>
  <c r="K490" i="17"/>
  <c r="I490" i="17"/>
  <c r="H490" i="17"/>
  <c r="G490" i="17"/>
  <c r="F490" i="17"/>
  <c r="F491" i="17"/>
  <c r="G491" i="17"/>
  <c r="H491" i="17"/>
  <c r="I491" i="17"/>
  <c r="K491" i="17"/>
  <c r="G174" i="41"/>
  <c r="F174" i="41"/>
  <c r="E174" i="41"/>
  <c r="G415" i="17"/>
  <c r="E415" i="17"/>
  <c r="E87" i="37"/>
  <c r="F87" i="37"/>
  <c r="G87" i="37"/>
  <c r="H87" i="37"/>
  <c r="I87" i="37"/>
  <c r="K87" i="37"/>
  <c r="K653" i="17"/>
  <c r="I653" i="17"/>
  <c r="H653" i="17"/>
  <c r="G653" i="17"/>
  <c r="F653" i="17"/>
  <c r="E653" i="17"/>
  <c r="G648" i="17"/>
  <c r="E648" i="17"/>
  <c r="E646" i="17"/>
  <c r="F646" i="17"/>
  <c r="G646" i="17"/>
  <c r="H646" i="17"/>
  <c r="I646" i="17"/>
  <c r="J646" i="17"/>
  <c r="K646" i="17"/>
  <c r="G361" i="1"/>
  <c r="E361" i="1"/>
  <c r="G358" i="1"/>
  <c r="F358" i="1"/>
  <c r="E358" i="1"/>
  <c r="G349" i="1"/>
  <c r="G613" i="17" s="1"/>
  <c r="E349" i="1"/>
  <c r="E613" i="17" s="1"/>
  <c r="G346" i="1"/>
  <c r="F346" i="1"/>
  <c r="E346" i="1"/>
  <c r="E355" i="1"/>
  <c r="F355" i="1"/>
  <c r="G355" i="1"/>
  <c r="H355" i="1"/>
  <c r="I355" i="1"/>
  <c r="J355" i="1"/>
  <c r="K355" i="1"/>
  <c r="K354" i="1"/>
  <c r="J354" i="1"/>
  <c r="I354" i="1"/>
  <c r="H354" i="1"/>
  <c r="G354" i="1"/>
  <c r="F354" i="1"/>
  <c r="E354" i="1"/>
  <c r="G83" i="37"/>
  <c r="F83" i="37"/>
  <c r="E83" i="37"/>
  <c r="E581" i="17"/>
  <c r="F581" i="17"/>
  <c r="G581" i="17"/>
  <c r="H581" i="17"/>
  <c r="I581" i="17"/>
  <c r="K581" i="17"/>
  <c r="E582" i="17"/>
  <c r="F582" i="17"/>
  <c r="G582" i="17"/>
  <c r="H582" i="17"/>
  <c r="I582" i="17"/>
  <c r="K582" i="17"/>
  <c r="G577" i="17"/>
  <c r="F577" i="17"/>
  <c r="E577" i="17"/>
  <c r="E75" i="37"/>
  <c r="F75" i="37"/>
  <c r="G75" i="37"/>
  <c r="H75" i="37"/>
  <c r="I75" i="37"/>
  <c r="K75" i="37"/>
  <c r="K654" i="17"/>
  <c r="I654" i="17"/>
  <c r="H654" i="17"/>
  <c r="G654" i="17"/>
  <c r="F654" i="17"/>
  <c r="E654" i="17"/>
  <c r="E809" i="17"/>
  <c r="E788" i="17"/>
  <c r="F788" i="17"/>
  <c r="G788" i="17"/>
  <c r="H788" i="17"/>
  <c r="I788" i="17"/>
  <c r="K788" i="17"/>
  <c r="E611" i="17"/>
  <c r="F611" i="17"/>
  <c r="G611" i="17"/>
  <c r="H611" i="17"/>
  <c r="I611" i="17"/>
  <c r="J611" i="17"/>
  <c r="K611" i="17"/>
  <c r="K342" i="1"/>
  <c r="J342" i="1"/>
  <c r="I342" i="1"/>
  <c r="H342" i="1"/>
  <c r="G342" i="1"/>
  <c r="F342" i="1"/>
  <c r="E342" i="1"/>
  <c r="E343" i="1"/>
  <c r="F343" i="1"/>
  <c r="G343" i="1"/>
  <c r="H343" i="1"/>
  <c r="I343" i="1"/>
  <c r="J343" i="1"/>
  <c r="K343" i="1"/>
  <c r="L66" i="37"/>
  <c r="N66" i="37"/>
  <c r="R66" i="37"/>
  <c r="T66" i="37"/>
  <c r="V66" i="37"/>
  <c r="Z66" i="37"/>
  <c r="AB66" i="37"/>
  <c r="AC66" i="37"/>
  <c r="AD66" i="37"/>
  <c r="AH66" i="37"/>
  <c r="AJ66" i="37"/>
  <c r="AK66" i="37"/>
  <c r="AL66" i="37"/>
  <c r="AP66" i="37"/>
  <c r="AR66" i="37"/>
  <c r="AT66" i="37"/>
  <c r="E58" i="37"/>
  <c r="F58" i="37"/>
  <c r="G58" i="37"/>
  <c r="H58" i="37"/>
  <c r="I58" i="37"/>
  <c r="K58" i="37"/>
  <c r="I5" i="42"/>
  <c r="L679" i="17" l="1"/>
  <c r="L701" i="17" s="1"/>
  <c r="G390" i="17"/>
  <c r="K390" i="17"/>
  <c r="I390" i="17"/>
  <c r="H390" i="17"/>
  <c r="F390" i="17"/>
  <c r="E390" i="17"/>
  <c r="B47" i="24" s="1"/>
  <c r="F28" i="41"/>
  <c r="F20" i="42" s="1"/>
  <c r="F34" i="41"/>
  <c r="F123" i="41"/>
  <c r="F46" i="41"/>
  <c r="F75" i="17" s="1"/>
  <c r="F26" i="41"/>
  <c r="F18" i="42" s="1"/>
  <c r="F27" i="41"/>
  <c r="F19" i="42" s="1"/>
  <c r="F116" i="41"/>
  <c r="F466" i="17" s="1"/>
  <c r="F163" i="41"/>
  <c r="F95" i="43"/>
  <c r="A101" i="43"/>
  <c r="F135" i="1"/>
  <c r="F361" i="1"/>
  <c r="F14" i="41"/>
  <c r="E32" i="25" s="1"/>
  <c r="F12" i="40"/>
  <c r="AN66" i="37"/>
  <c r="AF66" i="37"/>
  <c r="AQ57" i="37"/>
  <c r="AQ59" i="37" s="1"/>
  <c r="AI57" i="37"/>
  <c r="AI59" i="37" s="1"/>
  <c r="AA57" i="37"/>
  <c r="AA59" i="37" s="1"/>
  <c r="S57" i="37"/>
  <c r="X66" i="37"/>
  <c r="AV66" i="37"/>
  <c r="P66" i="37"/>
  <c r="AO66" i="37"/>
  <c r="AG66" i="37"/>
  <c r="Y66" i="37"/>
  <c r="Q66" i="37"/>
  <c r="AU66" i="37"/>
  <c r="AM66" i="37"/>
  <c r="AE66" i="37"/>
  <c r="W66" i="37"/>
  <c r="O66" i="37"/>
  <c r="AS66" i="37"/>
  <c r="U66" i="37"/>
  <c r="M66" i="37"/>
  <c r="AQ66" i="37"/>
  <c r="AI66" i="37"/>
  <c r="AA66" i="37"/>
  <c r="S66" i="37"/>
  <c r="AU57" i="37"/>
  <c r="AU59" i="37" s="1"/>
  <c r="AM57" i="37"/>
  <c r="AM59" i="37" s="1"/>
  <c r="AE57" i="37"/>
  <c r="AE59" i="37" s="1"/>
  <c r="W57" i="37"/>
  <c r="W59" i="37" s="1"/>
  <c r="AL57" i="37"/>
  <c r="AL59" i="37" s="1"/>
  <c r="V57" i="37"/>
  <c r="V59" i="37" s="1"/>
  <c r="AO57" i="37"/>
  <c r="AO59" i="37" s="1"/>
  <c r="AG57" i="37"/>
  <c r="AG59" i="37" s="1"/>
  <c r="Y57" i="37"/>
  <c r="AV57" i="37"/>
  <c r="AV59" i="37" s="1"/>
  <c r="AN57" i="37"/>
  <c r="AN59" i="37" s="1"/>
  <c r="X57" i="37"/>
  <c r="X59" i="37" s="1"/>
  <c r="P57" i="37"/>
  <c r="P59" i="37" s="1"/>
  <c r="AR57" i="37"/>
  <c r="AR59" i="37" s="1"/>
  <c r="AJ57" i="37"/>
  <c r="AJ59" i="37" s="1"/>
  <c r="AB57" i="37"/>
  <c r="T57" i="37"/>
  <c r="L57" i="37"/>
  <c r="L59" i="37" s="1"/>
  <c r="Q57" i="37"/>
  <c r="O57" i="37"/>
  <c r="O59" i="37" s="1"/>
  <c r="AF57" i="37"/>
  <c r="AF59" i="37" s="1"/>
  <c r="AT57" i="37"/>
  <c r="AT59" i="37" s="1"/>
  <c r="AD57" i="37"/>
  <c r="AD59" i="37" s="1"/>
  <c r="N57" i="37"/>
  <c r="N59" i="37" s="1"/>
  <c r="AP57" i="37"/>
  <c r="AP59" i="37" s="1"/>
  <c r="AH57" i="37"/>
  <c r="AH59" i="37" s="1"/>
  <c r="Z57" i="37"/>
  <c r="R57" i="37"/>
  <c r="AS57" i="37"/>
  <c r="AS59" i="37" s="1"/>
  <c r="AK57" i="37"/>
  <c r="AK59" i="37" s="1"/>
  <c r="AC57" i="37"/>
  <c r="AC59" i="37" s="1"/>
  <c r="U57" i="37"/>
  <c r="M57" i="37"/>
  <c r="M59" i="37" s="1"/>
  <c r="E596" i="17" l="1"/>
  <c r="E619" i="17"/>
  <c r="E557" i="17"/>
  <c r="E607" i="17"/>
  <c r="E644" i="17"/>
  <c r="E835" i="17"/>
  <c r="E450" i="17"/>
  <c r="F596" i="17"/>
  <c r="F619" i="17"/>
  <c r="F607" i="17"/>
  <c r="F450" i="17"/>
  <c r="F557" i="17"/>
  <c r="F835" i="17"/>
  <c r="F644" i="17"/>
  <c r="H835" i="17"/>
  <c r="H557" i="17"/>
  <c r="H607" i="17"/>
  <c r="H619" i="17"/>
  <c r="H644" i="17"/>
  <c r="H450" i="17"/>
  <c r="H596" i="17"/>
  <c r="I596" i="17"/>
  <c r="I619" i="17"/>
  <c r="I557" i="17"/>
  <c r="I607" i="17"/>
  <c r="I835" i="17"/>
  <c r="I644" i="17"/>
  <c r="I450" i="17"/>
  <c r="K835" i="17"/>
  <c r="K557" i="17"/>
  <c r="K607" i="17"/>
  <c r="K644" i="17"/>
  <c r="K596" i="17"/>
  <c r="K619" i="17"/>
  <c r="K450" i="17"/>
  <c r="G450" i="17"/>
  <c r="G644" i="17"/>
  <c r="G607" i="17"/>
  <c r="G557" i="17"/>
  <c r="G835" i="17"/>
  <c r="G619" i="17"/>
  <c r="G596" i="17"/>
  <c r="E513" i="17"/>
  <c r="E474" i="17"/>
  <c r="E473" i="17"/>
  <c r="E481" i="17"/>
  <c r="E512" i="17" s="1"/>
  <c r="F101" i="43"/>
  <c r="A107" i="43"/>
  <c r="F846" i="17"/>
  <c r="H850" i="17" s="1"/>
  <c r="E138" i="43" s="1"/>
  <c r="F899" i="17"/>
  <c r="F16" i="42"/>
  <c r="E17" i="25"/>
  <c r="F17" i="42"/>
  <c r="B62" i="42" s="1"/>
  <c r="J66" i="37"/>
  <c r="J57" i="37"/>
  <c r="D125" i="43" l="1"/>
  <c r="D130" i="43"/>
  <c r="D113" i="43"/>
  <c r="F107" i="43"/>
  <c r="A113" i="43"/>
  <c r="D101" i="43"/>
  <c r="D107" i="43"/>
  <c r="H902" i="17"/>
  <c r="E162" i="43" s="1"/>
  <c r="D89" i="43"/>
  <c r="D95" i="43"/>
  <c r="D83" i="43"/>
  <c r="D77" i="43"/>
  <c r="D65" i="43"/>
  <c r="D71" i="43"/>
  <c r="D54" i="43"/>
  <c r="D59" i="43"/>
  <c r="B27" i="42"/>
  <c r="B39" i="42"/>
  <c r="B51" i="42"/>
  <c r="C46" i="25"/>
  <c r="C32" i="25"/>
  <c r="C19" i="25"/>
  <c r="G1025" i="17"/>
  <c r="E1025" i="17"/>
  <c r="L428" i="17"/>
  <c r="E429" i="17"/>
  <c r="F429" i="17"/>
  <c r="G429" i="17"/>
  <c r="H429" i="17"/>
  <c r="I429" i="17"/>
  <c r="K429" i="17"/>
  <c r="E430" i="17"/>
  <c r="F430" i="17"/>
  <c r="G430" i="17"/>
  <c r="H430" i="17"/>
  <c r="I430" i="17"/>
  <c r="K430" i="17"/>
  <c r="G417" i="17"/>
  <c r="E417" i="17"/>
  <c r="E419" i="17"/>
  <c r="F419" i="17"/>
  <c r="G419" i="17"/>
  <c r="H419" i="17"/>
  <c r="I419" i="17"/>
  <c r="J419" i="17"/>
  <c r="K419" i="17"/>
  <c r="K164" i="17"/>
  <c r="J164" i="17"/>
  <c r="I164" i="17"/>
  <c r="H164" i="17"/>
  <c r="G164" i="17"/>
  <c r="F164" i="17"/>
  <c r="E164" i="17"/>
  <c r="K420" i="17"/>
  <c r="J420" i="17"/>
  <c r="I420" i="17"/>
  <c r="H420" i="17"/>
  <c r="G420" i="17"/>
  <c r="F420" i="17"/>
  <c r="E420" i="17"/>
  <c r="E422" i="17"/>
  <c r="F422" i="17"/>
  <c r="G422" i="17"/>
  <c r="H422" i="17"/>
  <c r="I422" i="17"/>
  <c r="K422" i="17"/>
  <c r="E539" i="17"/>
  <c r="E538" i="17"/>
  <c r="G539" i="17"/>
  <c r="F539" i="17"/>
  <c r="G538" i="17"/>
  <c r="F538" i="17"/>
  <c r="G565" i="17"/>
  <c r="F565" i="17"/>
  <c r="E565" i="17"/>
  <c r="F113" i="43" l="1"/>
  <c r="A119" i="43"/>
  <c r="G131" i="17"/>
  <c r="F131" i="17"/>
  <c r="E131" i="17"/>
  <c r="F119" i="43" l="1"/>
  <c r="A125" i="43"/>
  <c r="I180" i="1"/>
  <c r="F125" i="43" l="1"/>
  <c r="A130" i="43"/>
  <c r="F130" i="43" s="1"/>
  <c r="G89" i="38"/>
  <c r="I3" i="25"/>
  <c r="W13" i="12"/>
  <c r="X13" i="12"/>
  <c r="Y13" i="12"/>
  <c r="F14" i="38"/>
  <c r="F13" i="38"/>
  <c r="F79" i="38"/>
  <c r="G79" i="38"/>
  <c r="H79" i="38"/>
  <c r="I79" i="38"/>
  <c r="K79" i="38"/>
  <c r="E79" i="38"/>
  <c r="F50" i="38"/>
  <c r="G50" i="38"/>
  <c r="H50" i="38"/>
  <c r="I50" i="38"/>
  <c r="K50" i="38"/>
  <c r="F52" i="38"/>
  <c r="G52" i="38"/>
  <c r="I52" i="38"/>
  <c r="E52" i="38"/>
  <c r="E53" i="38" s="1"/>
  <c r="E89" i="38" s="1"/>
  <c r="E50" i="38"/>
  <c r="H36" i="38"/>
  <c r="I36" i="38"/>
  <c r="F35" i="38"/>
  <c r="G35" i="38"/>
  <c r="H35" i="38"/>
  <c r="I35" i="38"/>
  <c r="K35" i="38"/>
  <c r="E35" i="38"/>
  <c r="L693" i="17"/>
  <c r="L694" i="17" s="1"/>
  <c r="G83" i="42" l="1"/>
  <c r="G82" i="42"/>
  <c r="G318" i="13"/>
  <c r="E196" i="12"/>
  <c r="E165" i="12"/>
  <c r="E216" i="12" s="1"/>
  <c r="E158" i="12"/>
  <c r="E215" i="12" s="1"/>
  <c r="F91" i="42"/>
  <c r="F90" i="42"/>
  <c r="F89" i="42"/>
  <c r="J24" i="42"/>
  <c r="I24" i="42" s="1"/>
  <c r="J22" i="42" l="1"/>
  <c r="I22" i="42" s="1"/>
  <c r="J23" i="42"/>
  <c r="I23" i="42" s="1"/>
  <c r="J19" i="42"/>
  <c r="I19" i="42" s="1"/>
  <c r="J14" i="42"/>
  <c r="I14" i="42" s="1"/>
  <c r="J17" i="42"/>
  <c r="I17" i="42" s="1"/>
  <c r="J21" i="42"/>
  <c r="I21" i="42" s="1"/>
  <c r="J16" i="42"/>
  <c r="I16" i="42" s="1"/>
  <c r="J10" i="42"/>
  <c r="I10" i="42" s="1"/>
  <c r="J18" i="42"/>
  <c r="I18" i="42" s="1"/>
  <c r="J13" i="42"/>
  <c r="I13" i="42" s="1"/>
  <c r="J20" i="42"/>
  <c r="I20" i="42" s="1"/>
  <c r="J12" i="42"/>
  <c r="I12" i="42" s="1"/>
  <c r="J9" i="42"/>
  <c r="I9" i="42" s="1"/>
  <c r="J11" i="42"/>
  <c r="I11" i="42" s="1"/>
  <c r="J15" i="42"/>
  <c r="I15" i="42" s="1"/>
  <c r="I407" i="1" l="1"/>
  <c r="I408" i="1"/>
  <c r="I400" i="1"/>
  <c r="I401" i="1"/>
  <c r="I134" i="1"/>
  <c r="I74" i="17" s="1"/>
  <c r="H74" i="17"/>
  <c r="G762" i="17"/>
  <c r="F762" i="17"/>
  <c r="E762" i="17"/>
  <c r="G739" i="17"/>
  <c r="F739" i="17"/>
  <c r="E739" i="17"/>
  <c r="I724" i="17"/>
  <c r="H724" i="17"/>
  <c r="G724" i="17"/>
  <c r="F724" i="17"/>
  <c r="E724" i="17"/>
  <c r="L740" i="17" l="1"/>
  <c r="AB740" i="17"/>
  <c r="AJ740" i="17"/>
  <c r="M740" i="17"/>
  <c r="U740" i="17"/>
  <c r="AC740" i="17"/>
  <c r="AK740" i="17"/>
  <c r="AS740" i="17"/>
  <c r="V740" i="17"/>
  <c r="AD740" i="17"/>
  <c r="AL740" i="17"/>
  <c r="AT740" i="17"/>
  <c r="N740" i="17"/>
  <c r="O740" i="17"/>
  <c r="W740" i="17"/>
  <c r="AE740" i="17"/>
  <c r="AM740" i="17"/>
  <c r="AU740" i="17"/>
  <c r="R740" i="17"/>
  <c r="Z740" i="17"/>
  <c r="AH740" i="17"/>
  <c r="AP740" i="17"/>
  <c r="P740" i="17"/>
  <c r="X740" i="17"/>
  <c r="AF740" i="17"/>
  <c r="AN740" i="17"/>
  <c r="AV740" i="17"/>
  <c r="Q740" i="17"/>
  <c r="Y740" i="17"/>
  <c r="AG740" i="17"/>
  <c r="AO740" i="17"/>
  <c r="S740" i="17"/>
  <c r="AA740" i="17"/>
  <c r="AI740" i="17"/>
  <c r="AQ740" i="17"/>
  <c r="T740" i="17"/>
  <c r="AR740" i="17"/>
  <c r="G572" i="17"/>
  <c r="F572" i="17"/>
  <c r="E572" i="17"/>
  <c r="G543" i="17"/>
  <c r="F543" i="17"/>
  <c r="E543" i="17"/>
  <c r="G537" i="17"/>
  <c r="F537" i="17"/>
  <c r="E537" i="17"/>
  <c r="G261" i="1"/>
  <c r="F261" i="1"/>
  <c r="E261" i="1"/>
  <c r="G198" i="1"/>
  <c r="F198" i="1"/>
  <c r="E198" i="1"/>
  <c r="G228" i="17"/>
  <c r="F228" i="17"/>
  <c r="E228" i="17"/>
  <c r="G227" i="17"/>
  <c r="F227" i="17"/>
  <c r="E227" i="17"/>
  <c r="G226" i="17"/>
  <c r="F226" i="17"/>
  <c r="E226" i="17"/>
  <c r="G225" i="17"/>
  <c r="F225" i="17"/>
  <c r="E225" i="17"/>
  <c r="G224" i="17"/>
  <c r="F224" i="17"/>
  <c r="E224" i="17"/>
  <c r="G223" i="17"/>
  <c r="F223" i="17"/>
  <c r="E223" i="17"/>
  <c r="G222" i="17"/>
  <c r="F222" i="17"/>
  <c r="E222" i="17"/>
  <c r="G221" i="17"/>
  <c r="F221" i="17"/>
  <c r="E221" i="17"/>
  <c r="F9" i="1"/>
  <c r="E9" i="1"/>
  <c r="G81" i="42" l="1"/>
  <c r="G80" i="42"/>
  <c r="G79" i="42"/>
  <c r="A1" i="42"/>
  <c r="B31" i="24" s="1"/>
  <c r="A1" i="41"/>
  <c r="G276" i="1"/>
  <c r="F276" i="1"/>
  <c r="E276" i="1"/>
  <c r="G212" i="1"/>
  <c r="F212" i="1"/>
  <c r="E212" i="1"/>
  <c r="G211" i="1"/>
  <c r="F211" i="1"/>
  <c r="E211" i="1"/>
  <c r="L11" i="40"/>
  <c r="A1" i="40"/>
  <c r="L9" i="40" l="1"/>
  <c r="L420" i="17"/>
  <c r="M11" i="40"/>
  <c r="L4" i="41"/>
  <c r="L4" i="40"/>
  <c r="L288" i="17" l="1"/>
  <c r="L677" i="17"/>
  <c r="L59" i="40"/>
  <c r="L35" i="37"/>
  <c r="L44" i="37"/>
  <c r="L463" i="17"/>
  <c r="L876" i="17"/>
  <c r="L817" i="17"/>
  <c r="L2" i="41"/>
  <c r="L26" i="40"/>
  <c r="M9" i="40"/>
  <c r="M420" i="17"/>
  <c r="L2" i="40"/>
  <c r="L342" i="1"/>
  <c r="L354" i="1"/>
  <c r="L419" i="17"/>
  <c r="L164" i="17"/>
  <c r="M4" i="41"/>
  <c r="N11" i="40"/>
  <c r="N420" i="17" s="1"/>
  <c r="M4" i="40"/>
  <c r="L289" i="17" l="1"/>
  <c r="L293" i="17"/>
  <c r="L292" i="17"/>
  <c r="L291" i="17"/>
  <c r="L290" i="17"/>
  <c r="M288" i="17"/>
  <c r="M677" i="17"/>
  <c r="L36" i="40"/>
  <c r="L208" i="17" s="1"/>
  <c r="L42" i="40"/>
  <c r="L370" i="17" s="1"/>
  <c r="M59" i="40"/>
  <c r="M44" i="37"/>
  <c r="M35" i="37"/>
  <c r="M463" i="17"/>
  <c r="M876" i="17"/>
  <c r="M817" i="17"/>
  <c r="L27" i="40"/>
  <c r="L28" i="40" s="1"/>
  <c r="L464" i="17" s="1"/>
  <c r="L29" i="40"/>
  <c r="L65" i="40" s="1"/>
  <c r="L66" i="40" s="1"/>
  <c r="M2" i="41"/>
  <c r="M26" i="40"/>
  <c r="N4" i="41"/>
  <c r="M2" i="40"/>
  <c r="M342" i="1"/>
  <c r="M354" i="1"/>
  <c r="M419" i="17"/>
  <c r="M164" i="17"/>
  <c r="O11" i="40"/>
  <c r="O420" i="17" s="1"/>
  <c r="N4" i="40"/>
  <c r="N9" i="40"/>
  <c r="M290" i="17" l="1"/>
  <c r="M293" i="17"/>
  <c r="M292" i="17"/>
  <c r="L218" i="1"/>
  <c r="L223" i="1" s="1"/>
  <c r="L282" i="1"/>
  <c r="L289" i="1" s="1"/>
  <c r="M289" i="17"/>
  <c r="M291" i="17"/>
  <c r="N288" i="17"/>
  <c r="N677" i="17"/>
  <c r="M36" i="40"/>
  <c r="M218" i="1" s="1"/>
  <c r="M42" i="40"/>
  <c r="M370" i="17" s="1"/>
  <c r="L409" i="17"/>
  <c r="L345" i="17"/>
  <c r="L346" i="17" s="1"/>
  <c r="L363" i="17" s="1"/>
  <c r="N59" i="40"/>
  <c r="N44" i="37"/>
  <c r="N35" i="37"/>
  <c r="N463" i="17"/>
  <c r="L288" i="1"/>
  <c r="N817" i="17"/>
  <c r="N876" i="17"/>
  <c r="M27" i="40"/>
  <c r="M28" i="40" s="1"/>
  <c r="M464" i="17" s="1"/>
  <c r="N2" i="41"/>
  <c r="N26" i="40"/>
  <c r="N354" i="1"/>
  <c r="N342" i="1"/>
  <c r="N419" i="17"/>
  <c r="N164" i="17"/>
  <c r="P11" i="40"/>
  <c r="P420" i="17" s="1"/>
  <c r="O4" i="40"/>
  <c r="O4" i="41"/>
  <c r="N2" i="40"/>
  <c r="O9" i="40"/>
  <c r="N289" i="17" l="1"/>
  <c r="N293" i="17"/>
  <c r="L291" i="1"/>
  <c r="L290" i="1"/>
  <c r="L287" i="1"/>
  <c r="L227" i="1"/>
  <c r="M227" i="1" s="1"/>
  <c r="L226" i="1"/>
  <c r="M226" i="1" s="1"/>
  <c r="L225" i="1"/>
  <c r="M225" i="1" s="1"/>
  <c r="M208" i="17"/>
  <c r="M282" i="1"/>
  <c r="N290" i="17"/>
  <c r="N292" i="17"/>
  <c r="N291" i="17"/>
  <c r="O288" i="17"/>
  <c r="O677" i="17"/>
  <c r="M409" i="17"/>
  <c r="M345" i="17"/>
  <c r="M346" i="17" s="1"/>
  <c r="M363" i="17" s="1"/>
  <c r="N36" i="40"/>
  <c r="N282" i="1" s="1"/>
  <c r="N42" i="40"/>
  <c r="N370" i="17" s="1"/>
  <c r="O59" i="40"/>
  <c r="O44" i="37"/>
  <c r="O35" i="37"/>
  <c r="O463" i="17"/>
  <c r="M223" i="1"/>
  <c r="M29" i="40"/>
  <c r="M65" i="40" s="1"/>
  <c r="M66" i="40" s="1"/>
  <c r="O26" i="40"/>
  <c r="O817" i="17"/>
  <c r="O876" i="17"/>
  <c r="N27" i="40"/>
  <c r="N28" i="40" s="1"/>
  <c r="N464" i="17" s="1"/>
  <c r="O354" i="1"/>
  <c r="O342" i="1"/>
  <c r="O419" i="17"/>
  <c r="O164" i="17"/>
  <c r="Q11" i="40"/>
  <c r="Q420" i="17" s="1"/>
  <c r="P4" i="40"/>
  <c r="P4" i="41"/>
  <c r="P9" i="40"/>
  <c r="O2" i="40"/>
  <c r="O2" i="41"/>
  <c r="O292" i="17" l="1"/>
  <c r="O293" i="17"/>
  <c r="M290" i="1"/>
  <c r="M291" i="1"/>
  <c r="N291" i="1" s="1"/>
  <c r="M288" i="1"/>
  <c r="N288" i="1" s="1"/>
  <c r="M289" i="1"/>
  <c r="M287" i="1"/>
  <c r="N287" i="1" s="1"/>
  <c r="N218" i="1"/>
  <c r="N227" i="1" s="1"/>
  <c r="N208" i="17"/>
  <c r="O289" i="17"/>
  <c r="O291" i="17"/>
  <c r="O290" i="17"/>
  <c r="P288" i="17"/>
  <c r="P677" i="17"/>
  <c r="N345" i="17"/>
  <c r="N346" i="17" s="1"/>
  <c r="N363" i="17" s="1"/>
  <c r="N409" i="17"/>
  <c r="O36" i="40"/>
  <c r="O218" i="1" s="1"/>
  <c r="O42" i="40"/>
  <c r="O370" i="17" s="1"/>
  <c r="P59" i="40"/>
  <c r="P44" i="37"/>
  <c r="P35" i="37"/>
  <c r="P463" i="17"/>
  <c r="O27" i="40"/>
  <c r="O28" i="40" s="1"/>
  <c r="N225" i="1"/>
  <c r="N289" i="1"/>
  <c r="N29" i="40"/>
  <c r="N65" i="40" s="1"/>
  <c r="N66" i="40" s="1"/>
  <c r="N290" i="1"/>
  <c r="P26" i="40"/>
  <c r="P876" i="17"/>
  <c r="P817" i="17"/>
  <c r="P354" i="1"/>
  <c r="P342" i="1"/>
  <c r="P419" i="17"/>
  <c r="P164" i="17"/>
  <c r="P2" i="41"/>
  <c r="P2" i="40"/>
  <c r="R11" i="40"/>
  <c r="R420" i="17" s="1"/>
  <c r="Q9" i="40"/>
  <c r="Q4" i="41"/>
  <c r="Q4" i="40"/>
  <c r="P292" i="17" l="1"/>
  <c r="P293" i="17"/>
  <c r="N223" i="1"/>
  <c r="O223" i="1" s="1"/>
  <c r="N226" i="1"/>
  <c r="O282" i="1"/>
  <c r="O288" i="1" s="1"/>
  <c r="O208" i="17"/>
  <c r="P290" i="17"/>
  <c r="P291" i="17"/>
  <c r="P289" i="17"/>
  <c r="Q288" i="17"/>
  <c r="Q677" i="17"/>
  <c r="O345" i="17"/>
  <c r="O346" i="17" s="1"/>
  <c r="O363" i="17" s="1"/>
  <c r="O409" i="17"/>
  <c r="P27" i="40"/>
  <c r="P28" i="40" s="1"/>
  <c r="P464" i="17" s="1"/>
  <c r="P42" i="40"/>
  <c r="P370" i="17" s="1"/>
  <c r="O29" i="40"/>
  <c r="O65" i="40" s="1"/>
  <c r="O66" i="40" s="1"/>
  <c r="O464" i="17"/>
  <c r="Q59" i="40"/>
  <c r="Q35" i="37"/>
  <c r="Q44" i="37"/>
  <c r="Q463" i="17"/>
  <c r="O225" i="1"/>
  <c r="O227" i="1"/>
  <c r="O226" i="1"/>
  <c r="Q26" i="40"/>
  <c r="Q876" i="17"/>
  <c r="Q817" i="17"/>
  <c r="P36" i="40"/>
  <c r="Q342" i="1"/>
  <c r="Q354" i="1"/>
  <c r="Q164" i="17"/>
  <c r="Q419" i="17"/>
  <c r="R4" i="40"/>
  <c r="S11" i="40"/>
  <c r="S420" i="17" s="1"/>
  <c r="R4" i="41"/>
  <c r="R9" i="40"/>
  <c r="Q2" i="40"/>
  <c r="Q2" i="41"/>
  <c r="Q291" i="17" l="1"/>
  <c r="Q293" i="17"/>
  <c r="O290" i="1"/>
  <c r="O289" i="1"/>
  <c r="O287" i="1"/>
  <c r="O291" i="1"/>
  <c r="Q290" i="17"/>
  <c r="Q292" i="17"/>
  <c r="R288" i="17"/>
  <c r="R677" i="17"/>
  <c r="Q36" i="40"/>
  <c r="Q208" i="17" s="1"/>
  <c r="Q42" i="40"/>
  <c r="Q370" i="17" s="1"/>
  <c r="P29" i="40"/>
  <c r="P65" i="40" s="1"/>
  <c r="P66" i="40" s="1"/>
  <c r="P345" i="17"/>
  <c r="P346" i="17" s="1"/>
  <c r="P363" i="17" s="1"/>
  <c r="P409" i="17"/>
  <c r="R59" i="40"/>
  <c r="R35" i="37"/>
  <c r="R44" i="37"/>
  <c r="R463" i="17"/>
  <c r="Q27" i="40"/>
  <c r="Q28" i="40" s="1"/>
  <c r="P218" i="1"/>
  <c r="P226" i="1" s="1"/>
  <c r="P282" i="1"/>
  <c r="P289" i="1" s="1"/>
  <c r="P208" i="17"/>
  <c r="R26" i="40"/>
  <c r="R817" i="17"/>
  <c r="R876" i="17"/>
  <c r="R342" i="1"/>
  <c r="R354" i="1"/>
  <c r="R164" i="17"/>
  <c r="R419" i="17"/>
  <c r="R2" i="40"/>
  <c r="R2" i="41"/>
  <c r="S9" i="40"/>
  <c r="S4" i="41"/>
  <c r="S4" i="40"/>
  <c r="T11" i="40"/>
  <c r="T420" i="17" s="1"/>
  <c r="R290" i="17" l="1"/>
  <c r="R293" i="17"/>
  <c r="R292" i="17"/>
  <c r="Q218" i="1"/>
  <c r="Q226" i="1" s="1"/>
  <c r="Q282" i="1"/>
  <c r="R291" i="17"/>
  <c r="R289" i="17"/>
  <c r="S288" i="17"/>
  <c r="S677" i="17"/>
  <c r="R36" i="40"/>
  <c r="R218" i="1" s="1"/>
  <c r="Q345" i="17"/>
  <c r="Q346" i="17" s="1"/>
  <c r="Q363" i="17" s="1"/>
  <c r="Q409" i="17"/>
  <c r="Q29" i="40"/>
  <c r="Q65" i="40" s="1"/>
  <c r="Q66" i="40" s="1"/>
  <c r="Q464" i="17"/>
  <c r="S59" i="40"/>
  <c r="S44" i="37"/>
  <c r="S35" i="37"/>
  <c r="S463" i="17"/>
  <c r="P287" i="1"/>
  <c r="R27" i="40"/>
  <c r="R28" i="40" s="1"/>
  <c r="Q289" i="1"/>
  <c r="P291" i="1"/>
  <c r="P288" i="1"/>
  <c r="P290" i="1"/>
  <c r="P225" i="1"/>
  <c r="P223" i="1"/>
  <c r="P227" i="1"/>
  <c r="S26" i="40"/>
  <c r="S817" i="17"/>
  <c r="S876" i="17"/>
  <c r="S342" i="1"/>
  <c r="S354" i="1"/>
  <c r="S164" i="17"/>
  <c r="S419" i="17"/>
  <c r="T4" i="41"/>
  <c r="U11" i="40"/>
  <c r="U420" i="17" s="1"/>
  <c r="T9" i="40"/>
  <c r="T4" i="40"/>
  <c r="S2" i="40"/>
  <c r="S2" i="41"/>
  <c r="S290" i="17" l="1"/>
  <c r="S293" i="17"/>
  <c r="Q227" i="1"/>
  <c r="Q223" i="1"/>
  <c r="Q225" i="1"/>
  <c r="R225" i="1" s="1"/>
  <c r="Q288" i="1"/>
  <c r="Q290" i="1"/>
  <c r="Q291" i="1"/>
  <c r="Q287" i="1"/>
  <c r="S291" i="17"/>
  <c r="R282" i="1"/>
  <c r="R289" i="1" s="1"/>
  <c r="R208" i="17"/>
  <c r="S289" i="17"/>
  <c r="S292" i="17"/>
  <c r="T288" i="17"/>
  <c r="T677" i="17"/>
  <c r="S36" i="40"/>
  <c r="S208" i="17" s="1"/>
  <c r="T59" i="40"/>
  <c r="T35" i="37"/>
  <c r="T44" i="37"/>
  <c r="T463" i="17"/>
  <c r="R29" i="40"/>
  <c r="R65" i="40" s="1"/>
  <c r="R66" i="40" s="1"/>
  <c r="R464" i="17"/>
  <c r="S27" i="40"/>
  <c r="S28" i="40" s="1"/>
  <c r="R226" i="1"/>
  <c r="R223" i="1"/>
  <c r="R227" i="1"/>
  <c r="T26" i="40"/>
  <c r="T817" i="17"/>
  <c r="T876" i="17"/>
  <c r="T342" i="1"/>
  <c r="T354" i="1"/>
  <c r="T164" i="17"/>
  <c r="T419" i="17"/>
  <c r="T2" i="40"/>
  <c r="T2" i="41"/>
  <c r="U4" i="41"/>
  <c r="U9" i="40"/>
  <c r="U4" i="40"/>
  <c r="V11" i="40"/>
  <c r="V420" i="17" s="1"/>
  <c r="T292" i="17" l="1"/>
  <c r="T293" i="17"/>
  <c r="R290" i="1"/>
  <c r="R288" i="1"/>
  <c r="R291" i="1"/>
  <c r="R287" i="1"/>
  <c r="T291" i="17"/>
  <c r="T289" i="17"/>
  <c r="T290" i="17"/>
  <c r="S218" i="1"/>
  <c r="S226" i="1" s="1"/>
  <c r="S282" i="1"/>
  <c r="U288" i="17"/>
  <c r="U677" i="17"/>
  <c r="T36" i="40"/>
  <c r="T218" i="1" s="1"/>
  <c r="S29" i="40"/>
  <c r="S65" i="40" s="1"/>
  <c r="S66" i="40" s="1"/>
  <c r="S464" i="17"/>
  <c r="U59" i="40"/>
  <c r="U44" i="37"/>
  <c r="U35" i="37"/>
  <c r="U463" i="17"/>
  <c r="T27" i="40"/>
  <c r="T28" i="40" s="1"/>
  <c r="U26" i="40"/>
  <c r="U876" i="17"/>
  <c r="U817" i="17"/>
  <c r="U342" i="1"/>
  <c r="U354" i="1"/>
  <c r="U164" i="17"/>
  <c r="U419" i="17"/>
  <c r="V4" i="41"/>
  <c r="V4" i="40"/>
  <c r="V9" i="40"/>
  <c r="W11" i="40"/>
  <c r="W420" i="17" s="1"/>
  <c r="U2" i="40"/>
  <c r="U2" i="41"/>
  <c r="U291" i="17" l="1"/>
  <c r="U293" i="17"/>
  <c r="S290" i="1"/>
  <c r="S287" i="1"/>
  <c r="S289" i="1"/>
  <c r="S288" i="1"/>
  <c r="S291" i="1"/>
  <c r="S223" i="1"/>
  <c r="T223" i="1" s="1"/>
  <c r="S227" i="1"/>
  <c r="T227" i="1" s="1"/>
  <c r="S225" i="1"/>
  <c r="T225" i="1" s="1"/>
  <c r="T282" i="1"/>
  <c r="T208" i="17"/>
  <c r="U292" i="17"/>
  <c r="U289" i="17"/>
  <c r="U290" i="17"/>
  <c r="V288" i="17"/>
  <c r="V677" i="17"/>
  <c r="U36" i="40"/>
  <c r="U208" i="17" s="1"/>
  <c r="V59" i="40"/>
  <c r="V44" i="37"/>
  <c r="V35" i="37"/>
  <c r="V463" i="17"/>
  <c r="T29" i="40"/>
  <c r="T65" i="40" s="1"/>
  <c r="T66" i="40" s="1"/>
  <c r="T464" i="17"/>
  <c r="T226" i="1"/>
  <c r="U27" i="40"/>
  <c r="U28" i="40" s="1"/>
  <c r="U464" i="17" s="1"/>
  <c r="V26" i="40"/>
  <c r="V27" i="40" s="1"/>
  <c r="V28" i="40" s="1"/>
  <c r="V464" i="17" s="1"/>
  <c r="V817" i="17"/>
  <c r="V876" i="17"/>
  <c r="V342" i="1"/>
  <c r="V354" i="1"/>
  <c r="V419" i="17"/>
  <c r="V164" i="17"/>
  <c r="X11" i="40"/>
  <c r="X420" i="17" s="1"/>
  <c r="W4" i="40"/>
  <c r="W4" i="41"/>
  <c r="W9" i="40"/>
  <c r="V2" i="40"/>
  <c r="V2" i="41"/>
  <c r="V290" i="17" l="1"/>
  <c r="V293" i="17"/>
  <c r="T289" i="1"/>
  <c r="T290" i="1"/>
  <c r="T291" i="1"/>
  <c r="T287" i="1"/>
  <c r="T288" i="1"/>
  <c r="V292" i="17"/>
  <c r="V291" i="17"/>
  <c r="V289" i="17"/>
  <c r="W288" i="17"/>
  <c r="W677" i="17"/>
  <c r="U282" i="1"/>
  <c r="U218" i="1"/>
  <c r="U226" i="1" s="1"/>
  <c r="V36" i="40"/>
  <c r="V218" i="1" s="1"/>
  <c r="W59" i="40"/>
  <c r="W35" i="37"/>
  <c r="W44" i="37"/>
  <c r="W463" i="17"/>
  <c r="V29" i="40"/>
  <c r="V65" i="40" s="1"/>
  <c r="V66" i="40" s="1"/>
  <c r="U29" i="40"/>
  <c r="U65" i="40" s="1"/>
  <c r="U66" i="40" s="1"/>
  <c r="W26" i="40"/>
  <c r="W876" i="17"/>
  <c r="W817" i="17"/>
  <c r="W354" i="1"/>
  <c r="W342" i="1"/>
  <c r="W419" i="17"/>
  <c r="W164" i="17"/>
  <c r="X9" i="40"/>
  <c r="Y11" i="40"/>
  <c r="Y420" i="17" s="1"/>
  <c r="X4" i="41"/>
  <c r="X4" i="40"/>
  <c r="W2" i="40"/>
  <c r="W2" i="41"/>
  <c r="W289" i="17" l="1"/>
  <c r="W293" i="17"/>
  <c r="U227" i="1"/>
  <c r="V227" i="1" s="1"/>
  <c r="U288" i="1"/>
  <c r="U223" i="1"/>
  <c r="U225" i="1"/>
  <c r="V225" i="1" s="1"/>
  <c r="V208" i="17"/>
  <c r="W290" i="17"/>
  <c r="W291" i="17"/>
  <c r="W292" i="17"/>
  <c r="V282" i="1"/>
  <c r="X288" i="17"/>
  <c r="X677" i="17"/>
  <c r="U291" i="1"/>
  <c r="U287" i="1"/>
  <c r="U289" i="1"/>
  <c r="U290" i="1"/>
  <c r="W36" i="40"/>
  <c r="W208" i="17" s="1"/>
  <c r="X59" i="40"/>
  <c r="X44" i="37"/>
  <c r="X35" i="37"/>
  <c r="X463" i="17"/>
  <c r="V226" i="1"/>
  <c r="W27" i="40"/>
  <c r="W28" i="40" s="1"/>
  <c r="W464" i="17" s="1"/>
  <c r="V223" i="1"/>
  <c r="X26" i="40"/>
  <c r="X876" i="17"/>
  <c r="X817" i="17"/>
  <c r="X354" i="1"/>
  <c r="X342" i="1"/>
  <c r="X419" i="17"/>
  <c r="X164" i="17"/>
  <c r="X2" i="40"/>
  <c r="X2" i="41"/>
  <c r="Y4" i="41"/>
  <c r="Z11" i="40"/>
  <c r="Z420" i="17" s="1"/>
  <c r="Y4" i="40"/>
  <c r="Y9" i="40"/>
  <c r="X289" i="17" l="1"/>
  <c r="X293" i="17"/>
  <c r="V288" i="1"/>
  <c r="V289" i="1"/>
  <c r="V290" i="1"/>
  <c r="V291" i="1"/>
  <c r="V287" i="1"/>
  <c r="X290" i="17"/>
  <c r="X291" i="17"/>
  <c r="X292" i="17"/>
  <c r="Y288" i="17"/>
  <c r="Y677" i="17"/>
  <c r="W218" i="1"/>
  <c r="W226" i="1" s="1"/>
  <c r="W282" i="1"/>
  <c r="W290" i="1" s="1"/>
  <c r="Y59" i="40"/>
  <c r="Y35" i="37"/>
  <c r="Y44" i="37"/>
  <c r="Y463" i="17"/>
  <c r="W223" i="1"/>
  <c r="X27" i="40"/>
  <c r="X28" i="40" s="1"/>
  <c r="X464" i="17" s="1"/>
  <c r="W29" i="40"/>
  <c r="W65" i="40" s="1"/>
  <c r="W66" i="40" s="1"/>
  <c r="Y26" i="40"/>
  <c r="Y876" i="17"/>
  <c r="Y817" i="17"/>
  <c r="Y342" i="1"/>
  <c r="Y354" i="1"/>
  <c r="Y164" i="17"/>
  <c r="Y419" i="17"/>
  <c r="Y2" i="41"/>
  <c r="Y2" i="40"/>
  <c r="AA11" i="40"/>
  <c r="AA420" i="17" s="1"/>
  <c r="Z4" i="41"/>
  <c r="Z9" i="40"/>
  <c r="Z4" i="40"/>
  <c r="Y290" i="17" l="1"/>
  <c r="Y293" i="17"/>
  <c r="W225" i="1"/>
  <c r="W227" i="1"/>
  <c r="Y291" i="17"/>
  <c r="Y292" i="17"/>
  <c r="Y289" i="17"/>
  <c r="Z288" i="17"/>
  <c r="Z677" i="17"/>
  <c r="W291" i="1"/>
  <c r="Z59" i="40"/>
  <c r="Z35" i="37"/>
  <c r="Z44" i="37"/>
  <c r="Z463" i="17"/>
  <c r="Y27" i="40"/>
  <c r="Y28" i="40" s="1"/>
  <c r="X29" i="40"/>
  <c r="X65" i="40" s="1"/>
  <c r="Z26" i="40"/>
  <c r="Z817" i="17"/>
  <c r="Z876" i="17"/>
  <c r="Z342" i="1"/>
  <c r="Z354" i="1"/>
  <c r="Z164" i="17"/>
  <c r="Z419" i="17"/>
  <c r="Z2" i="41"/>
  <c r="Z2" i="40"/>
  <c r="AA4" i="40"/>
  <c r="AA9" i="40"/>
  <c r="AA4" i="41"/>
  <c r="AB11" i="40"/>
  <c r="AB420" i="17" s="1"/>
  <c r="Z292" i="17" l="1"/>
  <c r="Z293" i="17"/>
  <c r="Z290" i="17"/>
  <c r="Z289" i="17"/>
  <c r="Z291" i="17"/>
  <c r="AA288" i="17"/>
  <c r="AA677" i="17"/>
  <c r="AA59" i="40"/>
  <c r="AA44" i="37"/>
  <c r="AA35" i="37"/>
  <c r="AA463" i="17"/>
  <c r="Y29" i="40"/>
  <c r="Y65" i="40" s="1"/>
  <c r="Y66" i="40" s="1"/>
  <c r="Y464" i="17"/>
  <c r="Z27" i="40"/>
  <c r="Z28" i="40" s="1"/>
  <c r="Z464" i="17" s="1"/>
  <c r="AA26" i="40"/>
  <c r="AA817" i="17"/>
  <c r="AA876" i="17"/>
  <c r="AA342" i="1"/>
  <c r="AA354" i="1"/>
  <c r="AA419" i="17"/>
  <c r="AA164" i="17"/>
  <c r="AA2" i="41"/>
  <c r="AA2" i="40"/>
  <c r="AB4" i="40"/>
  <c r="AB4" i="41"/>
  <c r="AB9" i="40"/>
  <c r="AC11" i="40"/>
  <c r="AC420" i="17" s="1"/>
  <c r="AA290" i="17" l="1"/>
  <c r="AA293" i="17"/>
  <c r="AA289" i="17"/>
  <c r="AA291" i="17"/>
  <c r="AA292" i="17"/>
  <c r="AB288" i="17"/>
  <c r="AB677" i="17"/>
  <c r="AB59" i="40"/>
  <c r="AB35" i="37"/>
  <c r="AB44" i="37"/>
  <c r="AB463" i="17"/>
  <c r="AA27" i="40"/>
  <c r="AA28" i="40" s="1"/>
  <c r="AA464" i="17" s="1"/>
  <c r="Z29" i="40"/>
  <c r="Z65" i="40" s="1"/>
  <c r="Z66" i="40" s="1"/>
  <c r="AB26" i="40"/>
  <c r="AB876" i="17"/>
  <c r="AB817" i="17"/>
  <c r="AB342" i="1"/>
  <c r="AB354" i="1"/>
  <c r="AB164" i="17"/>
  <c r="AB419" i="17"/>
  <c r="AC9" i="40"/>
  <c r="AC4" i="40"/>
  <c r="AD11" i="40"/>
  <c r="AD420" i="17" s="1"/>
  <c r="AC4" i="41"/>
  <c r="AB2" i="40"/>
  <c r="AB2" i="41"/>
  <c r="AB290" i="17" l="1"/>
  <c r="AB293" i="17"/>
  <c r="AB289" i="17"/>
  <c r="AB292" i="17"/>
  <c r="AB291" i="17"/>
  <c r="AC288" i="17"/>
  <c r="AC677" i="17"/>
  <c r="AC59" i="40"/>
  <c r="AC44" i="37"/>
  <c r="AC35" i="37"/>
  <c r="AC463" i="17"/>
  <c r="AB27" i="40"/>
  <c r="AB28" i="40" s="1"/>
  <c r="AB464" i="17" s="1"/>
  <c r="AA29" i="40"/>
  <c r="AA65" i="40" s="1"/>
  <c r="AA66" i="40" s="1"/>
  <c r="AC26" i="40"/>
  <c r="AC876" i="17"/>
  <c r="AC817" i="17"/>
  <c r="AC354" i="1"/>
  <c r="AC342" i="1"/>
  <c r="AC419" i="17"/>
  <c r="AC164" i="17"/>
  <c r="AC2" i="40"/>
  <c r="AC2" i="41"/>
  <c r="AD4" i="41"/>
  <c r="AD9" i="40"/>
  <c r="AD4" i="40"/>
  <c r="AE11" i="40"/>
  <c r="AE420" i="17" s="1"/>
  <c r="AC292" i="17" l="1"/>
  <c r="AC293" i="17"/>
  <c r="AC289" i="17"/>
  <c r="AC290" i="17"/>
  <c r="AC291" i="17"/>
  <c r="AD288" i="17"/>
  <c r="AD677" i="17"/>
  <c r="AD59" i="40"/>
  <c r="AD44" i="37"/>
  <c r="AD35" i="37"/>
  <c r="AD463" i="17"/>
  <c r="AC27" i="40"/>
  <c r="AC28" i="40" s="1"/>
  <c r="AB29" i="40"/>
  <c r="AB65" i="40" s="1"/>
  <c r="AB66" i="40" s="1"/>
  <c r="AD26" i="40"/>
  <c r="AD817" i="17"/>
  <c r="AD876" i="17"/>
  <c r="AD342" i="1"/>
  <c r="AD354" i="1"/>
  <c r="AD419" i="17"/>
  <c r="AD164" i="17"/>
  <c r="AF11" i="40"/>
  <c r="AF420" i="17" s="1"/>
  <c r="AE9" i="40"/>
  <c r="AE4" i="40"/>
  <c r="AE4" i="41"/>
  <c r="AD2" i="40"/>
  <c r="AD2" i="41"/>
  <c r="AD292" i="17" l="1"/>
  <c r="AD293" i="17"/>
  <c r="AD289" i="17"/>
  <c r="AD290" i="17"/>
  <c r="AD291" i="17"/>
  <c r="AE288" i="17"/>
  <c r="AE677" i="17"/>
  <c r="AE59" i="40"/>
  <c r="AE44" i="37"/>
  <c r="AE35" i="37"/>
  <c r="AE463" i="17"/>
  <c r="AC29" i="40"/>
  <c r="AC65" i="40" s="1"/>
  <c r="AC66" i="40" s="1"/>
  <c r="AC464" i="17"/>
  <c r="AD27" i="40"/>
  <c r="AD28" i="40" s="1"/>
  <c r="AE26" i="40"/>
  <c r="AE817" i="17"/>
  <c r="AE876" i="17"/>
  <c r="AE354" i="1"/>
  <c r="AE342" i="1"/>
  <c r="AE419" i="17"/>
  <c r="AE164" i="17"/>
  <c r="AE2" i="40"/>
  <c r="AE2" i="41"/>
  <c r="AF4" i="41"/>
  <c r="AG11" i="40"/>
  <c r="AG420" i="17" s="1"/>
  <c r="AF4" i="40"/>
  <c r="AF9" i="40"/>
  <c r="AE289" i="17" l="1"/>
  <c r="AE293" i="17"/>
  <c r="AE292" i="17"/>
  <c r="AE290" i="17"/>
  <c r="AE291" i="17"/>
  <c r="AF288" i="17"/>
  <c r="AF677" i="17"/>
  <c r="AF59" i="40"/>
  <c r="AF44" i="37"/>
  <c r="AF35" i="37"/>
  <c r="AF463" i="17"/>
  <c r="AD29" i="40"/>
  <c r="AD65" i="40" s="1"/>
  <c r="AD66" i="40" s="1"/>
  <c r="AD464" i="17"/>
  <c r="AE27" i="40"/>
  <c r="AE28" i="40" s="1"/>
  <c r="AE464" i="17" s="1"/>
  <c r="AF26" i="40"/>
  <c r="AF876" i="17"/>
  <c r="AF817" i="17"/>
  <c r="AF354" i="1"/>
  <c r="AF342" i="1"/>
  <c r="AF419" i="17"/>
  <c r="AF164" i="17"/>
  <c r="AF2" i="40"/>
  <c r="AF2" i="41"/>
  <c r="AG4" i="41"/>
  <c r="AH11" i="40"/>
  <c r="AH420" i="17" s="1"/>
  <c r="AG4" i="40"/>
  <c r="AG9" i="40"/>
  <c r="AF289" i="17" l="1"/>
  <c r="AF293" i="17"/>
  <c r="AF290" i="17"/>
  <c r="AF291" i="17"/>
  <c r="AF292" i="17"/>
  <c r="AG288" i="17"/>
  <c r="AG677" i="17"/>
  <c r="AF27" i="40"/>
  <c r="AF28" i="40"/>
  <c r="AF464" i="17" s="1"/>
  <c r="AG59" i="40"/>
  <c r="AG35" i="37"/>
  <c r="AG44" i="37"/>
  <c r="AG463" i="17"/>
  <c r="AE29" i="40"/>
  <c r="AG26" i="40"/>
  <c r="AG817" i="17"/>
  <c r="AG876" i="17"/>
  <c r="AG354" i="1"/>
  <c r="AG342" i="1"/>
  <c r="AG164" i="17"/>
  <c r="AG419" i="17"/>
  <c r="AG2" i="41"/>
  <c r="AG2" i="40"/>
  <c r="AH4" i="41"/>
  <c r="AH4" i="40"/>
  <c r="AI11" i="40"/>
  <c r="AI420" i="17" s="1"/>
  <c r="AH9" i="40"/>
  <c r="AG290" i="17" l="1"/>
  <c r="AG293" i="17"/>
  <c r="AG291" i="17"/>
  <c r="AG289" i="17"/>
  <c r="AG292" i="17"/>
  <c r="AF29" i="40"/>
  <c r="AF65" i="40" s="1"/>
  <c r="AF69" i="40" s="1"/>
  <c r="AF71" i="40" s="1"/>
  <c r="AF664" i="17" s="1"/>
  <c r="AF666" i="17" s="1"/>
  <c r="AH288" i="17"/>
  <c r="AH677" i="17"/>
  <c r="AG27" i="40"/>
  <c r="AG28" i="40" s="1"/>
  <c r="AG464" i="17" s="1"/>
  <c r="AH59" i="40"/>
  <c r="AH35" i="37"/>
  <c r="AH44" i="37"/>
  <c r="AH463" i="17"/>
  <c r="AE65" i="40"/>
  <c r="AE66" i="40" s="1"/>
  <c r="AH26" i="40"/>
  <c r="AH817" i="17"/>
  <c r="AH876" i="17"/>
  <c r="AH342" i="1"/>
  <c r="AH354" i="1"/>
  <c r="AH164" i="17"/>
  <c r="AH419" i="17"/>
  <c r="AH2" i="41"/>
  <c r="AH2" i="40"/>
  <c r="AI9" i="40"/>
  <c r="AI4" i="41"/>
  <c r="AI4" i="40"/>
  <c r="AJ11" i="40"/>
  <c r="AJ420" i="17" s="1"/>
  <c r="AH291" i="17" l="1"/>
  <c r="AH293" i="17"/>
  <c r="AH289" i="17"/>
  <c r="AH292" i="17"/>
  <c r="AH290" i="17"/>
  <c r="AG29" i="40"/>
  <c r="AG65" i="40" s="1"/>
  <c r="AG69" i="40" s="1"/>
  <c r="AG71" i="40" s="1"/>
  <c r="AG664" i="17" s="1"/>
  <c r="AG666" i="17" s="1"/>
  <c r="AI288" i="17"/>
  <c r="AI677" i="17"/>
  <c r="AH27" i="40"/>
  <c r="AH28" i="40" s="1"/>
  <c r="AH464" i="17" s="1"/>
  <c r="AI59" i="40"/>
  <c r="AI35" i="37"/>
  <c r="AI44" i="37"/>
  <c r="AI463" i="17"/>
  <c r="AI26" i="40"/>
  <c r="AI817" i="17"/>
  <c r="AI876" i="17"/>
  <c r="AI342" i="1"/>
  <c r="AI354" i="1"/>
  <c r="AI419" i="17"/>
  <c r="AI164" i="17"/>
  <c r="AI2" i="40"/>
  <c r="AI2" i="41"/>
  <c r="AJ4" i="41"/>
  <c r="AJ4" i="40"/>
  <c r="AJ9" i="40"/>
  <c r="AK11" i="40"/>
  <c r="AK420" i="17" s="1"/>
  <c r="AI290" i="17" l="1"/>
  <c r="AI293" i="17"/>
  <c r="AI291" i="17"/>
  <c r="AI289" i="17"/>
  <c r="AI292" i="17"/>
  <c r="AJ288" i="17"/>
  <c r="AJ677" i="17"/>
  <c r="AH29" i="40"/>
  <c r="AH65" i="40" s="1"/>
  <c r="AH69" i="40" s="1"/>
  <c r="AH71" i="40" s="1"/>
  <c r="AH664" i="17" s="1"/>
  <c r="AH666" i="17" s="1"/>
  <c r="AI27" i="40"/>
  <c r="AI28" i="40" s="1"/>
  <c r="AI464" i="17" s="1"/>
  <c r="AJ59" i="40"/>
  <c r="AJ35" i="37"/>
  <c r="AJ44" i="37"/>
  <c r="AJ463" i="17"/>
  <c r="AJ26" i="40"/>
  <c r="AJ817" i="17"/>
  <c r="AJ876" i="17"/>
  <c r="AJ342" i="1"/>
  <c r="AJ354" i="1"/>
  <c r="AJ419" i="17"/>
  <c r="AJ164" i="17"/>
  <c r="AK4" i="41"/>
  <c r="AK9" i="40"/>
  <c r="AK4" i="40"/>
  <c r="AL11" i="40"/>
  <c r="AL420" i="17" s="1"/>
  <c r="AJ2" i="40"/>
  <c r="AJ2" i="41"/>
  <c r="AJ291" i="17" l="1"/>
  <c r="AJ293" i="17"/>
  <c r="AJ289" i="17"/>
  <c r="AJ292" i="17"/>
  <c r="AJ290" i="17"/>
  <c r="AI29" i="40"/>
  <c r="AI65" i="40" s="1"/>
  <c r="AI69" i="40" s="1"/>
  <c r="AI71" i="40" s="1"/>
  <c r="AI664" i="17" s="1"/>
  <c r="AI666" i="17" s="1"/>
  <c r="AK288" i="17"/>
  <c r="AK677" i="17"/>
  <c r="AJ28" i="40"/>
  <c r="AJ464" i="17" s="1"/>
  <c r="AK59" i="40"/>
  <c r="AK44" i="37"/>
  <c r="AK35" i="37"/>
  <c r="AK463" i="17"/>
  <c r="AJ27" i="40"/>
  <c r="AK26" i="40"/>
  <c r="AK817" i="17"/>
  <c r="AK876" i="17"/>
  <c r="AK354" i="1"/>
  <c r="AK342" i="1"/>
  <c r="AK164" i="17"/>
  <c r="AK419" i="17"/>
  <c r="AL4" i="40"/>
  <c r="AL4" i="41"/>
  <c r="AL9" i="40"/>
  <c r="AM11" i="40"/>
  <c r="AM420" i="17" s="1"/>
  <c r="AK2" i="41"/>
  <c r="AK2" i="40"/>
  <c r="AK290" i="17" l="1"/>
  <c r="AK293" i="17"/>
  <c r="AK292" i="17"/>
  <c r="AJ29" i="40"/>
  <c r="AJ65" i="40" s="1"/>
  <c r="AJ69" i="40" s="1"/>
  <c r="AJ71" i="40" s="1"/>
  <c r="AJ664" i="17" s="1"/>
  <c r="AJ666" i="17" s="1"/>
  <c r="AK291" i="17"/>
  <c r="AK289" i="17"/>
  <c r="AL288" i="17"/>
  <c r="AL292" i="17" s="1"/>
  <c r="AL677" i="17"/>
  <c r="AK28" i="40"/>
  <c r="AK464" i="17" s="1"/>
  <c r="AK27" i="40"/>
  <c r="AL59" i="40"/>
  <c r="AL35" i="37"/>
  <c r="AL44" i="37"/>
  <c r="AL463" i="17"/>
  <c r="AL26" i="40"/>
  <c r="AL817" i="17"/>
  <c r="AL876" i="17"/>
  <c r="AL342" i="1"/>
  <c r="AL354" i="1"/>
  <c r="AL164" i="17"/>
  <c r="AL419" i="17"/>
  <c r="AL2" i="40"/>
  <c r="AL2" i="41"/>
  <c r="AM4" i="41"/>
  <c r="AN11" i="40"/>
  <c r="AN420" i="17" s="1"/>
  <c r="AM9" i="40"/>
  <c r="AM4" i="40"/>
  <c r="AL291" i="17" l="1"/>
  <c r="AL293" i="17"/>
  <c r="AL290" i="17"/>
  <c r="AL289" i="17"/>
  <c r="AK29" i="40"/>
  <c r="AK65" i="40" s="1"/>
  <c r="AK69" i="40" s="1"/>
  <c r="AK71" i="40" s="1"/>
  <c r="AK664" i="17" s="1"/>
  <c r="AK666" i="17" s="1"/>
  <c r="AM288" i="17"/>
  <c r="AM677" i="17"/>
  <c r="AL27" i="40"/>
  <c r="AL28" i="40"/>
  <c r="AL464" i="17" s="1"/>
  <c r="AM59" i="40"/>
  <c r="AM44" i="37"/>
  <c r="AM35" i="37"/>
  <c r="AM463" i="17"/>
  <c r="AM26" i="40"/>
  <c r="AM876" i="17"/>
  <c r="AM817" i="17"/>
  <c r="AM354" i="1"/>
  <c r="AM342" i="1"/>
  <c r="AM419" i="17"/>
  <c r="AM164" i="17"/>
  <c r="AM2" i="41"/>
  <c r="AM2" i="40"/>
  <c r="AN4" i="41"/>
  <c r="AO11" i="40"/>
  <c r="AO420" i="17" s="1"/>
  <c r="AN4" i="40"/>
  <c r="AN9" i="40"/>
  <c r="AM292" i="17" l="1"/>
  <c r="AM293" i="17"/>
  <c r="AM289" i="17"/>
  <c r="AM290" i="17"/>
  <c r="AM291" i="17"/>
  <c r="AN288" i="17"/>
  <c r="AN677" i="17"/>
  <c r="AM27" i="40"/>
  <c r="AL29" i="40"/>
  <c r="AL65" i="40" s="1"/>
  <c r="AL69" i="40" s="1"/>
  <c r="AL71" i="40" s="1"/>
  <c r="AL664" i="17" s="1"/>
  <c r="AL666" i="17" s="1"/>
  <c r="AN59" i="40"/>
  <c r="AN44" i="37"/>
  <c r="AN35" i="37"/>
  <c r="AN463" i="17"/>
  <c r="AM28" i="40"/>
  <c r="AN26" i="40"/>
  <c r="AN876" i="17"/>
  <c r="AN817" i="17"/>
  <c r="AN354" i="1"/>
  <c r="AN342" i="1"/>
  <c r="AN419" i="17"/>
  <c r="AN164" i="17"/>
  <c r="AO4" i="41"/>
  <c r="AP11" i="40"/>
  <c r="AP420" i="17" s="1"/>
  <c r="AO4" i="40"/>
  <c r="AO9" i="40"/>
  <c r="AN2" i="40"/>
  <c r="AN2" i="41"/>
  <c r="AN292" i="17" l="1"/>
  <c r="AN293" i="17"/>
  <c r="AN291" i="17"/>
  <c r="AN289" i="17"/>
  <c r="AN290" i="17"/>
  <c r="AO288" i="17"/>
  <c r="AO677" i="17"/>
  <c r="AN27" i="40"/>
  <c r="AO59" i="40"/>
  <c r="AO35" i="37"/>
  <c r="AO44" i="37"/>
  <c r="AO463" i="17"/>
  <c r="AM29" i="40"/>
  <c r="AM65" i="40" s="1"/>
  <c r="AM69" i="40" s="1"/>
  <c r="AM71" i="40" s="1"/>
  <c r="AM664" i="17" s="1"/>
  <c r="AM666" i="17" s="1"/>
  <c r="AM464" i="17"/>
  <c r="AN28" i="40"/>
  <c r="AN464" i="17" s="1"/>
  <c r="AO26" i="40"/>
  <c r="AO876" i="17"/>
  <c r="AO817" i="17"/>
  <c r="AO354" i="1"/>
  <c r="AO342" i="1"/>
  <c r="AO164" i="17"/>
  <c r="AO419" i="17"/>
  <c r="AO2" i="40"/>
  <c r="AO2" i="41"/>
  <c r="AP4" i="41"/>
  <c r="AP4" i="40"/>
  <c r="AQ11" i="40"/>
  <c r="AQ420" i="17" s="1"/>
  <c r="AP9" i="40"/>
  <c r="AO290" i="17" l="1"/>
  <c r="AO293" i="17"/>
  <c r="AO291" i="17"/>
  <c r="AO289" i="17"/>
  <c r="AO292" i="17"/>
  <c r="AP288" i="17"/>
  <c r="AP677" i="17"/>
  <c r="AO27" i="40"/>
  <c r="AP59" i="40"/>
  <c r="AP35" i="37"/>
  <c r="AP44" i="37"/>
  <c r="AP463" i="17"/>
  <c r="AN29" i="40"/>
  <c r="AN65" i="40" s="1"/>
  <c r="AN69" i="40" s="1"/>
  <c r="AN71" i="40" s="1"/>
  <c r="AN664" i="17" s="1"/>
  <c r="AN666" i="17" s="1"/>
  <c r="AO28" i="40"/>
  <c r="AO464" i="17" s="1"/>
  <c r="AP26" i="40"/>
  <c r="AP817" i="17"/>
  <c r="AP876" i="17"/>
  <c r="AP342" i="1"/>
  <c r="AP354" i="1"/>
  <c r="AP164" i="17"/>
  <c r="AP419" i="17"/>
  <c r="AQ4" i="41"/>
  <c r="AQ4" i="40"/>
  <c r="AR11" i="40"/>
  <c r="AR420" i="17" s="1"/>
  <c r="AQ9" i="40"/>
  <c r="AP2" i="40"/>
  <c r="AP2" i="41"/>
  <c r="AP292" i="17" l="1"/>
  <c r="AP293" i="17"/>
  <c r="AP289" i="17"/>
  <c r="AP290" i="17"/>
  <c r="AP291" i="17"/>
  <c r="AO29" i="40"/>
  <c r="AO65" i="40" s="1"/>
  <c r="AO69" i="40" s="1"/>
  <c r="AO71" i="40" s="1"/>
  <c r="AO664" i="17" s="1"/>
  <c r="AO666" i="17" s="1"/>
  <c r="AQ288" i="17"/>
  <c r="AQ677" i="17"/>
  <c r="AP27" i="40"/>
  <c r="AQ59" i="40"/>
  <c r="AQ35" i="37"/>
  <c r="AQ44" i="37"/>
  <c r="AQ463" i="17"/>
  <c r="AP28" i="40"/>
  <c r="AP464" i="17" s="1"/>
  <c r="AQ26" i="40"/>
  <c r="AQ817" i="17"/>
  <c r="AQ876" i="17"/>
  <c r="AQ342" i="1"/>
  <c r="AQ354" i="1"/>
  <c r="AQ164" i="17"/>
  <c r="AQ419" i="17"/>
  <c r="AQ2" i="41"/>
  <c r="AQ2" i="40"/>
  <c r="AR4" i="41"/>
  <c r="AR4" i="40"/>
  <c r="AR9" i="40"/>
  <c r="AS11" i="40"/>
  <c r="AS420" i="17" s="1"/>
  <c r="AQ290" i="17" l="1"/>
  <c r="AQ293" i="17"/>
  <c r="AQ289" i="17"/>
  <c r="AQ291" i="17"/>
  <c r="AQ292" i="17"/>
  <c r="AR288" i="17"/>
  <c r="AR677" i="17"/>
  <c r="AP29" i="40"/>
  <c r="AP65" i="40" s="1"/>
  <c r="AP69" i="40" s="1"/>
  <c r="AP71" i="40" s="1"/>
  <c r="AP664" i="17" s="1"/>
  <c r="AP666" i="17" s="1"/>
  <c r="AQ27" i="40"/>
  <c r="AQ28" i="40"/>
  <c r="AQ464" i="17" s="1"/>
  <c r="AR59" i="40"/>
  <c r="AR35" i="37"/>
  <c r="AR44" i="37"/>
  <c r="AR463" i="17"/>
  <c r="AR26" i="40"/>
  <c r="AR817" i="17"/>
  <c r="AR876" i="17"/>
  <c r="AQ29" i="40"/>
  <c r="AQ65" i="40" s="1"/>
  <c r="AQ69" i="40" s="1"/>
  <c r="AQ71" i="40" s="1"/>
  <c r="AQ664" i="17" s="1"/>
  <c r="AQ666" i="17" s="1"/>
  <c r="AR342" i="1"/>
  <c r="AR354" i="1"/>
  <c r="AR164" i="17"/>
  <c r="AR419" i="17"/>
  <c r="AS9" i="40"/>
  <c r="AT11" i="40"/>
  <c r="AT420" i="17" s="1"/>
  <c r="AS4" i="41"/>
  <c r="AS4" i="40"/>
  <c r="AR2" i="40"/>
  <c r="AR2" i="41"/>
  <c r="AR289" i="17" l="1"/>
  <c r="AR293" i="17"/>
  <c r="AR291" i="17"/>
  <c r="AR290" i="17"/>
  <c r="AR292" i="17"/>
  <c r="AS288" i="17"/>
  <c r="AS677" i="17"/>
  <c r="AR27" i="40"/>
  <c r="AR28" i="40"/>
  <c r="AR464" i="17" s="1"/>
  <c r="AS59" i="40"/>
  <c r="AS35" i="37"/>
  <c r="AS44" i="37"/>
  <c r="AS463" i="17"/>
  <c r="AS26" i="40"/>
  <c r="AS817" i="17"/>
  <c r="AS876" i="17"/>
  <c r="AS354" i="1"/>
  <c r="AS342" i="1"/>
  <c r="AS419" i="17"/>
  <c r="AS164" i="17"/>
  <c r="AS2" i="40"/>
  <c r="AS2" i="41"/>
  <c r="AT4" i="41"/>
  <c r="AT4" i="40"/>
  <c r="AT9" i="40"/>
  <c r="AU11" i="40"/>
  <c r="AU420" i="17" s="1"/>
  <c r="AS290" i="17" l="1"/>
  <c r="AS293" i="17"/>
  <c r="AS289" i="17"/>
  <c r="AS291" i="17"/>
  <c r="AS292" i="17"/>
  <c r="AT288" i="17"/>
  <c r="AT677" i="17"/>
  <c r="AR29" i="40"/>
  <c r="AR65" i="40" s="1"/>
  <c r="AR69" i="40" s="1"/>
  <c r="AR71" i="40" s="1"/>
  <c r="AR664" i="17" s="1"/>
  <c r="AR666" i="17" s="1"/>
  <c r="AS27" i="40"/>
  <c r="AS28" i="40"/>
  <c r="AS464" i="17" s="1"/>
  <c r="AT59" i="40"/>
  <c r="AT35" i="37"/>
  <c r="AT44" i="37"/>
  <c r="AT463" i="17"/>
  <c r="AT26" i="40"/>
  <c r="AT876" i="17"/>
  <c r="AT817" i="17"/>
  <c r="AT342" i="1"/>
  <c r="AT354" i="1"/>
  <c r="AT419" i="17"/>
  <c r="AT164" i="17"/>
  <c r="AT2" i="40"/>
  <c r="AT2" i="41"/>
  <c r="AU4" i="41"/>
  <c r="AV11" i="40"/>
  <c r="AV420" i="17" s="1"/>
  <c r="AU9" i="40"/>
  <c r="AU4" i="40"/>
  <c r="AT290" i="17" l="1"/>
  <c r="AT293" i="17"/>
  <c r="AS29" i="40"/>
  <c r="AS65" i="40" s="1"/>
  <c r="AS69" i="40" s="1"/>
  <c r="AS71" i="40" s="1"/>
  <c r="AS664" i="17" s="1"/>
  <c r="AS666" i="17" s="1"/>
  <c r="AT291" i="17"/>
  <c r="AT292" i="17"/>
  <c r="AT289" i="17"/>
  <c r="AU288" i="17"/>
  <c r="AU677" i="17"/>
  <c r="AT27" i="40"/>
  <c r="AU59" i="40"/>
  <c r="AU44" i="37"/>
  <c r="AU35" i="37"/>
  <c r="AU463" i="17"/>
  <c r="AT28" i="40"/>
  <c r="AT464" i="17" s="1"/>
  <c r="AU26" i="40"/>
  <c r="AU876" i="17"/>
  <c r="AU817" i="17"/>
  <c r="AU354" i="1"/>
  <c r="AU342" i="1"/>
  <c r="AU419" i="17"/>
  <c r="AU164" i="17"/>
  <c r="AU2" i="40"/>
  <c r="AU2" i="41"/>
  <c r="AV4" i="41"/>
  <c r="AV9" i="40"/>
  <c r="AV4" i="40"/>
  <c r="E71" i="25"/>
  <c r="E72" i="25"/>
  <c r="C72" i="25"/>
  <c r="E70" i="25"/>
  <c r="A1" i="25"/>
  <c r="A4" i="24"/>
  <c r="G92" i="38"/>
  <c r="G91" i="38"/>
  <c r="G90" i="38"/>
  <c r="G88" i="38"/>
  <c r="G1034" i="17"/>
  <c r="G1033" i="17"/>
  <c r="E1034" i="17"/>
  <c r="E1033" i="17"/>
  <c r="G1032" i="17"/>
  <c r="E1032" i="17"/>
  <c r="G1031" i="17"/>
  <c r="E1031" i="17"/>
  <c r="G1030" i="17"/>
  <c r="E1030" i="17"/>
  <c r="G1029" i="17"/>
  <c r="E1029" i="17"/>
  <c r="G1028" i="17"/>
  <c r="E1028" i="17"/>
  <c r="G1027" i="17"/>
  <c r="G1026" i="17"/>
  <c r="L985" i="17"/>
  <c r="G840" i="17"/>
  <c r="G36" i="38" s="1"/>
  <c r="E840" i="17"/>
  <c r="E36" i="38" s="1"/>
  <c r="E38" i="38" s="1"/>
  <c r="E88" i="38" s="1"/>
  <c r="E22" i="25"/>
  <c r="G30" i="42" s="1"/>
  <c r="C22" i="25"/>
  <c r="E30" i="42" s="1"/>
  <c r="G988" i="17"/>
  <c r="E60" i="25" s="1"/>
  <c r="G986" i="17"/>
  <c r="E58" i="25" s="1"/>
  <c r="E988" i="17"/>
  <c r="C60" i="25" s="1"/>
  <c r="E74" i="42" s="1"/>
  <c r="E974" i="17"/>
  <c r="O985" i="17"/>
  <c r="N985" i="17"/>
  <c r="M985" i="17"/>
  <c r="K985" i="17"/>
  <c r="J985" i="17"/>
  <c r="I985" i="17"/>
  <c r="H985" i="17"/>
  <c r="G985" i="17"/>
  <c r="E57" i="25" s="1"/>
  <c r="F985" i="17"/>
  <c r="D57" i="25" s="1"/>
  <c r="K975" i="17"/>
  <c r="J975" i="17"/>
  <c r="I975" i="17"/>
  <c r="H975" i="17"/>
  <c r="G975" i="17"/>
  <c r="F975" i="17"/>
  <c r="D47" i="25" s="1"/>
  <c r="E986" i="17"/>
  <c r="C58" i="25" s="1"/>
  <c r="E72" i="42" s="1"/>
  <c r="E985" i="17"/>
  <c r="C57" i="25" s="1"/>
  <c r="E975" i="17"/>
  <c r="C47" i="25" s="1"/>
  <c r="K890" i="17"/>
  <c r="K52" i="38" s="1"/>
  <c r="H890" i="17"/>
  <c r="H52" i="38" s="1"/>
  <c r="K51" i="38"/>
  <c r="I51" i="38"/>
  <c r="H51" i="38"/>
  <c r="I916" i="17"/>
  <c r="F174" i="43" s="1"/>
  <c r="F51" i="38"/>
  <c r="E916" i="17"/>
  <c r="B174" i="43" s="1"/>
  <c r="K885" i="17"/>
  <c r="K48" i="38" s="1"/>
  <c r="I885" i="17"/>
  <c r="I48" i="38" s="1"/>
  <c r="H885" i="17"/>
  <c r="H48" i="38" s="1"/>
  <c r="G885" i="17"/>
  <c r="I911" i="17" s="1"/>
  <c r="F170" i="43" s="1"/>
  <c r="F885" i="17"/>
  <c r="F48" i="38" s="1"/>
  <c r="E885" i="17"/>
  <c r="K884" i="17"/>
  <c r="K47" i="38" s="1"/>
  <c r="I884" i="17"/>
  <c r="I47" i="38" s="1"/>
  <c r="H884" i="17"/>
  <c r="H47" i="38" s="1"/>
  <c r="G884" i="17"/>
  <c r="I910" i="17" s="1"/>
  <c r="F169" i="43" s="1"/>
  <c r="F884" i="17"/>
  <c r="F47" i="38" s="1"/>
  <c r="E884" i="17"/>
  <c r="K883" i="17"/>
  <c r="K46" i="38" s="1"/>
  <c r="I883" i="17"/>
  <c r="I46" i="38" s="1"/>
  <c r="H883" i="17"/>
  <c r="H46" i="38" s="1"/>
  <c r="G883" i="17"/>
  <c r="I909" i="17" s="1"/>
  <c r="F168" i="43" s="1"/>
  <c r="F883" i="17"/>
  <c r="F46" i="38" s="1"/>
  <c r="E883" i="17"/>
  <c r="K882" i="17"/>
  <c r="K45" i="38" s="1"/>
  <c r="I882" i="17"/>
  <c r="I45" i="38" s="1"/>
  <c r="H882" i="17"/>
  <c r="H45" i="38" s="1"/>
  <c r="G882" i="17"/>
  <c r="I908" i="17" s="1"/>
  <c r="F167" i="43" s="1"/>
  <c r="F882" i="17"/>
  <c r="F45" i="38" s="1"/>
  <c r="E882" i="17"/>
  <c r="K881" i="17"/>
  <c r="K44" i="38" s="1"/>
  <c r="I881" i="17"/>
  <c r="I44" i="38" s="1"/>
  <c r="H881" i="17"/>
  <c r="H44" i="38" s="1"/>
  <c r="G881" i="17"/>
  <c r="I907" i="17" s="1"/>
  <c r="F166" i="43" s="1"/>
  <c r="F881" i="17"/>
  <c r="F44" i="38" s="1"/>
  <c r="E881" i="17"/>
  <c r="K880" i="17"/>
  <c r="K43" i="38" s="1"/>
  <c r="I880" i="17"/>
  <c r="I43" i="38" s="1"/>
  <c r="H880" i="17"/>
  <c r="H43" i="38" s="1"/>
  <c r="G880" i="17"/>
  <c r="I906" i="17" s="1"/>
  <c r="F165" i="43" s="1"/>
  <c r="F880" i="17"/>
  <c r="F43" i="38" s="1"/>
  <c r="E880" i="17"/>
  <c r="K878" i="17"/>
  <c r="K41" i="38" s="1"/>
  <c r="I878" i="17"/>
  <c r="I41" i="38" s="1"/>
  <c r="H878" i="17"/>
  <c r="H41" i="38" s="1"/>
  <c r="G878" i="17"/>
  <c r="I904" i="17" s="1"/>
  <c r="F164" i="43" s="1"/>
  <c r="F878" i="17"/>
  <c r="F41" i="38" s="1"/>
  <c r="E878" i="17"/>
  <c r="G971" i="17"/>
  <c r="E29" i="25" s="1"/>
  <c r="G37" i="42" s="1"/>
  <c r="E971" i="17"/>
  <c r="C29" i="25" s="1"/>
  <c r="G970" i="17"/>
  <c r="E970" i="17"/>
  <c r="N950" i="17"/>
  <c r="N974" i="17" s="1"/>
  <c r="M950" i="17"/>
  <c r="M974" i="17" s="1"/>
  <c r="K950" i="17"/>
  <c r="K974" i="17" s="1"/>
  <c r="H950" i="17"/>
  <c r="N993" i="17"/>
  <c r="M993" i="17"/>
  <c r="E837" i="17"/>
  <c r="E870" i="17" s="1"/>
  <c r="B158" i="43" s="1"/>
  <c r="F837" i="17"/>
  <c r="F32" i="38" s="1"/>
  <c r="G837" i="17"/>
  <c r="I870" i="17" s="1"/>
  <c r="F158" i="43" s="1"/>
  <c r="H837" i="17"/>
  <c r="H32" i="38" s="1"/>
  <c r="I837" i="17"/>
  <c r="I32" i="38" s="1"/>
  <c r="K837" i="17"/>
  <c r="K32" i="38" s="1"/>
  <c r="E444" i="17"/>
  <c r="E828" i="17"/>
  <c r="E861" i="17" s="1"/>
  <c r="B149" i="43" s="1"/>
  <c r="F828" i="17"/>
  <c r="F23" i="38" s="1"/>
  <c r="H828" i="17"/>
  <c r="H23" i="38" s="1"/>
  <c r="I828" i="17"/>
  <c r="I23" i="38" s="1"/>
  <c r="K828" i="17"/>
  <c r="K23" i="38" s="1"/>
  <c r="E832" i="17"/>
  <c r="E865" i="17" s="1"/>
  <c r="B153" i="43" s="1"/>
  <c r="F832" i="17"/>
  <c r="F27" i="38" s="1"/>
  <c r="G832" i="17"/>
  <c r="I865" i="17" s="1"/>
  <c r="F153" i="43" s="1"/>
  <c r="H832" i="17"/>
  <c r="H27" i="38" s="1"/>
  <c r="I832" i="17"/>
  <c r="I27" i="38" s="1"/>
  <c r="K832" i="17"/>
  <c r="K27" i="38" s="1"/>
  <c r="E831" i="17"/>
  <c r="F831" i="17"/>
  <c r="F26" i="38" s="1"/>
  <c r="G831" i="17"/>
  <c r="H831" i="17"/>
  <c r="H26" i="38" s="1"/>
  <c r="I831" i="17"/>
  <c r="I26" i="38" s="1"/>
  <c r="K831" i="17"/>
  <c r="K26" i="38" s="1"/>
  <c r="E830" i="17"/>
  <c r="F830" i="17"/>
  <c r="F25" i="38" s="1"/>
  <c r="G830" i="17"/>
  <c r="H830" i="17"/>
  <c r="H25" i="38" s="1"/>
  <c r="I830" i="17"/>
  <c r="I25" i="38" s="1"/>
  <c r="K830" i="17"/>
  <c r="K25" i="38" s="1"/>
  <c r="E824" i="17"/>
  <c r="E857" i="17" s="1"/>
  <c r="B145" i="43" s="1"/>
  <c r="F824" i="17"/>
  <c r="F19" i="38" s="1"/>
  <c r="G824" i="17"/>
  <c r="I857" i="17" s="1"/>
  <c r="F145" i="43" s="1"/>
  <c r="H824" i="17"/>
  <c r="H19" i="38" s="1"/>
  <c r="I824" i="17"/>
  <c r="I19" i="38" s="1"/>
  <c r="K824" i="17"/>
  <c r="K19" i="38" s="1"/>
  <c r="E827" i="17"/>
  <c r="E860" i="17" s="1"/>
  <c r="B148" i="43" s="1"/>
  <c r="F827" i="17"/>
  <c r="F22" i="38" s="1"/>
  <c r="G827" i="17"/>
  <c r="I860" i="17" s="1"/>
  <c r="F148" i="43" s="1"/>
  <c r="H827" i="17"/>
  <c r="H22" i="38" s="1"/>
  <c r="I827" i="17"/>
  <c r="I22" i="38" s="1"/>
  <c r="K827" i="17"/>
  <c r="K22" i="38" s="1"/>
  <c r="E826" i="17"/>
  <c r="E859" i="17" s="1"/>
  <c r="B147" i="43" s="1"/>
  <c r="F826" i="17"/>
  <c r="F21" i="38" s="1"/>
  <c r="G826" i="17"/>
  <c r="I859" i="17" s="1"/>
  <c r="F147" i="43" s="1"/>
  <c r="H826" i="17"/>
  <c r="H21" i="38" s="1"/>
  <c r="I826" i="17"/>
  <c r="I21" i="38" s="1"/>
  <c r="E869" i="17"/>
  <c r="B157" i="43" s="1"/>
  <c r="F31" i="38"/>
  <c r="I869" i="17"/>
  <c r="F157" i="43" s="1"/>
  <c r="H31" i="38"/>
  <c r="I31" i="38"/>
  <c r="E868" i="17"/>
  <c r="B156" i="43" s="1"/>
  <c r="F30" i="38"/>
  <c r="I868" i="17"/>
  <c r="F156" i="43" s="1"/>
  <c r="H30" i="38"/>
  <c r="I30" i="38"/>
  <c r="K30" i="38"/>
  <c r="E823" i="17"/>
  <c r="E856" i="17" s="1"/>
  <c r="B144" i="43" s="1"/>
  <c r="F823" i="17"/>
  <c r="F18" i="38" s="1"/>
  <c r="G823" i="17"/>
  <c r="I856" i="17" s="1"/>
  <c r="F144" i="43" s="1"/>
  <c r="H823" i="17"/>
  <c r="H18" i="38" s="1"/>
  <c r="I823" i="17"/>
  <c r="I18" i="38" s="1"/>
  <c r="K823" i="17"/>
  <c r="K18" i="38" s="1"/>
  <c r="E822" i="17"/>
  <c r="E855" i="17" s="1"/>
  <c r="B143" i="43" s="1"/>
  <c r="F822" i="17"/>
  <c r="F17" i="38" s="1"/>
  <c r="G822" i="17"/>
  <c r="I855" i="17" s="1"/>
  <c r="F143" i="43" s="1"/>
  <c r="H822" i="17"/>
  <c r="H17" i="38" s="1"/>
  <c r="I822" i="17"/>
  <c r="I17" i="38" s="1"/>
  <c r="K822" i="17"/>
  <c r="K17" i="38" s="1"/>
  <c r="E820" i="17"/>
  <c r="E853" i="17" s="1"/>
  <c r="B141" i="43" s="1"/>
  <c r="F820" i="17"/>
  <c r="F10" i="38" s="1"/>
  <c r="H820" i="17"/>
  <c r="H10" i="38" s="1"/>
  <c r="I820" i="17"/>
  <c r="I10" i="38" s="1"/>
  <c r="K820" i="17"/>
  <c r="K10" i="38" s="1"/>
  <c r="E819" i="17"/>
  <c r="E852" i="17" s="1"/>
  <c r="B140" i="43" s="1"/>
  <c r="F819" i="17"/>
  <c r="F9" i="38" s="1"/>
  <c r="G819" i="17"/>
  <c r="I852" i="17" s="1"/>
  <c r="F140" i="43" s="1"/>
  <c r="H819" i="17"/>
  <c r="H9" i="38" s="1"/>
  <c r="I819" i="17"/>
  <c r="I9" i="38" s="1"/>
  <c r="K819" i="17"/>
  <c r="K9" i="38" s="1"/>
  <c r="K60" i="38"/>
  <c r="I60" i="38"/>
  <c r="H60" i="38"/>
  <c r="G60" i="38"/>
  <c r="F60" i="38"/>
  <c r="E60" i="38"/>
  <c r="E61" i="38" s="1"/>
  <c r="E90" i="38" s="1"/>
  <c r="K56" i="38"/>
  <c r="I56" i="38"/>
  <c r="H56" i="38"/>
  <c r="G56" i="38"/>
  <c r="F56" i="38"/>
  <c r="E56" i="38"/>
  <c r="E72" i="38"/>
  <c r="E73" i="38" s="1"/>
  <c r="E92" i="38" s="1"/>
  <c r="F72" i="38"/>
  <c r="G72" i="38"/>
  <c r="H72" i="38"/>
  <c r="I72" i="38"/>
  <c r="K72" i="38"/>
  <c r="E65" i="38"/>
  <c r="E66" i="38" s="1"/>
  <c r="E91" i="38" s="1"/>
  <c r="F65" i="38"/>
  <c r="G65" i="38"/>
  <c r="H65" i="38"/>
  <c r="I65" i="38"/>
  <c r="K65" i="38"/>
  <c r="E943" i="17"/>
  <c r="E942" i="17"/>
  <c r="E263" i="17" s="1"/>
  <c r="K993" i="17"/>
  <c r="E1011" i="17"/>
  <c r="E997" i="17"/>
  <c r="C36" i="25" s="1"/>
  <c r="C41" i="25"/>
  <c r="C71" i="25" s="1"/>
  <c r="E800" i="17"/>
  <c r="E922" i="17" s="1"/>
  <c r="E76" i="38" s="1"/>
  <c r="F800" i="17"/>
  <c r="F922" i="17" s="1"/>
  <c r="F76" i="38" s="1"/>
  <c r="G800" i="17"/>
  <c r="G922" i="17" s="1"/>
  <c r="G76" i="38" s="1"/>
  <c r="H922" i="17"/>
  <c r="H76" i="38" s="1"/>
  <c r="I800" i="17"/>
  <c r="I922" i="17" s="1"/>
  <c r="I76" i="38" s="1"/>
  <c r="K800" i="17"/>
  <c r="K922" i="17" s="1"/>
  <c r="K76" i="38" s="1"/>
  <c r="E448" i="17"/>
  <c r="F448" i="17"/>
  <c r="H448" i="17"/>
  <c r="I448" i="17"/>
  <c r="K448" i="17"/>
  <c r="E446" i="17"/>
  <c r="F446" i="17"/>
  <c r="G446" i="17"/>
  <c r="H446" i="17"/>
  <c r="I446" i="17"/>
  <c r="E447" i="17"/>
  <c r="F447" i="17"/>
  <c r="G447" i="17"/>
  <c r="H447" i="17"/>
  <c r="I447" i="17"/>
  <c r="K447" i="17"/>
  <c r="K444" i="17"/>
  <c r="I444" i="17"/>
  <c r="H444" i="17"/>
  <c r="G444" i="17"/>
  <c r="F444" i="17"/>
  <c r="E730" i="17"/>
  <c r="F730" i="17"/>
  <c r="G730" i="17"/>
  <c r="H730" i="17"/>
  <c r="I730" i="17"/>
  <c r="K730" i="17"/>
  <c r="K802" i="17"/>
  <c r="K926" i="17" s="1"/>
  <c r="K80" i="38" s="1"/>
  <c r="I802" i="17"/>
  <c r="I926" i="17" s="1"/>
  <c r="I80" i="38" s="1"/>
  <c r="H926" i="17"/>
  <c r="H80" i="38" s="1"/>
  <c r="G802" i="17"/>
  <c r="G926" i="17" s="1"/>
  <c r="G80" i="38" s="1"/>
  <c r="F802" i="17"/>
  <c r="F926" i="17" s="1"/>
  <c r="F80" i="38" s="1"/>
  <c r="E802" i="17"/>
  <c r="E926" i="17" s="1"/>
  <c r="E80" i="38" s="1"/>
  <c r="K803" i="17"/>
  <c r="K923" i="17" s="1"/>
  <c r="K77" i="38" s="1"/>
  <c r="I803" i="17"/>
  <c r="I923" i="17" s="1"/>
  <c r="I77" i="38" s="1"/>
  <c r="H923" i="17"/>
  <c r="H77" i="38" s="1"/>
  <c r="G803" i="17"/>
  <c r="G923" i="17" s="1"/>
  <c r="G77" i="38" s="1"/>
  <c r="F803" i="17"/>
  <c r="F923" i="17" s="1"/>
  <c r="F77" i="38" s="1"/>
  <c r="E803" i="17"/>
  <c r="E923" i="17" s="1"/>
  <c r="E77" i="38" s="1"/>
  <c r="E790" i="17"/>
  <c r="E149" i="26" s="1"/>
  <c r="F790" i="17"/>
  <c r="F149" i="26" s="1"/>
  <c r="G790" i="17"/>
  <c r="G149" i="26" s="1"/>
  <c r="H790" i="17"/>
  <c r="H149" i="26" s="1"/>
  <c r="I790" i="17"/>
  <c r="I149" i="26" s="1"/>
  <c r="K790" i="17"/>
  <c r="K149" i="26" s="1"/>
  <c r="E71" i="38"/>
  <c r="F71" i="38"/>
  <c r="G71" i="38"/>
  <c r="H71" i="38"/>
  <c r="I71" i="38"/>
  <c r="K71" i="38"/>
  <c r="E770" i="17"/>
  <c r="E70" i="38" s="1"/>
  <c r="F770" i="17"/>
  <c r="F70" i="38" s="1"/>
  <c r="G770" i="17"/>
  <c r="G70" i="38" s="1"/>
  <c r="H770" i="17"/>
  <c r="H70" i="38" s="1"/>
  <c r="I770" i="17"/>
  <c r="I70" i="38" s="1"/>
  <c r="K770" i="17"/>
  <c r="K70" i="38" s="1"/>
  <c r="E769" i="17"/>
  <c r="E69" i="38" s="1"/>
  <c r="F769" i="17"/>
  <c r="F69" i="38" s="1"/>
  <c r="G769" i="17"/>
  <c r="G69" i="38" s="1"/>
  <c r="H769" i="17"/>
  <c r="H69" i="38" s="1"/>
  <c r="I769" i="17"/>
  <c r="I69" i="38" s="1"/>
  <c r="K769" i="17"/>
  <c r="K69" i="38" s="1"/>
  <c r="E760" i="17"/>
  <c r="E757" i="17"/>
  <c r="F757" i="17"/>
  <c r="G757" i="17"/>
  <c r="H757" i="17"/>
  <c r="I757" i="17"/>
  <c r="K757" i="17"/>
  <c r="E736" i="17"/>
  <c r="F736" i="17"/>
  <c r="G736" i="17"/>
  <c r="H736" i="17"/>
  <c r="I736" i="17"/>
  <c r="K736" i="17"/>
  <c r="E789" i="17"/>
  <c r="E148" i="26" s="1"/>
  <c r="F789" i="17"/>
  <c r="F148" i="26" s="1"/>
  <c r="G789" i="17"/>
  <c r="G148" i="26" s="1"/>
  <c r="H789" i="17"/>
  <c r="H148" i="26" s="1"/>
  <c r="I789" i="17"/>
  <c r="I148" i="26" s="1"/>
  <c r="K789" i="17"/>
  <c r="K148" i="26" s="1"/>
  <c r="L544" i="17"/>
  <c r="AU291" i="17" l="1"/>
  <c r="AU293" i="17"/>
  <c r="AU289" i="17"/>
  <c r="E904" i="17"/>
  <c r="B164" i="43" s="1"/>
  <c r="E909" i="17"/>
  <c r="B168" i="43" s="1"/>
  <c r="E908" i="17"/>
  <c r="B167" i="43" s="1"/>
  <c r="E907" i="17"/>
  <c r="B166" i="43" s="1"/>
  <c r="E911" i="17"/>
  <c r="B170" i="43" s="1"/>
  <c r="E906" i="17"/>
  <c r="B165" i="43" s="1"/>
  <c r="E910" i="17"/>
  <c r="B169" i="43" s="1"/>
  <c r="AU290" i="17"/>
  <c r="AU292" i="17"/>
  <c r="AT29" i="40"/>
  <c r="AT65" i="40" s="1"/>
  <c r="AT69" i="40" s="1"/>
  <c r="AT71" i="40" s="1"/>
  <c r="AT664" i="17" s="1"/>
  <c r="AT666" i="17" s="1"/>
  <c r="AV288" i="17"/>
  <c r="AV677" i="17"/>
  <c r="AU28" i="40"/>
  <c r="AU464" i="17" s="1"/>
  <c r="AU27" i="40"/>
  <c r="AV59" i="40"/>
  <c r="AV44" i="37"/>
  <c r="AV35" i="37"/>
  <c r="AV463" i="17"/>
  <c r="F470" i="17" s="1" a="1"/>
  <c r="F470" i="17" s="1"/>
  <c r="AU29" i="40"/>
  <c r="AU65" i="40" s="1"/>
  <c r="AU69" i="40" s="1"/>
  <c r="AU71" i="40" s="1"/>
  <c r="AU664" i="17" s="1"/>
  <c r="AU666" i="17" s="1"/>
  <c r="AV26" i="40"/>
  <c r="AV27" i="40" s="1"/>
  <c r="AV876" i="17"/>
  <c r="AV817" i="17"/>
  <c r="I864" i="17"/>
  <c r="F152" i="43" s="1"/>
  <c r="I863" i="17"/>
  <c r="F151" i="43" s="1"/>
  <c r="E864" i="17"/>
  <c r="B152" i="43" s="1"/>
  <c r="E863" i="17"/>
  <c r="B151" i="43" s="1"/>
  <c r="F34" i="40" a="1"/>
  <c r="F34" i="40" s="1"/>
  <c r="F47" i="40" a="1"/>
  <c r="F47" i="40" s="1"/>
  <c r="AV354" i="1"/>
  <c r="AV342" i="1"/>
  <c r="AV419" i="17"/>
  <c r="AV164" i="17"/>
  <c r="G72" i="42"/>
  <c r="E12" i="25"/>
  <c r="G74" i="42"/>
  <c r="E13" i="25"/>
  <c r="E14" i="25" s="1"/>
  <c r="E959" i="17"/>
  <c r="E21" i="38"/>
  <c r="E964" i="17"/>
  <c r="C24" i="25" s="1"/>
  <c r="E32" i="42" s="1"/>
  <c r="E26" i="38"/>
  <c r="G969" i="17"/>
  <c r="E28" i="25" s="1"/>
  <c r="G36" i="42" s="1"/>
  <c r="G32" i="38"/>
  <c r="E982" i="17"/>
  <c r="C54" i="25" s="1"/>
  <c r="E69" i="42" s="1"/>
  <c r="E47" i="38"/>
  <c r="G980" i="17"/>
  <c r="E52" i="25" s="1"/>
  <c r="G67" i="42" s="1"/>
  <c r="G45" i="38"/>
  <c r="E956" i="17"/>
  <c r="E18" i="38"/>
  <c r="G968" i="17"/>
  <c r="E27" i="25" s="1"/>
  <c r="G35" i="42" s="1"/>
  <c r="G31" i="38"/>
  <c r="E979" i="17"/>
  <c r="C51" i="25" s="1"/>
  <c r="E66" i="42" s="1"/>
  <c r="E44" i="38"/>
  <c r="G983" i="17"/>
  <c r="E55" i="25" s="1"/>
  <c r="G70" i="42" s="1"/>
  <c r="G48" i="38"/>
  <c r="E955" i="17"/>
  <c r="E17" i="38"/>
  <c r="G957" i="17"/>
  <c r="G19" i="38"/>
  <c r="E963" i="17"/>
  <c r="C23" i="25" s="1"/>
  <c r="E31" i="42" s="1"/>
  <c r="E25" i="38"/>
  <c r="E969" i="17"/>
  <c r="C28" i="25" s="1"/>
  <c r="E36" i="42" s="1"/>
  <c r="E32" i="38"/>
  <c r="G982" i="17"/>
  <c r="E54" i="25" s="1"/>
  <c r="G69" i="42" s="1"/>
  <c r="G47" i="38"/>
  <c r="E952" i="17"/>
  <c r="C21" i="25" s="1"/>
  <c r="E29" i="42" s="1"/>
  <c r="E10" i="38"/>
  <c r="G967" i="17"/>
  <c r="E26" i="25" s="1"/>
  <c r="G34" i="42" s="1"/>
  <c r="G30" i="38"/>
  <c r="G960" i="17"/>
  <c r="G22" i="38"/>
  <c r="E957" i="17"/>
  <c r="E19" i="38"/>
  <c r="G965" i="17"/>
  <c r="E25" i="25" s="1"/>
  <c r="G33" i="42" s="1"/>
  <c r="G27" i="38"/>
  <c r="G979" i="17"/>
  <c r="E51" i="25" s="1"/>
  <c r="G66" i="42" s="1"/>
  <c r="G44" i="38"/>
  <c r="G951" i="17"/>
  <c r="E20" i="25" s="1"/>
  <c r="G28" i="42" s="1"/>
  <c r="G9" i="38"/>
  <c r="E976" i="17"/>
  <c r="C48" i="25" s="1"/>
  <c r="E41" i="38"/>
  <c r="G978" i="17"/>
  <c r="E50" i="25" s="1"/>
  <c r="G65" i="42" s="1"/>
  <c r="G43" i="38"/>
  <c r="E981" i="17"/>
  <c r="C53" i="25" s="1"/>
  <c r="E68" i="42" s="1"/>
  <c r="E46" i="38"/>
  <c r="E987" i="17"/>
  <c r="C59" i="25" s="1"/>
  <c r="E73" i="42" s="1"/>
  <c r="E51" i="38"/>
  <c r="G956" i="17"/>
  <c r="G18" i="38"/>
  <c r="E967" i="17"/>
  <c r="C26" i="25" s="1"/>
  <c r="E34" i="42" s="1"/>
  <c r="E30" i="38"/>
  <c r="G959" i="17"/>
  <c r="G21" i="38"/>
  <c r="E960" i="17"/>
  <c r="E22" i="38"/>
  <c r="G964" i="17"/>
  <c r="E24" i="25" s="1"/>
  <c r="G32" i="42" s="1"/>
  <c r="G26" i="38"/>
  <c r="E965" i="17"/>
  <c r="C25" i="25" s="1"/>
  <c r="E33" i="42" s="1"/>
  <c r="E27" i="38"/>
  <c r="G955" i="17"/>
  <c r="G17" i="38"/>
  <c r="G963" i="17"/>
  <c r="E23" i="25" s="1"/>
  <c r="G31" i="42" s="1"/>
  <c r="G25" i="38"/>
  <c r="C39" i="25"/>
  <c r="E57" i="42" s="1"/>
  <c r="E968" i="17"/>
  <c r="C27" i="25" s="1"/>
  <c r="E35" i="42" s="1"/>
  <c r="E31" i="38"/>
  <c r="E961" i="17"/>
  <c r="E23" i="38"/>
  <c r="E978" i="17"/>
  <c r="C50" i="25" s="1"/>
  <c r="E65" i="42" s="1"/>
  <c r="E43" i="38"/>
  <c r="E951" i="17"/>
  <c r="C20" i="25" s="1"/>
  <c r="E28" i="42" s="1"/>
  <c r="E9" i="38"/>
  <c r="G976" i="17"/>
  <c r="E48" i="25" s="1"/>
  <c r="G41" i="38"/>
  <c r="E980" i="17"/>
  <c r="C52" i="25" s="1"/>
  <c r="E67" i="42" s="1"/>
  <c r="E45" i="38"/>
  <c r="G981" i="17"/>
  <c r="E53" i="25" s="1"/>
  <c r="G68" i="42" s="1"/>
  <c r="G46" i="38"/>
  <c r="E983" i="17"/>
  <c r="C55" i="25" s="1"/>
  <c r="E70" i="42" s="1"/>
  <c r="E48" i="38"/>
  <c r="G987" i="17"/>
  <c r="E59" i="25" s="1"/>
  <c r="G73" i="42" s="1"/>
  <c r="G51" i="38"/>
  <c r="E42" i="42"/>
  <c r="E54" i="42"/>
  <c r="C30" i="25"/>
  <c r="C70" i="25" s="1"/>
  <c r="E37" i="42"/>
  <c r="AV2" i="40"/>
  <c r="AV2" i="41"/>
  <c r="C74" i="25"/>
  <c r="A6" i="24"/>
  <c r="AV291" i="17" l="1"/>
  <c r="AV293" i="17"/>
  <c r="AV292" i="17"/>
  <c r="AV289" i="17"/>
  <c r="AV290" i="17"/>
  <c r="AV28" i="40"/>
  <c r="AV464" i="17" s="1"/>
  <c r="L702" i="17"/>
  <c r="L703" i="17" s="1"/>
  <c r="F40" i="40" a="1"/>
  <c r="F40" i="40" s="1"/>
  <c r="AU36" i="40"/>
  <c r="AU208" i="17" s="1"/>
  <c r="X36" i="40"/>
  <c r="Y36" i="40"/>
  <c r="Z36" i="40"/>
  <c r="AA36" i="40"/>
  <c r="AB36" i="40"/>
  <c r="AC36" i="40"/>
  <c r="AD36" i="40"/>
  <c r="AE36" i="40"/>
  <c r="AV49" i="40"/>
  <c r="E63" i="42"/>
  <c r="G63" i="42"/>
  <c r="L49" i="40"/>
  <c r="M49" i="40"/>
  <c r="O49" i="40"/>
  <c r="N49" i="40"/>
  <c r="P49" i="40"/>
  <c r="Q49" i="40"/>
  <c r="R49" i="40"/>
  <c r="S49" i="40"/>
  <c r="T49" i="40"/>
  <c r="V49" i="40"/>
  <c r="U49" i="40"/>
  <c r="W49" i="40"/>
  <c r="Y49" i="40"/>
  <c r="X49" i="40"/>
  <c r="Z49" i="40"/>
  <c r="AA49" i="40"/>
  <c r="AC49" i="40"/>
  <c r="AB49" i="40"/>
  <c r="AD49" i="40"/>
  <c r="AF49" i="40"/>
  <c r="AE49" i="40"/>
  <c r="AG49" i="40"/>
  <c r="AH49" i="40"/>
  <c r="AI49" i="40"/>
  <c r="AJ49" i="40"/>
  <c r="AK49" i="40"/>
  <c r="AL49" i="40"/>
  <c r="AM49" i="40"/>
  <c r="AN49" i="40"/>
  <c r="AO49" i="40"/>
  <c r="AP49" i="40"/>
  <c r="AQ49" i="40"/>
  <c r="AR49" i="40"/>
  <c r="AS49" i="40"/>
  <c r="AT49" i="40"/>
  <c r="AU49" i="40"/>
  <c r="AF36" i="40"/>
  <c r="AF208" i="17" s="1"/>
  <c r="AG36" i="40"/>
  <c r="AG208" i="17" s="1"/>
  <c r="AH36" i="40"/>
  <c r="AH208" i="17" s="1"/>
  <c r="AI36" i="40"/>
  <c r="AI208" i="17" s="1"/>
  <c r="AJ36" i="40"/>
  <c r="AJ208" i="17" s="1"/>
  <c r="AK36" i="40"/>
  <c r="AK208" i="17" s="1"/>
  <c r="AL36" i="40"/>
  <c r="AL208" i="17" s="1"/>
  <c r="AM36" i="40"/>
  <c r="AN36" i="40"/>
  <c r="AO36" i="40"/>
  <c r="AO208" i="17" s="1"/>
  <c r="AP36" i="40"/>
  <c r="AP208" i="17" s="1"/>
  <c r="AQ36" i="40"/>
  <c r="AR36" i="40"/>
  <c r="AS36" i="40"/>
  <c r="AS208" i="17" s="1"/>
  <c r="AT36" i="40"/>
  <c r="AT208" i="17" s="1"/>
  <c r="AV36" i="40"/>
  <c r="AV29" i="40"/>
  <c r="AV65" i="40" s="1"/>
  <c r="AV69" i="40" s="1"/>
  <c r="AV71" i="40" s="1"/>
  <c r="AV664" i="17" s="1"/>
  <c r="AV666" i="17" s="1"/>
  <c r="E45" i="42"/>
  <c r="E79" i="42"/>
  <c r="A8" i="24"/>
  <c r="A10" i="24" s="1"/>
  <c r="K559" i="17"/>
  <c r="I559" i="17"/>
  <c r="H559" i="17"/>
  <c r="F559" i="17"/>
  <c r="G544" i="17"/>
  <c r="G559" i="17" s="1"/>
  <c r="E544" i="17"/>
  <c r="E559" i="17" s="1"/>
  <c r="F555" i="17"/>
  <c r="H555" i="17"/>
  <c r="I555" i="17"/>
  <c r="K555" i="17"/>
  <c r="E540" i="17"/>
  <c r="E555" i="17" s="1"/>
  <c r="K536" i="17"/>
  <c r="I536" i="17"/>
  <c r="H536" i="17"/>
  <c r="G536" i="17"/>
  <c r="G540" i="17" s="1"/>
  <c r="G555" i="17" s="1"/>
  <c r="F536" i="17"/>
  <c r="E536" i="17"/>
  <c r="AV4" i="38"/>
  <c r="AU4" i="38"/>
  <c r="AT4" i="38"/>
  <c r="AS4" i="38"/>
  <c r="AR4" i="38"/>
  <c r="AQ4" i="38"/>
  <c r="AP4" i="38"/>
  <c r="AO4" i="38"/>
  <c r="AN4" i="38"/>
  <c r="AM4" i="38"/>
  <c r="AL4" i="38"/>
  <c r="AK4" i="38"/>
  <c r="AJ4" i="38"/>
  <c r="AI4" i="38"/>
  <c r="AH4" i="38"/>
  <c r="AG4" i="38"/>
  <c r="AF4" i="38"/>
  <c r="AE4" i="38"/>
  <c r="AD4" i="38"/>
  <c r="AC4" i="38"/>
  <c r="AB4" i="38"/>
  <c r="AA4" i="38"/>
  <c r="Z4" i="38"/>
  <c r="Y4" i="38"/>
  <c r="X4" i="38"/>
  <c r="W4" i="38"/>
  <c r="V4" i="38"/>
  <c r="U4" i="38"/>
  <c r="T4" i="38"/>
  <c r="S4" i="38"/>
  <c r="R4" i="38"/>
  <c r="Q4" i="38"/>
  <c r="P4" i="38"/>
  <c r="O4" i="38"/>
  <c r="N4" i="38"/>
  <c r="M4" i="38"/>
  <c r="L4" i="38"/>
  <c r="AV2" i="38"/>
  <c r="AU2" i="38"/>
  <c r="AT2" i="38"/>
  <c r="AS2" i="38"/>
  <c r="AR2" i="38"/>
  <c r="AQ2" i="38"/>
  <c r="AP2" i="38"/>
  <c r="AO2" i="38"/>
  <c r="AN2" i="38"/>
  <c r="AM2" i="38"/>
  <c r="AL2" i="38"/>
  <c r="AK2" i="38"/>
  <c r="AJ2" i="38"/>
  <c r="AI2" i="38"/>
  <c r="AH2" i="38"/>
  <c r="AG2" i="38"/>
  <c r="AF2" i="38"/>
  <c r="AE2" i="38"/>
  <c r="AD2" i="38"/>
  <c r="AC2" i="38"/>
  <c r="AB2" i="38"/>
  <c r="AA2" i="38"/>
  <c r="Z2" i="38"/>
  <c r="Y2" i="38"/>
  <c r="X2" i="38"/>
  <c r="W2" i="38"/>
  <c r="V2" i="38"/>
  <c r="U2" i="38"/>
  <c r="T2" i="38"/>
  <c r="S2" i="38"/>
  <c r="R2" i="38"/>
  <c r="Q2" i="38"/>
  <c r="P2" i="38"/>
  <c r="O2" i="38"/>
  <c r="N2" i="38"/>
  <c r="M2" i="38"/>
  <c r="L2" i="38"/>
  <c r="A1" i="38"/>
  <c r="AU218" i="1" l="1"/>
  <c r="AU282" i="1"/>
  <c r="M706" i="17"/>
  <c r="M542" i="17" s="1"/>
  <c r="M544" i="17" s="1"/>
  <c r="M559" i="17" s="1"/>
  <c r="R42" i="40"/>
  <c r="R370" i="17" s="1"/>
  <c r="S42" i="40"/>
  <c r="S370" i="17" s="1"/>
  <c r="T42" i="40"/>
  <c r="T370" i="17" s="1"/>
  <c r="U42" i="40"/>
  <c r="U370" i="17" s="1"/>
  <c r="V42" i="40"/>
  <c r="V370" i="17" s="1"/>
  <c r="W42" i="40"/>
  <c r="W370" i="17" s="1"/>
  <c r="X42" i="40"/>
  <c r="X370" i="17" s="1"/>
  <c r="Y42" i="40"/>
  <c r="Y370" i="17" s="1"/>
  <c r="Z42" i="40"/>
  <c r="Z370" i="17" s="1"/>
  <c r="AA42" i="40"/>
  <c r="AA370" i="17" s="1"/>
  <c r="AB42" i="40"/>
  <c r="AB370" i="17" s="1"/>
  <c r="AC42" i="40"/>
  <c r="AC370" i="17" s="1"/>
  <c r="AD42" i="40"/>
  <c r="AD370" i="17" s="1"/>
  <c r="AE42" i="40"/>
  <c r="AE370" i="17" s="1"/>
  <c r="AG42" i="40"/>
  <c r="AG370" i="17" s="1"/>
  <c r="AF42" i="40"/>
  <c r="AF370" i="17" s="1"/>
  <c r="AH42" i="40"/>
  <c r="AH370" i="17" s="1"/>
  <c r="AJ42" i="40"/>
  <c r="AJ370" i="17" s="1"/>
  <c r="AI42" i="40"/>
  <c r="AI370" i="17" s="1"/>
  <c r="AK42" i="40"/>
  <c r="AK370" i="17" s="1"/>
  <c r="AL42" i="40"/>
  <c r="AL370" i="17" s="1"/>
  <c r="AM42" i="40"/>
  <c r="AM370" i="17" s="1"/>
  <c r="AN42" i="40"/>
  <c r="AN370" i="17" s="1"/>
  <c r="AO42" i="40"/>
  <c r="AO370" i="17" s="1"/>
  <c r="AP42" i="40"/>
  <c r="AP370" i="17" s="1"/>
  <c r="AQ42" i="40"/>
  <c r="AQ370" i="17" s="1"/>
  <c r="AS42" i="40"/>
  <c r="AS370" i="17" s="1"/>
  <c r="AR42" i="40"/>
  <c r="AR370" i="17" s="1"/>
  <c r="AU42" i="40"/>
  <c r="AU370" i="17" s="1"/>
  <c r="AT42" i="40"/>
  <c r="AT370" i="17" s="1"/>
  <c r="AV42" i="40"/>
  <c r="AV370" i="17" s="1"/>
  <c r="AD208" i="17"/>
  <c r="AD218" i="1"/>
  <c r="AD282" i="1"/>
  <c r="AB282" i="1"/>
  <c r="AB208" i="17"/>
  <c r="AB218" i="1"/>
  <c r="AA208" i="17"/>
  <c r="AA218" i="1"/>
  <c r="AA282" i="1"/>
  <c r="AC282" i="1"/>
  <c r="AC218" i="1"/>
  <c r="AC208" i="17"/>
  <c r="Z208" i="17"/>
  <c r="Z218" i="1"/>
  <c r="Z282" i="1"/>
  <c r="Y282" i="1"/>
  <c r="Y208" i="17"/>
  <c r="Y218" i="1"/>
  <c r="X208" i="17"/>
  <c r="X218" i="1"/>
  <c r="X282" i="1"/>
  <c r="AE218" i="1"/>
  <c r="AE208" i="17"/>
  <c r="AE282" i="1"/>
  <c r="AQ208" i="17"/>
  <c r="AQ218" i="1"/>
  <c r="AQ282" i="1"/>
  <c r="AI218" i="1"/>
  <c r="AI282" i="1"/>
  <c r="AP218" i="1"/>
  <c r="AP282" i="1"/>
  <c r="AH282" i="1"/>
  <c r="AH218" i="1"/>
  <c r="AO282" i="1"/>
  <c r="AO218" i="1"/>
  <c r="AG282" i="1"/>
  <c r="AG218" i="1"/>
  <c r="AN218" i="1"/>
  <c r="AN282" i="1"/>
  <c r="AF218" i="1"/>
  <c r="AF282" i="1"/>
  <c r="AV218" i="1"/>
  <c r="AV282" i="1"/>
  <c r="AM282" i="1"/>
  <c r="AM218" i="1"/>
  <c r="AT218" i="1"/>
  <c r="AT282" i="1"/>
  <c r="AL218" i="1"/>
  <c r="AL282" i="1"/>
  <c r="AS282" i="1"/>
  <c r="AS218" i="1"/>
  <c r="AK218" i="1"/>
  <c r="AK282" i="1"/>
  <c r="AR208" i="17"/>
  <c r="AR218" i="1"/>
  <c r="AR282" i="1"/>
  <c r="AJ218" i="1"/>
  <c r="AJ282" i="1"/>
  <c r="AN208" i="17"/>
  <c r="AV208" i="17"/>
  <c r="AM208" i="17"/>
  <c r="E94" i="38"/>
  <c r="A12" i="24"/>
  <c r="L559" i="17"/>
  <c r="L48" i="37"/>
  <c r="M48" i="37"/>
  <c r="N48" i="37"/>
  <c r="O48" i="37"/>
  <c r="P48" i="37"/>
  <c r="Q48" i="37"/>
  <c r="R48" i="37"/>
  <c r="S48" i="37"/>
  <c r="T48" i="37"/>
  <c r="U48" i="37"/>
  <c r="V48" i="37"/>
  <c r="W48" i="37"/>
  <c r="X48" i="37"/>
  <c r="Y48" i="37"/>
  <c r="Z48" i="37"/>
  <c r="AA48" i="37"/>
  <c r="AB48" i="37"/>
  <c r="AC48" i="37"/>
  <c r="AC50" i="37" s="1"/>
  <c r="AD48" i="37"/>
  <c r="AD50" i="37" s="1"/>
  <c r="AE48" i="37"/>
  <c r="AE50" i="37" s="1"/>
  <c r="AF48" i="37"/>
  <c r="AF50" i="37" s="1"/>
  <c r="AG48" i="37"/>
  <c r="AG50" i="37" s="1"/>
  <c r="AH48" i="37"/>
  <c r="AH50" i="37" s="1"/>
  <c r="AI48" i="37"/>
  <c r="AI50" i="37" s="1"/>
  <c r="AJ48" i="37"/>
  <c r="AJ50" i="37" s="1"/>
  <c r="AK48" i="37"/>
  <c r="AK50" i="37" s="1"/>
  <c r="AL48" i="37"/>
  <c r="AL50" i="37" s="1"/>
  <c r="AM48" i="37"/>
  <c r="AM50" i="37" s="1"/>
  <c r="AN48" i="37"/>
  <c r="AN50" i="37" s="1"/>
  <c r="AO48" i="37"/>
  <c r="AO50" i="37" s="1"/>
  <c r="AP48" i="37"/>
  <c r="AP50" i="37" s="1"/>
  <c r="AQ48" i="37"/>
  <c r="AQ50" i="37" s="1"/>
  <c r="AR48" i="37"/>
  <c r="AR50" i="37" s="1"/>
  <c r="AS48" i="37"/>
  <c r="AS50" i="37" s="1"/>
  <c r="AT48" i="37"/>
  <c r="AT50" i="37" s="1"/>
  <c r="AU48" i="37"/>
  <c r="AU50" i="37" s="1"/>
  <c r="AV48" i="37"/>
  <c r="AV50" i="37" s="1"/>
  <c r="L38" i="37"/>
  <c r="M38" i="37"/>
  <c r="N38" i="37"/>
  <c r="O38" i="37"/>
  <c r="AC38" i="37"/>
  <c r="AD38" i="37"/>
  <c r="AE38" i="37"/>
  <c r="AF38" i="37"/>
  <c r="AG38" i="37"/>
  <c r="AH38" i="37"/>
  <c r="AI38" i="37"/>
  <c r="AJ38" i="37"/>
  <c r="AK38" i="37"/>
  <c r="AL38" i="37"/>
  <c r="AN38" i="37"/>
  <c r="AO38" i="37"/>
  <c r="AP38" i="37"/>
  <c r="AQ38" i="37"/>
  <c r="AR38" i="37"/>
  <c r="AS38" i="37"/>
  <c r="AT38" i="37"/>
  <c r="AU38" i="37"/>
  <c r="AV38" i="37"/>
  <c r="AV4" i="37"/>
  <c r="AU4" i="37"/>
  <c r="AT4" i="37"/>
  <c r="AS4" i="37"/>
  <c r="AR4" i="37"/>
  <c r="AQ4" i="37"/>
  <c r="AP4" i="37"/>
  <c r="AO4" i="37"/>
  <c r="AN4" i="37"/>
  <c r="AM4" i="37"/>
  <c r="AL4" i="37"/>
  <c r="AK4" i="37"/>
  <c r="AJ4" i="37"/>
  <c r="AI4" i="37"/>
  <c r="AH4" i="37"/>
  <c r="AG4" i="37"/>
  <c r="AF4" i="37"/>
  <c r="AE4" i="37"/>
  <c r="AD4" i="37"/>
  <c r="AC4" i="37"/>
  <c r="AB4" i="37"/>
  <c r="AA4" i="37"/>
  <c r="Z4" i="37"/>
  <c r="Y4" i="37"/>
  <c r="X4" i="37"/>
  <c r="W4" i="37"/>
  <c r="V4" i="37"/>
  <c r="U4" i="37"/>
  <c r="T4" i="37"/>
  <c r="S4" i="37"/>
  <c r="R4" i="37"/>
  <c r="Q4" i="37"/>
  <c r="P4" i="37"/>
  <c r="O4" i="37"/>
  <c r="N4" i="37"/>
  <c r="M4" i="37"/>
  <c r="L4" i="37"/>
  <c r="AV2" i="37"/>
  <c r="AU2" i="37"/>
  <c r="AT2" i="37"/>
  <c r="AS2" i="37"/>
  <c r="AR2" i="37"/>
  <c r="AQ2" i="37"/>
  <c r="AP2" i="37"/>
  <c r="AO2" i="37"/>
  <c r="AN2" i="37"/>
  <c r="AM2" i="37"/>
  <c r="AL2" i="37"/>
  <c r="AK2" i="37"/>
  <c r="AJ2" i="37"/>
  <c r="AI2" i="37"/>
  <c r="AH2" i="37"/>
  <c r="AG2" i="37"/>
  <c r="AF2" i="37"/>
  <c r="AE2" i="37"/>
  <c r="AD2" i="37"/>
  <c r="AC2" i="37"/>
  <c r="AB2" i="37"/>
  <c r="AA2" i="37"/>
  <c r="Z2" i="37"/>
  <c r="Y2" i="37"/>
  <c r="X2" i="37"/>
  <c r="W2" i="37"/>
  <c r="V2" i="37"/>
  <c r="U2" i="37"/>
  <c r="T2" i="37"/>
  <c r="S2" i="37"/>
  <c r="R2" i="37"/>
  <c r="Q2" i="37"/>
  <c r="P2" i="37"/>
  <c r="O2" i="37"/>
  <c r="N2" i="37"/>
  <c r="M2" i="37"/>
  <c r="L2" i="37"/>
  <c r="A1" i="37"/>
  <c r="G153" i="17"/>
  <c r="H153" i="17"/>
  <c r="I153" i="17"/>
  <c r="J153" i="17"/>
  <c r="G123" i="17"/>
  <c r="F123" i="17"/>
  <c r="E123" i="17"/>
  <c r="G60" i="17"/>
  <c r="F60" i="17"/>
  <c r="E60" i="17"/>
  <c r="G152" i="17"/>
  <c r="H152" i="17"/>
  <c r="I152" i="17"/>
  <c r="J152" i="17"/>
  <c r="F125" i="17"/>
  <c r="J124" i="17"/>
  <c r="I124" i="17"/>
  <c r="H124" i="17"/>
  <c r="G124" i="17"/>
  <c r="F124" i="17"/>
  <c r="F64" i="17"/>
  <c r="G84" i="17"/>
  <c r="H84" i="17"/>
  <c r="I84" i="17"/>
  <c r="J84" i="17"/>
  <c r="F57" i="17"/>
  <c r="E57" i="17" s="1"/>
  <c r="E84" i="17" s="1"/>
  <c r="J56" i="17"/>
  <c r="I56" i="17"/>
  <c r="H56" i="17"/>
  <c r="G56" i="17"/>
  <c r="F56" i="17"/>
  <c r="F153" i="17" l="1"/>
  <c r="J23" i="37"/>
  <c r="F24" i="37" s="1"/>
  <c r="AO345" i="17"/>
  <c r="AO346" i="17" s="1"/>
  <c r="AO363" i="17" s="1"/>
  <c r="AO409" i="17"/>
  <c r="AF345" i="17"/>
  <c r="AF346" i="17" s="1"/>
  <c r="AF363" i="17" s="1"/>
  <c r="AF409" i="17"/>
  <c r="Y345" i="17"/>
  <c r="Y346" i="17" s="1"/>
  <c r="Y363" i="17" s="1"/>
  <c r="Y409" i="17"/>
  <c r="AV409" i="17"/>
  <c r="AV345" i="17"/>
  <c r="AV346" i="17" s="1"/>
  <c r="AV363" i="17" s="1"/>
  <c r="AT345" i="17"/>
  <c r="AT346" i="17" s="1"/>
  <c r="AT363" i="17" s="1"/>
  <c r="AT409" i="17"/>
  <c r="AM345" i="17"/>
  <c r="AM346" i="17" s="1"/>
  <c r="AM363" i="17" s="1"/>
  <c r="AM409" i="17"/>
  <c r="AE345" i="17"/>
  <c r="AE346" i="17" s="1"/>
  <c r="AE363" i="17" s="1"/>
  <c r="AE409" i="17"/>
  <c r="W345" i="17"/>
  <c r="W346" i="17" s="1"/>
  <c r="W363" i="17" s="1"/>
  <c r="W409" i="17"/>
  <c r="AU345" i="17"/>
  <c r="AU346" i="17" s="1"/>
  <c r="AU363" i="17" s="1"/>
  <c r="AU409" i="17"/>
  <c r="AL345" i="17"/>
  <c r="AL346" i="17" s="1"/>
  <c r="AL363" i="17" s="1"/>
  <c r="AL409" i="17"/>
  <c r="AD345" i="17"/>
  <c r="AD346" i="17" s="1"/>
  <c r="AD363" i="17" s="1"/>
  <c r="AD409" i="17"/>
  <c r="V345" i="17"/>
  <c r="V346" i="17" s="1"/>
  <c r="V363" i="17" s="1"/>
  <c r="V409" i="17"/>
  <c r="AG345" i="17"/>
  <c r="AG346" i="17" s="1"/>
  <c r="AG363" i="17" s="1"/>
  <c r="AG409" i="17"/>
  <c r="AR409" i="17"/>
  <c r="AR345" i="17"/>
  <c r="AR346" i="17" s="1"/>
  <c r="AR363" i="17" s="1"/>
  <c r="AK409" i="17"/>
  <c r="AK345" i="17"/>
  <c r="AK346" i="17" s="1"/>
  <c r="AK363" i="17" s="1"/>
  <c r="AC409" i="17"/>
  <c r="AC345" i="17"/>
  <c r="AC346" i="17" s="1"/>
  <c r="AC363" i="17" s="1"/>
  <c r="U409" i="17"/>
  <c r="U345" i="17"/>
  <c r="U346" i="17" s="1"/>
  <c r="U363" i="17" s="1"/>
  <c r="AS409" i="17"/>
  <c r="AS345" i="17"/>
  <c r="AS346" i="17" s="1"/>
  <c r="AS363" i="17" s="1"/>
  <c r="AI409" i="17"/>
  <c r="AI345" i="17"/>
  <c r="AI346" i="17" s="1"/>
  <c r="AI363" i="17" s="1"/>
  <c r="AB409" i="17"/>
  <c r="AB345" i="17"/>
  <c r="AB346" i="17" s="1"/>
  <c r="AB363" i="17" s="1"/>
  <c r="T409" i="17"/>
  <c r="T345" i="17"/>
  <c r="T346" i="17" s="1"/>
  <c r="T363" i="17" s="1"/>
  <c r="AN345" i="17"/>
  <c r="AN346" i="17" s="1"/>
  <c r="AN363" i="17" s="1"/>
  <c r="AN409" i="17"/>
  <c r="AQ409" i="17"/>
  <c r="AQ345" i="17"/>
  <c r="AQ346" i="17" s="1"/>
  <c r="AQ363" i="17" s="1"/>
  <c r="AJ409" i="17"/>
  <c r="AJ345" i="17"/>
  <c r="AJ346" i="17" s="1"/>
  <c r="AJ363" i="17" s="1"/>
  <c r="AA409" i="17"/>
  <c r="AA345" i="17"/>
  <c r="AA346" i="17" s="1"/>
  <c r="AA363" i="17" s="1"/>
  <c r="S409" i="17"/>
  <c r="S345" i="17"/>
  <c r="S346" i="17" s="1"/>
  <c r="S363" i="17" s="1"/>
  <c r="X345" i="17"/>
  <c r="X346" i="17" s="1"/>
  <c r="X363" i="17" s="1"/>
  <c r="X409" i="17"/>
  <c r="AP409" i="17"/>
  <c r="AP345" i="17"/>
  <c r="AP346" i="17" s="1"/>
  <c r="AP363" i="17" s="1"/>
  <c r="AH409" i="17"/>
  <c r="AH345" i="17"/>
  <c r="AH346" i="17" s="1"/>
  <c r="AH363" i="17" s="1"/>
  <c r="Z409" i="17"/>
  <c r="Z345" i="17"/>
  <c r="Z346" i="17" s="1"/>
  <c r="Z363" i="17" s="1"/>
  <c r="R409" i="17"/>
  <c r="R345" i="17"/>
  <c r="R346" i="17" s="1"/>
  <c r="R363" i="17" s="1"/>
  <c r="AA291" i="1"/>
  <c r="AB291" i="1" s="1"/>
  <c r="AC291" i="1" s="1"/>
  <c r="AD291" i="1" s="1"/>
  <c r="AE291" i="1" s="1"/>
  <c r="AF291" i="1" s="1"/>
  <c r="AG291" i="1" s="1"/>
  <c r="AH291" i="1" s="1"/>
  <c r="AI291" i="1" s="1"/>
  <c r="AJ291" i="1" s="1"/>
  <c r="AK291" i="1" s="1"/>
  <c r="AL291" i="1" s="1"/>
  <c r="AM291" i="1" s="1"/>
  <c r="AN291" i="1" s="1"/>
  <c r="AO291" i="1" s="1"/>
  <c r="AP291" i="1" s="1"/>
  <c r="AQ291" i="1" s="1"/>
  <c r="AR291" i="1" s="1"/>
  <c r="AS291" i="1" s="1"/>
  <c r="AT291" i="1" s="1"/>
  <c r="AU291" i="1" s="1"/>
  <c r="AV291" i="1" s="1"/>
  <c r="AA290" i="1"/>
  <c r="AB290" i="1" s="1"/>
  <c r="AC290" i="1" s="1"/>
  <c r="AD290" i="1" s="1"/>
  <c r="AE290" i="1" s="1"/>
  <c r="AF290" i="1" s="1"/>
  <c r="AG290" i="1" s="1"/>
  <c r="AH290" i="1" s="1"/>
  <c r="AI290" i="1" s="1"/>
  <c r="AJ290" i="1" s="1"/>
  <c r="AK290" i="1" s="1"/>
  <c r="AL290" i="1" s="1"/>
  <c r="AM290" i="1" s="1"/>
  <c r="AN290" i="1" s="1"/>
  <c r="AO290" i="1" s="1"/>
  <c r="AP290" i="1" s="1"/>
  <c r="AQ290" i="1" s="1"/>
  <c r="AR290" i="1" s="1"/>
  <c r="AS290" i="1" s="1"/>
  <c r="AT290" i="1" s="1"/>
  <c r="AU290" i="1" s="1"/>
  <c r="AV290" i="1" s="1"/>
  <c r="AB288" i="1"/>
  <c r="AC288" i="1" s="1"/>
  <c r="AD288" i="1" s="1"/>
  <c r="AE288" i="1" s="1"/>
  <c r="AF288" i="1" s="1"/>
  <c r="AG288" i="1" s="1"/>
  <c r="AH288" i="1" s="1"/>
  <c r="AI288" i="1" s="1"/>
  <c r="AJ288" i="1" s="1"/>
  <c r="AK288" i="1" s="1"/>
  <c r="AL288" i="1" s="1"/>
  <c r="AM288" i="1" s="1"/>
  <c r="AN288" i="1" s="1"/>
  <c r="AO288" i="1" s="1"/>
  <c r="AP288" i="1" s="1"/>
  <c r="AQ288" i="1" s="1"/>
  <c r="AR288" i="1" s="1"/>
  <c r="AS288" i="1" s="1"/>
  <c r="AT288" i="1" s="1"/>
  <c r="AU288" i="1" s="1"/>
  <c r="AV288" i="1" s="1"/>
  <c r="X290" i="1"/>
  <c r="X291" i="1"/>
  <c r="Y290" i="1"/>
  <c r="Y291" i="1"/>
  <c r="Z291" i="1"/>
  <c r="Z290" i="1"/>
  <c r="AB224" i="1"/>
  <c r="AC224" i="1" s="1"/>
  <c r="AD224" i="1" s="1"/>
  <c r="AE224" i="1" s="1"/>
  <c r="AF224" i="1" s="1"/>
  <c r="AG224" i="1" s="1"/>
  <c r="AH224" i="1" s="1"/>
  <c r="AI224" i="1" s="1"/>
  <c r="AJ224" i="1" s="1"/>
  <c r="AK224" i="1" s="1"/>
  <c r="AL224" i="1" s="1"/>
  <c r="AM224" i="1" s="1"/>
  <c r="AN224" i="1" s="1"/>
  <c r="AO224" i="1" s="1"/>
  <c r="AP224" i="1" s="1"/>
  <c r="AQ224" i="1" s="1"/>
  <c r="AR224" i="1" s="1"/>
  <c r="AS224" i="1" s="1"/>
  <c r="AT224" i="1" s="1"/>
  <c r="AU224" i="1" s="1"/>
  <c r="AV224" i="1" s="1"/>
  <c r="X227" i="1"/>
  <c r="Y227" i="1" s="1"/>
  <c r="Z227" i="1" s="1"/>
  <c r="AA227" i="1" s="1"/>
  <c r="AB227" i="1" s="1"/>
  <c r="AC227" i="1" s="1"/>
  <c r="AD227" i="1" s="1"/>
  <c r="AE227" i="1" s="1"/>
  <c r="AF227" i="1" s="1"/>
  <c r="AG227" i="1" s="1"/>
  <c r="AH227" i="1" s="1"/>
  <c r="AI227" i="1" s="1"/>
  <c r="AJ227" i="1" s="1"/>
  <c r="AK227" i="1" s="1"/>
  <c r="AL227" i="1" s="1"/>
  <c r="AM227" i="1" s="1"/>
  <c r="AN227" i="1" s="1"/>
  <c r="AO227" i="1" s="1"/>
  <c r="AP227" i="1" s="1"/>
  <c r="AQ227" i="1" s="1"/>
  <c r="AR227" i="1" s="1"/>
  <c r="AS227" i="1" s="1"/>
  <c r="AT227" i="1" s="1"/>
  <c r="AU227" i="1" s="1"/>
  <c r="AV227" i="1" s="1"/>
  <c r="X226" i="1"/>
  <c r="Y226" i="1" s="1"/>
  <c r="Z226" i="1" s="1"/>
  <c r="AA226" i="1" s="1"/>
  <c r="AB226" i="1" s="1"/>
  <c r="AC226" i="1" s="1"/>
  <c r="AD226" i="1" s="1"/>
  <c r="AE226" i="1" s="1"/>
  <c r="AF226" i="1" s="1"/>
  <c r="AG226" i="1" s="1"/>
  <c r="AH226" i="1" s="1"/>
  <c r="AI226" i="1" s="1"/>
  <c r="AJ226" i="1" s="1"/>
  <c r="AK226" i="1" s="1"/>
  <c r="AL226" i="1" s="1"/>
  <c r="AM226" i="1" s="1"/>
  <c r="AN226" i="1" s="1"/>
  <c r="AO226" i="1" s="1"/>
  <c r="AP226" i="1" s="1"/>
  <c r="AQ226" i="1" s="1"/>
  <c r="AR226" i="1" s="1"/>
  <c r="AS226" i="1" s="1"/>
  <c r="AT226" i="1" s="1"/>
  <c r="AU226" i="1" s="1"/>
  <c r="AV226" i="1" s="1"/>
  <c r="X225" i="1"/>
  <c r="Y225" i="1" s="1"/>
  <c r="Z225" i="1" s="1"/>
  <c r="AA225" i="1" s="1"/>
  <c r="AB225" i="1" s="1"/>
  <c r="AC225" i="1" s="1"/>
  <c r="AD225" i="1" s="1"/>
  <c r="AE225" i="1" s="1"/>
  <c r="AF225" i="1" s="1"/>
  <c r="AG225" i="1" s="1"/>
  <c r="AH225" i="1" s="1"/>
  <c r="AI225" i="1" s="1"/>
  <c r="AJ225" i="1" s="1"/>
  <c r="AK225" i="1" s="1"/>
  <c r="AL225" i="1" s="1"/>
  <c r="AM225" i="1" s="1"/>
  <c r="AN225" i="1" s="1"/>
  <c r="AO225" i="1" s="1"/>
  <c r="AP225" i="1" s="1"/>
  <c r="AQ225" i="1" s="1"/>
  <c r="AR225" i="1" s="1"/>
  <c r="AS225" i="1" s="1"/>
  <c r="AT225" i="1" s="1"/>
  <c r="AU225" i="1" s="1"/>
  <c r="AV225" i="1" s="1"/>
  <c r="X223" i="1"/>
  <c r="Y223" i="1" s="1"/>
  <c r="Z223" i="1" s="1"/>
  <c r="AA223" i="1" s="1"/>
  <c r="AB223" i="1" s="1"/>
  <c r="AC223" i="1" s="1"/>
  <c r="AD223" i="1" s="1"/>
  <c r="J48" i="37"/>
  <c r="E80" i="42"/>
  <c r="A15" i="24"/>
  <c r="F84" i="17"/>
  <c r="G941" i="17"/>
  <c r="F941" i="17"/>
  <c r="E941" i="17"/>
  <c r="C44" i="25"/>
  <c r="C43" i="25"/>
  <c r="H993" i="17"/>
  <c r="G2" i="25"/>
  <c r="E692" i="17"/>
  <c r="F692" i="17"/>
  <c r="G692" i="17"/>
  <c r="H692" i="17"/>
  <c r="I692" i="17"/>
  <c r="J692" i="17"/>
  <c r="K692" i="17"/>
  <c r="E20" i="1"/>
  <c r="G100" i="17"/>
  <c r="G294" i="1" s="1"/>
  <c r="F100" i="17"/>
  <c r="F294" i="1" s="1"/>
  <c r="E100" i="17"/>
  <c r="E294" i="1" s="1"/>
  <c r="G89" i="17"/>
  <c r="F89" i="17"/>
  <c r="E89" i="17"/>
  <c r="G39" i="17"/>
  <c r="G230" i="1" s="1"/>
  <c r="F39" i="17"/>
  <c r="E42" i="17" s="1"/>
  <c r="E39" i="17"/>
  <c r="E230" i="1" s="1"/>
  <c r="K15" i="17"/>
  <c r="J15" i="17"/>
  <c r="I15" i="17"/>
  <c r="H15" i="17"/>
  <c r="G15" i="17"/>
  <c r="F15" i="17"/>
  <c r="E18" i="1"/>
  <c r="E25" i="17" s="1"/>
  <c r="E17" i="1"/>
  <c r="E19" i="1"/>
  <c r="E16" i="1"/>
  <c r="F16" i="1"/>
  <c r="G16" i="1"/>
  <c r="H16" i="1"/>
  <c r="I16" i="1"/>
  <c r="J16" i="1"/>
  <c r="K16" i="1"/>
  <c r="G198" i="17"/>
  <c r="F198" i="17"/>
  <c r="F202" i="17" s="1"/>
  <c r="E198" i="17"/>
  <c r="G157" i="17"/>
  <c r="F157" i="17"/>
  <c r="E157" i="17"/>
  <c r="E154" i="26"/>
  <c r="K152" i="26"/>
  <c r="I152" i="26"/>
  <c r="H152" i="26"/>
  <c r="G152" i="26"/>
  <c r="F152" i="26"/>
  <c r="E152" i="26"/>
  <c r="AV151" i="26"/>
  <c r="AU151" i="26"/>
  <c r="AT151" i="26"/>
  <c r="AS151" i="26"/>
  <c r="AR151" i="26"/>
  <c r="AQ151" i="26"/>
  <c r="AP151" i="26"/>
  <c r="AO151" i="26"/>
  <c r="AN151" i="26"/>
  <c r="AM151" i="26"/>
  <c r="AL151" i="26"/>
  <c r="AK151" i="26"/>
  <c r="AJ151" i="26"/>
  <c r="AI151" i="26"/>
  <c r="AH151" i="26"/>
  <c r="AG151" i="26"/>
  <c r="AF151" i="26"/>
  <c r="AE151" i="26"/>
  <c r="AD151" i="26"/>
  <c r="AC151" i="26"/>
  <c r="AB151" i="26"/>
  <c r="AA151" i="26"/>
  <c r="Z151" i="26"/>
  <c r="Y151" i="26"/>
  <c r="X151" i="26"/>
  <c r="W151" i="26"/>
  <c r="V151" i="26"/>
  <c r="U151" i="26"/>
  <c r="T151" i="26"/>
  <c r="S151" i="26"/>
  <c r="R151" i="26"/>
  <c r="Q151" i="26"/>
  <c r="P151" i="26"/>
  <c r="O151" i="26"/>
  <c r="N151" i="26"/>
  <c r="M151" i="26"/>
  <c r="L151" i="26"/>
  <c r="K151" i="26"/>
  <c r="J151" i="26"/>
  <c r="I151" i="26"/>
  <c r="H151" i="26"/>
  <c r="G151" i="26"/>
  <c r="F151" i="26"/>
  <c r="E151" i="26"/>
  <c r="E141" i="26"/>
  <c r="F141" i="26"/>
  <c r="G141" i="26"/>
  <c r="H141" i="26"/>
  <c r="I141" i="26"/>
  <c r="J141" i="26"/>
  <c r="K141" i="26"/>
  <c r="L141" i="26"/>
  <c r="M141" i="26"/>
  <c r="N141" i="26"/>
  <c r="O141" i="26"/>
  <c r="P141" i="26"/>
  <c r="Q141" i="26"/>
  <c r="R141" i="26"/>
  <c r="S141" i="26"/>
  <c r="T141" i="26"/>
  <c r="U141" i="26"/>
  <c r="V141" i="26"/>
  <c r="W141" i="26"/>
  <c r="X141" i="26"/>
  <c r="Y141" i="26"/>
  <c r="Z141" i="26"/>
  <c r="AA141" i="26"/>
  <c r="AB141" i="26"/>
  <c r="AC141" i="26"/>
  <c r="AD141" i="26"/>
  <c r="AE141" i="26"/>
  <c r="AF141" i="26"/>
  <c r="AG141" i="26"/>
  <c r="AH141" i="26"/>
  <c r="AI141" i="26"/>
  <c r="AJ141" i="26"/>
  <c r="AK141" i="26"/>
  <c r="AL141" i="26"/>
  <c r="AM141" i="26"/>
  <c r="AN141" i="26"/>
  <c r="AO141" i="26"/>
  <c r="AP141" i="26"/>
  <c r="AQ141" i="26"/>
  <c r="AR141" i="26"/>
  <c r="AS141" i="26"/>
  <c r="AT141" i="26"/>
  <c r="AU141" i="26"/>
  <c r="AV141" i="26"/>
  <c r="K139" i="26"/>
  <c r="I139" i="26"/>
  <c r="H139" i="26"/>
  <c r="G139" i="26"/>
  <c r="F139" i="26"/>
  <c r="E139" i="26"/>
  <c r="K138" i="26"/>
  <c r="I138" i="26"/>
  <c r="H138" i="26"/>
  <c r="G138" i="26"/>
  <c r="E134" i="26" s="1"/>
  <c r="F138" i="26"/>
  <c r="E138" i="26"/>
  <c r="K137" i="26"/>
  <c r="J137" i="26"/>
  <c r="I137" i="26"/>
  <c r="H137" i="26"/>
  <c r="G137" i="26"/>
  <c r="F137" i="26"/>
  <c r="E137" i="26"/>
  <c r="E133" i="26"/>
  <c r="E103" i="26"/>
  <c r="G103" i="26"/>
  <c r="E102" i="26"/>
  <c r="G102" i="26"/>
  <c r="E95" i="26"/>
  <c r="E101" i="26" s="1"/>
  <c r="F95" i="26"/>
  <c r="H95" i="26"/>
  <c r="I95" i="26"/>
  <c r="K95" i="26"/>
  <c r="E93" i="26"/>
  <c r="F93" i="26"/>
  <c r="G93" i="26"/>
  <c r="H93" i="26"/>
  <c r="I93" i="26"/>
  <c r="K93" i="26"/>
  <c r="E92" i="26"/>
  <c r="F92" i="26"/>
  <c r="G92" i="26"/>
  <c r="E88" i="26" s="1"/>
  <c r="H92" i="26"/>
  <c r="I92" i="26"/>
  <c r="K92" i="26"/>
  <c r="E87" i="26"/>
  <c r="K91" i="26"/>
  <c r="J91" i="26"/>
  <c r="I91" i="26"/>
  <c r="H91" i="26"/>
  <c r="G91" i="26"/>
  <c r="F91" i="26"/>
  <c r="E91" i="26"/>
  <c r="F55" i="26"/>
  <c r="F182" i="17"/>
  <c r="G154" i="17"/>
  <c r="H154" i="17"/>
  <c r="I154" i="17"/>
  <c r="J154" i="17"/>
  <c r="F54" i="26"/>
  <c r="E48" i="26"/>
  <c r="K53" i="26"/>
  <c r="J53" i="26"/>
  <c r="I53" i="26"/>
  <c r="H53" i="26"/>
  <c r="G53" i="26"/>
  <c r="F53" i="26"/>
  <c r="E53" i="26"/>
  <c r="E14" i="26"/>
  <c r="F14" i="26"/>
  <c r="H14" i="26"/>
  <c r="I14" i="26"/>
  <c r="K14" i="26"/>
  <c r="E12" i="26"/>
  <c r="F12" i="26"/>
  <c r="G12" i="26"/>
  <c r="H12" i="26"/>
  <c r="I12" i="26"/>
  <c r="J12" i="26"/>
  <c r="K12" i="26"/>
  <c r="E13" i="26"/>
  <c r="F13" i="26"/>
  <c r="G13" i="26"/>
  <c r="H13" i="26"/>
  <c r="I13" i="26"/>
  <c r="K13" i="26"/>
  <c r="A1" i="26"/>
  <c r="E994" i="17"/>
  <c r="C33" i="25" s="1"/>
  <c r="E812" i="17"/>
  <c r="E1027" i="17" s="1"/>
  <c r="E801" i="17"/>
  <c r="E927" i="17" s="1"/>
  <c r="E81" i="38" s="1"/>
  <c r="F801" i="17"/>
  <c r="F927" i="17" s="1"/>
  <c r="F81" i="38" s="1"/>
  <c r="G801" i="17"/>
  <c r="G927" i="17" s="1"/>
  <c r="G81" i="38" s="1"/>
  <c r="H927" i="17"/>
  <c r="H81" i="38" s="1"/>
  <c r="I801" i="17"/>
  <c r="I927" i="17" s="1"/>
  <c r="I81" i="38" s="1"/>
  <c r="K801" i="17"/>
  <c r="K927" i="17" s="1"/>
  <c r="K81" i="38" s="1"/>
  <c r="E929" i="17"/>
  <c r="E82" i="38" s="1"/>
  <c r="F809" i="17"/>
  <c r="F929" i="17" s="1"/>
  <c r="F82" i="38" s="1"/>
  <c r="G809" i="17"/>
  <c r="G929" i="17" s="1"/>
  <c r="G82" i="38" s="1"/>
  <c r="H809" i="17"/>
  <c r="H929" i="17" s="1"/>
  <c r="H82" i="38" s="1"/>
  <c r="I809" i="17"/>
  <c r="I929" i="17" s="1"/>
  <c r="I82" i="38" s="1"/>
  <c r="K809" i="17"/>
  <c r="K929" i="17" s="1"/>
  <c r="K82" i="38" s="1"/>
  <c r="E99" i="26"/>
  <c r="F99" i="26"/>
  <c r="G99" i="26"/>
  <c r="H99" i="26"/>
  <c r="I99" i="26"/>
  <c r="K99" i="26"/>
  <c r="E147" i="26"/>
  <c r="F147" i="26"/>
  <c r="G147" i="26"/>
  <c r="H147" i="26"/>
  <c r="I147" i="26"/>
  <c r="K147" i="26"/>
  <c r="E787" i="17"/>
  <c r="F787" i="17"/>
  <c r="G787" i="17"/>
  <c r="H787" i="17"/>
  <c r="I787" i="17"/>
  <c r="K787" i="17"/>
  <c r="E786" i="17"/>
  <c r="F786" i="17"/>
  <c r="G786" i="17"/>
  <c r="H786" i="17"/>
  <c r="I786" i="17"/>
  <c r="K786" i="17"/>
  <c r="E785" i="17"/>
  <c r="F785" i="17"/>
  <c r="G785" i="17"/>
  <c r="H785" i="17"/>
  <c r="I785" i="17"/>
  <c r="K785" i="17"/>
  <c r="E783" i="17"/>
  <c r="F783" i="17"/>
  <c r="G783" i="17"/>
  <c r="H783" i="17"/>
  <c r="I783" i="17"/>
  <c r="K783" i="17"/>
  <c r="F154" i="26"/>
  <c r="G154" i="26"/>
  <c r="H795" i="17"/>
  <c r="I154" i="26"/>
  <c r="K795" i="17"/>
  <c r="E599" i="17"/>
  <c r="F599" i="17"/>
  <c r="G599" i="17"/>
  <c r="H599" i="17"/>
  <c r="I599" i="17"/>
  <c r="K599" i="17"/>
  <c r="G211" i="17"/>
  <c r="E168" i="17"/>
  <c r="G197" i="17"/>
  <c r="E29" i="17"/>
  <c r="F29" i="17"/>
  <c r="G29" i="17"/>
  <c r="H29" i="17"/>
  <c r="I29" i="17"/>
  <c r="K29" i="17"/>
  <c r="F145" i="17"/>
  <c r="F147" i="17"/>
  <c r="G147" i="17"/>
  <c r="H147" i="17"/>
  <c r="I147" i="17"/>
  <c r="J147" i="17"/>
  <c r="G142" i="17"/>
  <c r="G141" i="17"/>
  <c r="F138" i="17"/>
  <c r="F130" i="17"/>
  <c r="G130" i="17"/>
  <c r="H130" i="17"/>
  <c r="I130" i="17"/>
  <c r="J130" i="17"/>
  <c r="F118" i="17"/>
  <c r="F117" i="17"/>
  <c r="G117" i="17"/>
  <c r="H117" i="17"/>
  <c r="I117" i="17"/>
  <c r="J117" i="17"/>
  <c r="F112" i="17"/>
  <c r="G112" i="17"/>
  <c r="H112" i="17"/>
  <c r="I112" i="17"/>
  <c r="J112" i="17"/>
  <c r="E113" i="17"/>
  <c r="F113" i="17"/>
  <c r="G113" i="17"/>
  <c r="H113" i="17"/>
  <c r="I113" i="17"/>
  <c r="J113" i="17"/>
  <c r="K113" i="17"/>
  <c r="E106" i="17"/>
  <c r="F106" i="17"/>
  <c r="G106" i="17"/>
  <c r="H106" i="17"/>
  <c r="J106" i="17"/>
  <c r="K106" i="17"/>
  <c r="L106" i="17"/>
  <c r="L107" i="17" s="1"/>
  <c r="M106" i="17"/>
  <c r="M107" i="17" s="1"/>
  <c r="N106" i="17"/>
  <c r="N107" i="17" s="1"/>
  <c r="O106" i="17"/>
  <c r="O107" i="17" s="1"/>
  <c r="P106" i="17"/>
  <c r="P107" i="17" s="1"/>
  <c r="Q106" i="17"/>
  <c r="Q107" i="17" s="1"/>
  <c r="R106" i="17"/>
  <c r="R107" i="17" s="1"/>
  <c r="S106" i="17"/>
  <c r="S107" i="17" s="1"/>
  <c r="T106" i="17"/>
  <c r="T107" i="17" s="1"/>
  <c r="U106" i="17"/>
  <c r="U107" i="17" s="1"/>
  <c r="V106" i="17"/>
  <c r="V107" i="17" s="1"/>
  <c r="W106" i="17"/>
  <c r="W107" i="17" s="1"/>
  <c r="X106" i="17"/>
  <c r="Y106" i="17"/>
  <c r="Z106" i="17"/>
  <c r="AA106" i="17"/>
  <c r="AB106" i="17"/>
  <c r="AB107" i="17" s="1"/>
  <c r="AC106" i="17"/>
  <c r="AC107" i="17" s="1"/>
  <c r="AD106" i="17"/>
  <c r="AD107" i="17" s="1"/>
  <c r="AE106" i="17"/>
  <c r="AE107" i="17" s="1"/>
  <c r="AF106" i="17"/>
  <c r="AF107" i="17" s="1"/>
  <c r="AG106" i="17"/>
  <c r="AG107" i="17" s="1"/>
  <c r="AH106" i="17"/>
  <c r="AH107" i="17" s="1"/>
  <c r="AI106" i="17"/>
  <c r="AI107" i="17" s="1"/>
  <c r="AJ106" i="17"/>
  <c r="AJ107" i="17" s="1"/>
  <c r="AK106" i="17"/>
  <c r="AK107" i="17" s="1"/>
  <c r="AL106" i="17"/>
  <c r="AL107" i="17" s="1"/>
  <c r="AM106" i="17"/>
  <c r="AM107" i="17" s="1"/>
  <c r="AN106" i="17"/>
  <c r="AN107" i="17" s="1"/>
  <c r="AO106" i="17"/>
  <c r="AO107" i="17" s="1"/>
  <c r="AP106" i="17"/>
  <c r="AP107" i="17" s="1"/>
  <c r="AQ106" i="17"/>
  <c r="AQ107" i="17" s="1"/>
  <c r="AR106" i="17"/>
  <c r="AR107" i="17" s="1"/>
  <c r="AS106" i="17"/>
  <c r="AS107" i="17" s="1"/>
  <c r="AT106" i="17"/>
  <c r="AT107" i="17" s="1"/>
  <c r="AU106" i="17"/>
  <c r="AU107" i="17" s="1"/>
  <c r="AV106" i="17"/>
  <c r="AV107" i="17" s="1"/>
  <c r="G255" i="1"/>
  <c r="E255" i="1"/>
  <c r="AV253" i="1"/>
  <c r="AV254" i="1" s="1"/>
  <c r="AU253" i="1"/>
  <c r="AU254" i="1" s="1"/>
  <c r="AT253" i="1"/>
  <c r="AT254" i="1" s="1"/>
  <c r="AS253" i="1"/>
  <c r="AS254" i="1" s="1"/>
  <c r="AR253" i="1"/>
  <c r="AR254" i="1" s="1"/>
  <c r="AQ253" i="1"/>
  <c r="AQ254" i="1" s="1"/>
  <c r="AP253" i="1"/>
  <c r="AP254" i="1" s="1"/>
  <c r="AO253" i="1"/>
  <c r="AO254" i="1" s="1"/>
  <c r="AN253" i="1"/>
  <c r="AN254" i="1" s="1"/>
  <c r="AM253" i="1"/>
  <c r="AM254" i="1" s="1"/>
  <c r="AL253" i="1"/>
  <c r="AL254" i="1" s="1"/>
  <c r="AK253" i="1"/>
  <c r="AK254" i="1" s="1"/>
  <c r="AJ253" i="1"/>
  <c r="AJ254" i="1" s="1"/>
  <c r="AI253" i="1"/>
  <c r="AI254" i="1" s="1"/>
  <c r="AH253" i="1"/>
  <c r="AH254" i="1" s="1"/>
  <c r="AG253" i="1"/>
  <c r="AG254" i="1" s="1"/>
  <c r="AF253" i="1"/>
  <c r="AF254" i="1" s="1"/>
  <c r="AE253" i="1"/>
  <c r="AE254" i="1" s="1"/>
  <c r="AD253" i="1"/>
  <c r="AD254" i="1" s="1"/>
  <c r="AC253" i="1"/>
  <c r="AC254" i="1" s="1"/>
  <c r="AB253" i="1"/>
  <c r="AB254" i="1" s="1"/>
  <c r="AA253" i="1"/>
  <c r="AA254" i="1" s="1"/>
  <c r="Z253" i="1"/>
  <c r="Z254" i="1" s="1"/>
  <c r="Y253" i="1"/>
  <c r="Y254" i="1" s="1"/>
  <c r="X253" i="1"/>
  <c r="X254" i="1" s="1"/>
  <c r="W253" i="1"/>
  <c r="W254" i="1" s="1"/>
  <c r="V253" i="1"/>
  <c r="V254" i="1" s="1"/>
  <c r="U253" i="1"/>
  <c r="U254" i="1" s="1"/>
  <c r="T253" i="1"/>
  <c r="T254" i="1" s="1"/>
  <c r="S253" i="1"/>
  <c r="S254" i="1" s="1"/>
  <c r="R253" i="1"/>
  <c r="R254" i="1" s="1"/>
  <c r="Q253" i="1"/>
  <c r="Q254" i="1" s="1"/>
  <c r="P253" i="1"/>
  <c r="P254" i="1" s="1"/>
  <c r="O253" i="1"/>
  <c r="O254" i="1" s="1"/>
  <c r="N253" i="1"/>
  <c r="N254" i="1" s="1"/>
  <c r="M253" i="1"/>
  <c r="M254" i="1" s="1"/>
  <c r="L253" i="1"/>
  <c r="L254" i="1" s="1"/>
  <c r="K253" i="1"/>
  <c r="J253" i="1"/>
  <c r="H253" i="1"/>
  <c r="G253" i="1"/>
  <c r="F253" i="1"/>
  <c r="E253" i="1"/>
  <c r="E269" i="1"/>
  <c r="E291" i="1" s="1"/>
  <c r="E268" i="1"/>
  <c r="E290" i="1" s="1"/>
  <c r="E267" i="1"/>
  <c r="E289" i="1" s="1"/>
  <c r="E266" i="1"/>
  <c r="E288" i="1" s="1"/>
  <c r="E265" i="1"/>
  <c r="E287" i="1" s="1"/>
  <c r="E51" i="17"/>
  <c r="F51" i="17"/>
  <c r="G51" i="17"/>
  <c r="H51" i="17"/>
  <c r="I51" i="17"/>
  <c r="J51" i="17"/>
  <c r="K51" i="17"/>
  <c r="E258" i="1"/>
  <c r="F291" i="1"/>
  <c r="F290" i="1"/>
  <c r="F289" i="1"/>
  <c r="F288" i="1"/>
  <c r="F287" i="1"/>
  <c r="K285" i="1"/>
  <c r="J285" i="1"/>
  <c r="I285" i="1"/>
  <c r="H285" i="1"/>
  <c r="G285" i="1"/>
  <c r="F285" i="1"/>
  <c r="E285" i="1"/>
  <c r="K280" i="1"/>
  <c r="J280" i="1"/>
  <c r="H280" i="1"/>
  <c r="F280" i="1"/>
  <c r="K279" i="1"/>
  <c r="J279" i="1"/>
  <c r="I279" i="1"/>
  <c r="H279" i="1"/>
  <c r="G279" i="1"/>
  <c r="F279" i="1"/>
  <c r="E279" i="1"/>
  <c r="E270" i="1"/>
  <c r="AA267" i="1"/>
  <c r="AA289" i="1" s="1"/>
  <c r="AB289" i="1" s="1"/>
  <c r="AC289" i="1" s="1"/>
  <c r="AD289" i="1" s="1"/>
  <c r="AE289" i="1" s="1"/>
  <c r="AF289" i="1" s="1"/>
  <c r="AG289" i="1" s="1"/>
  <c r="AH289" i="1" s="1"/>
  <c r="AI289" i="1" s="1"/>
  <c r="AJ289" i="1" s="1"/>
  <c r="AK289" i="1" s="1"/>
  <c r="AL289" i="1" s="1"/>
  <c r="AM289" i="1" s="1"/>
  <c r="AN289" i="1" s="1"/>
  <c r="AO289" i="1" s="1"/>
  <c r="AP289" i="1" s="1"/>
  <c r="AQ289" i="1" s="1"/>
  <c r="AR289" i="1" s="1"/>
  <c r="AS289" i="1" s="1"/>
  <c r="AT289" i="1" s="1"/>
  <c r="AU289" i="1" s="1"/>
  <c r="AV289" i="1" s="1"/>
  <c r="Z267" i="1"/>
  <c r="Z289" i="1" s="1"/>
  <c r="Y267" i="1"/>
  <c r="Y289" i="1" s="1"/>
  <c r="X267" i="1"/>
  <c r="X289" i="1" s="1"/>
  <c r="W267" i="1"/>
  <c r="W289" i="1" s="1"/>
  <c r="G259" i="1"/>
  <c r="F259" i="1"/>
  <c r="AA265" i="1" s="1"/>
  <c r="AA287" i="1" s="1"/>
  <c r="AB287" i="1" s="1"/>
  <c r="AC287" i="1" s="1"/>
  <c r="AD287" i="1" s="1"/>
  <c r="AE287" i="1" s="1"/>
  <c r="AF287" i="1" s="1"/>
  <c r="AG287" i="1" s="1"/>
  <c r="AH287" i="1" s="1"/>
  <c r="AI287" i="1" s="1"/>
  <c r="AJ287" i="1" s="1"/>
  <c r="AK287" i="1" s="1"/>
  <c r="AL287" i="1" s="1"/>
  <c r="AM287" i="1" s="1"/>
  <c r="AN287" i="1" s="1"/>
  <c r="AO287" i="1" s="1"/>
  <c r="AP287" i="1" s="1"/>
  <c r="AQ287" i="1" s="1"/>
  <c r="AR287" i="1" s="1"/>
  <c r="AS287" i="1" s="1"/>
  <c r="AT287" i="1" s="1"/>
  <c r="AU287" i="1" s="1"/>
  <c r="AV287" i="1" s="1"/>
  <c r="E259" i="1"/>
  <c r="E174" i="1"/>
  <c r="G173" i="1"/>
  <c r="F173" i="1"/>
  <c r="R174" i="1" s="1"/>
  <c r="E173" i="1"/>
  <c r="E45" i="17"/>
  <c r="F45" i="17"/>
  <c r="G45" i="17"/>
  <c r="H45" i="17"/>
  <c r="J45" i="17"/>
  <c r="K45" i="17"/>
  <c r="L45" i="17"/>
  <c r="L46" i="17" s="1"/>
  <c r="M45" i="17"/>
  <c r="M46" i="17" s="1"/>
  <c r="X51" i="17"/>
  <c r="Y51" i="17"/>
  <c r="Z51" i="17"/>
  <c r="AA51" i="17"/>
  <c r="AV97" i="17"/>
  <c r="AU97" i="17"/>
  <c r="AT97" i="17"/>
  <c r="AS97" i="17"/>
  <c r="AR97" i="17"/>
  <c r="AQ97" i="17"/>
  <c r="AP97" i="17"/>
  <c r="AO97" i="17"/>
  <c r="AN97" i="17"/>
  <c r="AM97" i="17"/>
  <c r="AL97" i="17"/>
  <c r="AK97" i="17"/>
  <c r="AJ97" i="17"/>
  <c r="AI97" i="17"/>
  <c r="AH97" i="17"/>
  <c r="AG97" i="17"/>
  <c r="AF97" i="17"/>
  <c r="AE97" i="17"/>
  <c r="AD97" i="17"/>
  <c r="AC97" i="17"/>
  <c r="AB97" i="17"/>
  <c r="AA97" i="17"/>
  <c r="Z97" i="17"/>
  <c r="Y97" i="17"/>
  <c r="X97" i="17"/>
  <c r="W97" i="17"/>
  <c r="V97" i="17"/>
  <c r="V103" i="17" s="1"/>
  <c r="V487" i="17" s="1"/>
  <c r="V504" i="17" s="1"/>
  <c r="U97" i="17"/>
  <c r="U103" i="17" s="1"/>
  <c r="U487" i="17" s="1"/>
  <c r="U504" i="17" s="1"/>
  <c r="T97" i="17"/>
  <c r="T103" i="17" s="1"/>
  <c r="T487" i="17" s="1"/>
  <c r="T504" i="17" s="1"/>
  <c r="S97" i="17"/>
  <c r="S103" i="17" s="1"/>
  <c r="S487" i="17" s="1"/>
  <c r="S504" i="17" s="1"/>
  <c r="R97" i="17"/>
  <c r="R103" i="17" s="1"/>
  <c r="R487" i="17" s="1"/>
  <c r="R504" i="17" s="1"/>
  <c r="Q97" i="17"/>
  <c r="Q103" i="17" s="1"/>
  <c r="Q487" i="17" s="1"/>
  <c r="P97" i="17"/>
  <c r="P103" i="17" s="1"/>
  <c r="P487" i="17" s="1"/>
  <c r="O97" i="17"/>
  <c r="O103" i="17" s="1"/>
  <c r="O487" i="17" s="1"/>
  <c r="N97" i="17"/>
  <c r="N103" i="17" s="1"/>
  <c r="N487" i="17" s="1"/>
  <c r="M97" i="17"/>
  <c r="M103" i="17" s="1"/>
  <c r="M487" i="17" s="1"/>
  <c r="L97" i="17"/>
  <c r="L103" i="17" s="1"/>
  <c r="L487" i="17" s="1"/>
  <c r="K97" i="17"/>
  <c r="K103" i="17" s="1"/>
  <c r="K487" i="17" s="1"/>
  <c r="J97" i="17"/>
  <c r="H97" i="17"/>
  <c r="G97" i="17"/>
  <c r="F97" i="17"/>
  <c r="E97" i="17"/>
  <c r="K165" i="17"/>
  <c r="I165" i="17"/>
  <c r="H165" i="17"/>
  <c r="H204" i="17" s="1"/>
  <c r="G165" i="17"/>
  <c r="G204" i="17" s="1"/>
  <c r="F165" i="17"/>
  <c r="E165" i="17"/>
  <c r="E204" i="17" s="1"/>
  <c r="G86" i="17"/>
  <c r="H86" i="17"/>
  <c r="I86" i="17"/>
  <c r="J86" i="17"/>
  <c r="G85" i="17"/>
  <c r="H85" i="17"/>
  <c r="I85" i="17"/>
  <c r="J85" i="17"/>
  <c r="XFD77" i="17"/>
  <c r="XFC77" i="17"/>
  <c r="XFB77" i="17"/>
  <c r="XFA77" i="17"/>
  <c r="XEZ77" i="17"/>
  <c r="XEY77" i="17"/>
  <c r="XEX77" i="17"/>
  <c r="XEW77" i="17"/>
  <c r="XEV77" i="17"/>
  <c r="XEU77" i="17"/>
  <c r="XET77" i="17"/>
  <c r="XES77" i="17"/>
  <c r="XER77" i="17"/>
  <c r="XEQ77" i="17"/>
  <c r="XEP77" i="17"/>
  <c r="XEO77" i="17"/>
  <c r="XEN77" i="17"/>
  <c r="XEM77" i="17"/>
  <c r="XEL77" i="17"/>
  <c r="XEK77" i="17"/>
  <c r="XEJ77" i="17"/>
  <c r="XEI77" i="17"/>
  <c r="XEH77" i="17"/>
  <c r="XEG77" i="17"/>
  <c r="XEF77" i="17"/>
  <c r="XEE77" i="17"/>
  <c r="XED77" i="17"/>
  <c r="XEC77" i="17"/>
  <c r="XEB77" i="17"/>
  <c r="XEA77" i="17"/>
  <c r="XDZ77" i="17"/>
  <c r="XDY77" i="17"/>
  <c r="XDX77" i="17"/>
  <c r="XDW77" i="17"/>
  <c r="XDV77" i="17"/>
  <c r="XDU77" i="17"/>
  <c r="XDT77" i="17"/>
  <c r="XDS77" i="17"/>
  <c r="XDR77" i="17"/>
  <c r="XDQ77" i="17"/>
  <c r="XDP77" i="17"/>
  <c r="XDO77" i="17"/>
  <c r="XDN77" i="17"/>
  <c r="XDM77" i="17"/>
  <c r="XDL77" i="17"/>
  <c r="XDK77" i="17"/>
  <c r="XDJ77" i="17"/>
  <c r="XDI77" i="17"/>
  <c r="XDH77" i="17"/>
  <c r="XDG77" i="17"/>
  <c r="XDF77" i="17"/>
  <c r="XDE77" i="17"/>
  <c r="XDD77" i="17"/>
  <c r="XDC77" i="17"/>
  <c r="XDB77" i="17"/>
  <c r="XDA77" i="17"/>
  <c r="XCZ77" i="17"/>
  <c r="XCY77" i="17"/>
  <c r="XCX77" i="17"/>
  <c r="XCW77" i="17"/>
  <c r="XCV77" i="17"/>
  <c r="XCU77" i="17"/>
  <c r="XCT77" i="17"/>
  <c r="XCS77" i="17"/>
  <c r="XCR77" i="17"/>
  <c r="XCQ77" i="17"/>
  <c r="XCP77" i="17"/>
  <c r="XCO77" i="17"/>
  <c r="XCN77" i="17"/>
  <c r="XCM77" i="17"/>
  <c r="XCL77" i="17"/>
  <c r="XCK77" i="17"/>
  <c r="XCJ77" i="17"/>
  <c r="XCI77" i="17"/>
  <c r="XCH77" i="17"/>
  <c r="XCG77" i="17"/>
  <c r="XCF77" i="17"/>
  <c r="XCE77" i="17"/>
  <c r="XCD77" i="17"/>
  <c r="XCC77" i="17"/>
  <c r="XCB77" i="17"/>
  <c r="XCA77" i="17"/>
  <c r="XBZ77" i="17"/>
  <c r="XBY77" i="17"/>
  <c r="XBX77" i="17"/>
  <c r="XBW77" i="17"/>
  <c r="XBV77" i="17"/>
  <c r="XBU77" i="17"/>
  <c r="XBT77" i="17"/>
  <c r="XBS77" i="17"/>
  <c r="XBR77" i="17"/>
  <c r="XBQ77" i="17"/>
  <c r="XBP77" i="17"/>
  <c r="XBO77" i="17"/>
  <c r="XBN77" i="17"/>
  <c r="XBM77" i="17"/>
  <c r="XBL77" i="17"/>
  <c r="XBK77" i="17"/>
  <c r="XBJ77" i="17"/>
  <c r="XBI77" i="17"/>
  <c r="XBH77" i="17"/>
  <c r="XBG77" i="17"/>
  <c r="XBF77" i="17"/>
  <c r="XBE77" i="17"/>
  <c r="XBD77" i="17"/>
  <c r="XBC77" i="17"/>
  <c r="XBB77" i="17"/>
  <c r="XBA77" i="17"/>
  <c r="XAZ77" i="17"/>
  <c r="XAY77" i="17"/>
  <c r="XAX77" i="17"/>
  <c r="XAW77" i="17"/>
  <c r="XAV77" i="17"/>
  <c r="XAU77" i="17"/>
  <c r="XAT77" i="17"/>
  <c r="XAS77" i="17"/>
  <c r="XAR77" i="17"/>
  <c r="XAQ77" i="17"/>
  <c r="XAP77" i="17"/>
  <c r="XAO77" i="17"/>
  <c r="XAN77" i="17"/>
  <c r="XAM77" i="17"/>
  <c r="XAL77" i="17"/>
  <c r="XAK77" i="17"/>
  <c r="XAJ77" i="17"/>
  <c r="XAI77" i="17"/>
  <c r="XAH77" i="17"/>
  <c r="XAG77" i="17"/>
  <c r="XAF77" i="17"/>
  <c r="XAE77" i="17"/>
  <c r="XAD77" i="17"/>
  <c r="XAC77" i="17"/>
  <c r="XAB77" i="17"/>
  <c r="XAA77" i="17"/>
  <c r="WZZ77" i="17"/>
  <c r="WZY77" i="17"/>
  <c r="WZX77" i="17"/>
  <c r="WZW77" i="17"/>
  <c r="WZV77" i="17"/>
  <c r="WZU77" i="17"/>
  <c r="WZT77" i="17"/>
  <c r="WZS77" i="17"/>
  <c r="WZR77" i="17"/>
  <c r="WZQ77" i="17"/>
  <c r="WZP77" i="17"/>
  <c r="WZO77" i="17"/>
  <c r="WZN77" i="17"/>
  <c r="WZM77" i="17"/>
  <c r="WZL77" i="17"/>
  <c r="WZK77" i="17"/>
  <c r="WZJ77" i="17"/>
  <c r="WZI77" i="17"/>
  <c r="WZH77" i="17"/>
  <c r="WZG77" i="17"/>
  <c r="WZF77" i="17"/>
  <c r="WZE77" i="17"/>
  <c r="WZD77" i="17"/>
  <c r="WZC77" i="17"/>
  <c r="WZB77" i="17"/>
  <c r="WZA77" i="17"/>
  <c r="WYZ77" i="17"/>
  <c r="WYY77" i="17"/>
  <c r="WYX77" i="17"/>
  <c r="WYW77" i="17"/>
  <c r="WYV77" i="17"/>
  <c r="WYU77" i="17"/>
  <c r="WYT77" i="17"/>
  <c r="WYS77" i="17"/>
  <c r="WYR77" i="17"/>
  <c r="WYQ77" i="17"/>
  <c r="WYP77" i="17"/>
  <c r="WYO77" i="17"/>
  <c r="WYN77" i="17"/>
  <c r="WYM77" i="17"/>
  <c r="WYL77" i="17"/>
  <c r="WYK77" i="17"/>
  <c r="WYJ77" i="17"/>
  <c r="WYI77" i="17"/>
  <c r="WYH77" i="17"/>
  <c r="WYG77" i="17"/>
  <c r="WYF77" i="17"/>
  <c r="WYE77" i="17"/>
  <c r="WYD77" i="17"/>
  <c r="WYC77" i="17"/>
  <c r="WYB77" i="17"/>
  <c r="WYA77" i="17"/>
  <c r="WXZ77" i="17"/>
  <c r="WXY77" i="17"/>
  <c r="WXX77" i="17"/>
  <c r="WXW77" i="17"/>
  <c r="WXV77" i="17"/>
  <c r="WXU77" i="17"/>
  <c r="WXT77" i="17"/>
  <c r="WXS77" i="17"/>
  <c r="WXR77" i="17"/>
  <c r="WXQ77" i="17"/>
  <c r="WXP77" i="17"/>
  <c r="WXO77" i="17"/>
  <c r="WXN77" i="17"/>
  <c r="WXM77" i="17"/>
  <c r="WXL77" i="17"/>
  <c r="WXK77" i="17"/>
  <c r="WXJ77" i="17"/>
  <c r="WXI77" i="17"/>
  <c r="WXH77" i="17"/>
  <c r="WXG77" i="17"/>
  <c r="WXF77" i="17"/>
  <c r="WXE77" i="17"/>
  <c r="WXD77" i="17"/>
  <c r="WXC77" i="17"/>
  <c r="WXB77" i="17"/>
  <c r="WXA77" i="17"/>
  <c r="WWZ77" i="17"/>
  <c r="WWY77" i="17"/>
  <c r="WWX77" i="17"/>
  <c r="WWW77" i="17"/>
  <c r="WWV77" i="17"/>
  <c r="WWU77" i="17"/>
  <c r="WWT77" i="17"/>
  <c r="WWS77" i="17"/>
  <c r="WWR77" i="17"/>
  <c r="WWQ77" i="17"/>
  <c r="WWP77" i="17"/>
  <c r="WWO77" i="17"/>
  <c r="WWN77" i="17"/>
  <c r="WWM77" i="17"/>
  <c r="WWL77" i="17"/>
  <c r="WWK77" i="17"/>
  <c r="WWJ77" i="17"/>
  <c r="WWI77" i="17"/>
  <c r="WWH77" i="17"/>
  <c r="WWG77" i="17"/>
  <c r="WWF77" i="17"/>
  <c r="WWE77" i="17"/>
  <c r="WWD77" i="17"/>
  <c r="WWC77" i="17"/>
  <c r="WWB77" i="17"/>
  <c r="WWA77" i="17"/>
  <c r="WVZ77" i="17"/>
  <c r="WVY77" i="17"/>
  <c r="WVX77" i="17"/>
  <c r="WVW77" i="17"/>
  <c r="WVV77" i="17"/>
  <c r="WVU77" i="17"/>
  <c r="WVT77" i="17"/>
  <c r="WVS77" i="17"/>
  <c r="WVR77" i="17"/>
  <c r="WVQ77" i="17"/>
  <c r="WVP77" i="17"/>
  <c r="WVO77" i="17"/>
  <c r="WVN77" i="17"/>
  <c r="WVM77" i="17"/>
  <c r="WVL77" i="17"/>
  <c r="WVK77" i="17"/>
  <c r="WVJ77" i="17"/>
  <c r="WVI77" i="17"/>
  <c r="WVH77" i="17"/>
  <c r="WVG77" i="17"/>
  <c r="WVF77" i="17"/>
  <c r="WVE77" i="17"/>
  <c r="WVD77" i="17"/>
  <c r="WVC77" i="17"/>
  <c r="WVB77" i="17"/>
  <c r="WVA77" i="17"/>
  <c r="WUZ77" i="17"/>
  <c r="WUY77" i="17"/>
  <c r="WUX77" i="17"/>
  <c r="WUW77" i="17"/>
  <c r="WUV77" i="17"/>
  <c r="WUU77" i="17"/>
  <c r="WUT77" i="17"/>
  <c r="WUS77" i="17"/>
  <c r="WUR77" i="17"/>
  <c r="WUQ77" i="17"/>
  <c r="WUP77" i="17"/>
  <c r="WUO77" i="17"/>
  <c r="WUN77" i="17"/>
  <c r="WUM77" i="17"/>
  <c r="WUL77" i="17"/>
  <c r="WUK77" i="17"/>
  <c r="WUJ77" i="17"/>
  <c r="WUI77" i="17"/>
  <c r="WUH77" i="17"/>
  <c r="WUG77" i="17"/>
  <c r="WUF77" i="17"/>
  <c r="WUE77" i="17"/>
  <c r="WUD77" i="17"/>
  <c r="WUC77" i="17"/>
  <c r="WUB77" i="17"/>
  <c r="WUA77" i="17"/>
  <c r="WTZ77" i="17"/>
  <c r="WTY77" i="17"/>
  <c r="WTX77" i="17"/>
  <c r="WTW77" i="17"/>
  <c r="WTV77" i="17"/>
  <c r="WTU77" i="17"/>
  <c r="WTT77" i="17"/>
  <c r="WTS77" i="17"/>
  <c r="WTR77" i="17"/>
  <c r="WTQ77" i="17"/>
  <c r="WTP77" i="17"/>
  <c r="WTO77" i="17"/>
  <c r="WTN77" i="17"/>
  <c r="WTM77" i="17"/>
  <c r="WTL77" i="17"/>
  <c r="WTK77" i="17"/>
  <c r="WTJ77" i="17"/>
  <c r="WTI77" i="17"/>
  <c r="WTH77" i="17"/>
  <c r="WTG77" i="17"/>
  <c r="WTF77" i="17"/>
  <c r="WTE77" i="17"/>
  <c r="WTD77" i="17"/>
  <c r="WTC77" i="17"/>
  <c r="WTB77" i="17"/>
  <c r="WTA77" i="17"/>
  <c r="WSZ77" i="17"/>
  <c r="WSY77" i="17"/>
  <c r="WSX77" i="17"/>
  <c r="WSW77" i="17"/>
  <c r="WSV77" i="17"/>
  <c r="WSU77" i="17"/>
  <c r="WST77" i="17"/>
  <c r="WSS77" i="17"/>
  <c r="WSR77" i="17"/>
  <c r="WSQ77" i="17"/>
  <c r="WSP77" i="17"/>
  <c r="WSO77" i="17"/>
  <c r="WSN77" i="17"/>
  <c r="WSM77" i="17"/>
  <c r="WSL77" i="17"/>
  <c r="WSK77" i="17"/>
  <c r="WSJ77" i="17"/>
  <c r="WSI77" i="17"/>
  <c r="WSH77" i="17"/>
  <c r="WSG77" i="17"/>
  <c r="WSF77" i="17"/>
  <c r="WSE77" i="17"/>
  <c r="WSD77" i="17"/>
  <c r="WSC77" i="17"/>
  <c r="WSB77" i="17"/>
  <c r="WSA77" i="17"/>
  <c r="WRZ77" i="17"/>
  <c r="WRY77" i="17"/>
  <c r="WRX77" i="17"/>
  <c r="WRW77" i="17"/>
  <c r="WRV77" i="17"/>
  <c r="WRU77" i="17"/>
  <c r="WRT77" i="17"/>
  <c r="WRS77" i="17"/>
  <c r="WRR77" i="17"/>
  <c r="WRQ77" i="17"/>
  <c r="WRP77" i="17"/>
  <c r="WRO77" i="17"/>
  <c r="WRN77" i="17"/>
  <c r="WRM77" i="17"/>
  <c r="WRL77" i="17"/>
  <c r="WRK77" i="17"/>
  <c r="WRJ77" i="17"/>
  <c r="WRI77" i="17"/>
  <c r="WRH77" i="17"/>
  <c r="WRG77" i="17"/>
  <c r="WRF77" i="17"/>
  <c r="WRE77" i="17"/>
  <c r="WRD77" i="17"/>
  <c r="WRC77" i="17"/>
  <c r="WRB77" i="17"/>
  <c r="WRA77" i="17"/>
  <c r="WQZ77" i="17"/>
  <c r="WQY77" i="17"/>
  <c r="WQX77" i="17"/>
  <c r="WQW77" i="17"/>
  <c r="WQV77" i="17"/>
  <c r="WQU77" i="17"/>
  <c r="WQT77" i="17"/>
  <c r="WQS77" i="17"/>
  <c r="WQR77" i="17"/>
  <c r="WQQ77" i="17"/>
  <c r="WQP77" i="17"/>
  <c r="WQO77" i="17"/>
  <c r="WQN77" i="17"/>
  <c r="WQM77" i="17"/>
  <c r="WQL77" i="17"/>
  <c r="WQK77" i="17"/>
  <c r="WQJ77" i="17"/>
  <c r="WQI77" i="17"/>
  <c r="WQH77" i="17"/>
  <c r="WQG77" i="17"/>
  <c r="WQF77" i="17"/>
  <c r="WQE77" i="17"/>
  <c r="WQD77" i="17"/>
  <c r="WQC77" i="17"/>
  <c r="WQB77" i="17"/>
  <c r="WQA77" i="17"/>
  <c r="WPZ77" i="17"/>
  <c r="WPY77" i="17"/>
  <c r="WPX77" i="17"/>
  <c r="WPW77" i="17"/>
  <c r="WPV77" i="17"/>
  <c r="WPU77" i="17"/>
  <c r="WPT77" i="17"/>
  <c r="WPS77" i="17"/>
  <c r="WPR77" i="17"/>
  <c r="WPQ77" i="17"/>
  <c r="WPP77" i="17"/>
  <c r="WPO77" i="17"/>
  <c r="WPN77" i="17"/>
  <c r="WPM77" i="17"/>
  <c r="WPL77" i="17"/>
  <c r="WPK77" i="17"/>
  <c r="WPJ77" i="17"/>
  <c r="WPI77" i="17"/>
  <c r="WPH77" i="17"/>
  <c r="WPG77" i="17"/>
  <c r="WPF77" i="17"/>
  <c r="WPE77" i="17"/>
  <c r="WPD77" i="17"/>
  <c r="WPC77" i="17"/>
  <c r="WPB77" i="17"/>
  <c r="WPA77" i="17"/>
  <c r="WOZ77" i="17"/>
  <c r="WOY77" i="17"/>
  <c r="WOX77" i="17"/>
  <c r="WOW77" i="17"/>
  <c r="WOV77" i="17"/>
  <c r="WOU77" i="17"/>
  <c r="WOT77" i="17"/>
  <c r="WOS77" i="17"/>
  <c r="WOR77" i="17"/>
  <c r="WOQ77" i="17"/>
  <c r="WOP77" i="17"/>
  <c r="WOO77" i="17"/>
  <c r="WON77" i="17"/>
  <c r="WOM77" i="17"/>
  <c r="WOL77" i="17"/>
  <c r="WOK77" i="17"/>
  <c r="WOJ77" i="17"/>
  <c r="WOI77" i="17"/>
  <c r="WOH77" i="17"/>
  <c r="WOG77" i="17"/>
  <c r="WOF77" i="17"/>
  <c r="WOE77" i="17"/>
  <c r="WOD77" i="17"/>
  <c r="WOC77" i="17"/>
  <c r="WOB77" i="17"/>
  <c r="WOA77" i="17"/>
  <c r="WNZ77" i="17"/>
  <c r="WNY77" i="17"/>
  <c r="WNX77" i="17"/>
  <c r="WNW77" i="17"/>
  <c r="WNV77" i="17"/>
  <c r="WNU77" i="17"/>
  <c r="WNT77" i="17"/>
  <c r="WNS77" i="17"/>
  <c r="WNR77" i="17"/>
  <c r="WNQ77" i="17"/>
  <c r="WNP77" i="17"/>
  <c r="WNO77" i="17"/>
  <c r="WNN77" i="17"/>
  <c r="WNM77" i="17"/>
  <c r="WNL77" i="17"/>
  <c r="WNK77" i="17"/>
  <c r="WNJ77" i="17"/>
  <c r="WNI77" i="17"/>
  <c r="WNH77" i="17"/>
  <c r="WNG77" i="17"/>
  <c r="WNF77" i="17"/>
  <c r="WNE77" i="17"/>
  <c r="WND77" i="17"/>
  <c r="WNC77" i="17"/>
  <c r="WNB77" i="17"/>
  <c r="WNA77" i="17"/>
  <c r="WMZ77" i="17"/>
  <c r="WMY77" i="17"/>
  <c r="WMX77" i="17"/>
  <c r="WMW77" i="17"/>
  <c r="WMV77" i="17"/>
  <c r="WMU77" i="17"/>
  <c r="WMT77" i="17"/>
  <c r="WMS77" i="17"/>
  <c r="WMR77" i="17"/>
  <c r="WMQ77" i="17"/>
  <c r="WMP77" i="17"/>
  <c r="WMO77" i="17"/>
  <c r="WMN77" i="17"/>
  <c r="WMM77" i="17"/>
  <c r="WML77" i="17"/>
  <c r="WMK77" i="17"/>
  <c r="WMJ77" i="17"/>
  <c r="WMI77" i="17"/>
  <c r="WMH77" i="17"/>
  <c r="WMG77" i="17"/>
  <c r="WMF77" i="17"/>
  <c r="WME77" i="17"/>
  <c r="WMD77" i="17"/>
  <c r="WMC77" i="17"/>
  <c r="WMB77" i="17"/>
  <c r="WMA77" i="17"/>
  <c r="WLZ77" i="17"/>
  <c r="WLY77" i="17"/>
  <c r="WLX77" i="17"/>
  <c r="WLW77" i="17"/>
  <c r="WLV77" i="17"/>
  <c r="WLU77" i="17"/>
  <c r="WLT77" i="17"/>
  <c r="WLS77" i="17"/>
  <c r="WLR77" i="17"/>
  <c r="WLQ77" i="17"/>
  <c r="WLP77" i="17"/>
  <c r="WLO77" i="17"/>
  <c r="WLN77" i="17"/>
  <c r="WLM77" i="17"/>
  <c r="WLL77" i="17"/>
  <c r="WLK77" i="17"/>
  <c r="WLJ77" i="17"/>
  <c r="WLI77" i="17"/>
  <c r="WLH77" i="17"/>
  <c r="WLG77" i="17"/>
  <c r="WLF77" i="17"/>
  <c r="WLE77" i="17"/>
  <c r="WLD77" i="17"/>
  <c r="WLC77" i="17"/>
  <c r="WLB77" i="17"/>
  <c r="WLA77" i="17"/>
  <c r="WKZ77" i="17"/>
  <c r="WKY77" i="17"/>
  <c r="WKX77" i="17"/>
  <c r="WKW77" i="17"/>
  <c r="WKV77" i="17"/>
  <c r="WKU77" i="17"/>
  <c r="WKT77" i="17"/>
  <c r="WKS77" i="17"/>
  <c r="WKR77" i="17"/>
  <c r="WKQ77" i="17"/>
  <c r="WKP77" i="17"/>
  <c r="WKO77" i="17"/>
  <c r="WKN77" i="17"/>
  <c r="WKM77" i="17"/>
  <c r="WKL77" i="17"/>
  <c r="WKK77" i="17"/>
  <c r="WKJ77" i="17"/>
  <c r="WKI77" i="17"/>
  <c r="WKH77" i="17"/>
  <c r="WKG77" i="17"/>
  <c r="WKF77" i="17"/>
  <c r="WKE77" i="17"/>
  <c r="WKD77" i="17"/>
  <c r="WKC77" i="17"/>
  <c r="WKB77" i="17"/>
  <c r="WKA77" i="17"/>
  <c r="WJZ77" i="17"/>
  <c r="WJY77" i="17"/>
  <c r="WJX77" i="17"/>
  <c r="WJW77" i="17"/>
  <c r="WJV77" i="17"/>
  <c r="WJU77" i="17"/>
  <c r="WJT77" i="17"/>
  <c r="WJS77" i="17"/>
  <c r="WJR77" i="17"/>
  <c r="WJQ77" i="17"/>
  <c r="WJP77" i="17"/>
  <c r="WJO77" i="17"/>
  <c r="WJN77" i="17"/>
  <c r="WJM77" i="17"/>
  <c r="WJL77" i="17"/>
  <c r="WJK77" i="17"/>
  <c r="WJJ77" i="17"/>
  <c r="WJI77" i="17"/>
  <c r="WJH77" i="17"/>
  <c r="WJG77" i="17"/>
  <c r="WJF77" i="17"/>
  <c r="WJE77" i="17"/>
  <c r="WJD77" i="17"/>
  <c r="WJC77" i="17"/>
  <c r="WJB77" i="17"/>
  <c r="WJA77" i="17"/>
  <c r="WIZ77" i="17"/>
  <c r="WIY77" i="17"/>
  <c r="WIX77" i="17"/>
  <c r="WIW77" i="17"/>
  <c r="WIV77" i="17"/>
  <c r="WIU77" i="17"/>
  <c r="WIT77" i="17"/>
  <c r="WIS77" i="17"/>
  <c r="WIR77" i="17"/>
  <c r="WIQ77" i="17"/>
  <c r="WIP77" i="17"/>
  <c r="WIO77" i="17"/>
  <c r="WIN77" i="17"/>
  <c r="WIM77" i="17"/>
  <c r="WIL77" i="17"/>
  <c r="WIK77" i="17"/>
  <c r="WIJ77" i="17"/>
  <c r="WII77" i="17"/>
  <c r="WIH77" i="17"/>
  <c r="WIG77" i="17"/>
  <c r="WIF77" i="17"/>
  <c r="WIE77" i="17"/>
  <c r="WID77" i="17"/>
  <c r="WIC77" i="17"/>
  <c r="WIB77" i="17"/>
  <c r="WIA77" i="17"/>
  <c r="WHZ77" i="17"/>
  <c r="WHY77" i="17"/>
  <c r="WHX77" i="17"/>
  <c r="WHW77" i="17"/>
  <c r="WHV77" i="17"/>
  <c r="WHU77" i="17"/>
  <c r="WHT77" i="17"/>
  <c r="WHS77" i="17"/>
  <c r="WHR77" i="17"/>
  <c r="WHQ77" i="17"/>
  <c r="WHP77" i="17"/>
  <c r="WHO77" i="17"/>
  <c r="WHN77" i="17"/>
  <c r="WHM77" i="17"/>
  <c r="WHL77" i="17"/>
  <c r="WHK77" i="17"/>
  <c r="WHJ77" i="17"/>
  <c r="WHI77" i="17"/>
  <c r="WHH77" i="17"/>
  <c r="WHG77" i="17"/>
  <c r="WHF77" i="17"/>
  <c r="WHE77" i="17"/>
  <c r="WHD77" i="17"/>
  <c r="WHC77" i="17"/>
  <c r="WHB77" i="17"/>
  <c r="WHA77" i="17"/>
  <c r="WGZ77" i="17"/>
  <c r="WGY77" i="17"/>
  <c r="WGX77" i="17"/>
  <c r="WGW77" i="17"/>
  <c r="WGV77" i="17"/>
  <c r="WGU77" i="17"/>
  <c r="WGT77" i="17"/>
  <c r="WGS77" i="17"/>
  <c r="WGR77" i="17"/>
  <c r="WGQ77" i="17"/>
  <c r="WGP77" i="17"/>
  <c r="WGO77" i="17"/>
  <c r="WGN77" i="17"/>
  <c r="WGM77" i="17"/>
  <c r="WGL77" i="17"/>
  <c r="WGK77" i="17"/>
  <c r="WGJ77" i="17"/>
  <c r="WGI77" i="17"/>
  <c r="WGH77" i="17"/>
  <c r="WGG77" i="17"/>
  <c r="WGF77" i="17"/>
  <c r="WGE77" i="17"/>
  <c r="WGD77" i="17"/>
  <c r="WGC77" i="17"/>
  <c r="WGB77" i="17"/>
  <c r="WGA77" i="17"/>
  <c r="WFZ77" i="17"/>
  <c r="WFY77" i="17"/>
  <c r="WFX77" i="17"/>
  <c r="WFW77" i="17"/>
  <c r="WFV77" i="17"/>
  <c r="WFU77" i="17"/>
  <c r="WFT77" i="17"/>
  <c r="WFS77" i="17"/>
  <c r="WFR77" i="17"/>
  <c r="WFQ77" i="17"/>
  <c r="WFP77" i="17"/>
  <c r="WFO77" i="17"/>
  <c r="WFN77" i="17"/>
  <c r="WFM77" i="17"/>
  <c r="WFL77" i="17"/>
  <c r="WFK77" i="17"/>
  <c r="WFJ77" i="17"/>
  <c r="WFI77" i="17"/>
  <c r="WFH77" i="17"/>
  <c r="WFG77" i="17"/>
  <c r="WFF77" i="17"/>
  <c r="WFE77" i="17"/>
  <c r="WFD77" i="17"/>
  <c r="WFC77" i="17"/>
  <c r="WFB77" i="17"/>
  <c r="WFA77" i="17"/>
  <c r="WEZ77" i="17"/>
  <c r="WEY77" i="17"/>
  <c r="WEX77" i="17"/>
  <c r="WEW77" i="17"/>
  <c r="WEV77" i="17"/>
  <c r="WEU77" i="17"/>
  <c r="WET77" i="17"/>
  <c r="WES77" i="17"/>
  <c r="WER77" i="17"/>
  <c r="WEQ77" i="17"/>
  <c r="WEP77" i="17"/>
  <c r="WEO77" i="17"/>
  <c r="WEN77" i="17"/>
  <c r="WEM77" i="17"/>
  <c r="WEL77" i="17"/>
  <c r="WEK77" i="17"/>
  <c r="WEJ77" i="17"/>
  <c r="WEI77" i="17"/>
  <c r="WEH77" i="17"/>
  <c r="WEG77" i="17"/>
  <c r="WEF77" i="17"/>
  <c r="WEE77" i="17"/>
  <c r="WED77" i="17"/>
  <c r="WEC77" i="17"/>
  <c r="WEB77" i="17"/>
  <c r="WEA77" i="17"/>
  <c r="WDZ77" i="17"/>
  <c r="WDY77" i="17"/>
  <c r="WDX77" i="17"/>
  <c r="WDW77" i="17"/>
  <c r="WDV77" i="17"/>
  <c r="WDU77" i="17"/>
  <c r="WDT77" i="17"/>
  <c r="WDS77" i="17"/>
  <c r="WDR77" i="17"/>
  <c r="WDQ77" i="17"/>
  <c r="WDP77" i="17"/>
  <c r="WDO77" i="17"/>
  <c r="WDN77" i="17"/>
  <c r="WDM77" i="17"/>
  <c r="WDL77" i="17"/>
  <c r="WDK77" i="17"/>
  <c r="WDJ77" i="17"/>
  <c r="WDI77" i="17"/>
  <c r="WDH77" i="17"/>
  <c r="WDG77" i="17"/>
  <c r="WDF77" i="17"/>
  <c r="WDE77" i="17"/>
  <c r="WDD77" i="17"/>
  <c r="WDC77" i="17"/>
  <c r="WDB77" i="17"/>
  <c r="WDA77" i="17"/>
  <c r="WCZ77" i="17"/>
  <c r="WCY77" i="17"/>
  <c r="WCX77" i="17"/>
  <c r="WCW77" i="17"/>
  <c r="WCV77" i="17"/>
  <c r="WCU77" i="17"/>
  <c r="WCT77" i="17"/>
  <c r="WCS77" i="17"/>
  <c r="WCR77" i="17"/>
  <c r="WCQ77" i="17"/>
  <c r="WCP77" i="17"/>
  <c r="WCO77" i="17"/>
  <c r="WCN77" i="17"/>
  <c r="WCM77" i="17"/>
  <c r="WCL77" i="17"/>
  <c r="WCK77" i="17"/>
  <c r="WCJ77" i="17"/>
  <c r="WCI77" i="17"/>
  <c r="WCH77" i="17"/>
  <c r="WCG77" i="17"/>
  <c r="WCF77" i="17"/>
  <c r="WCE77" i="17"/>
  <c r="WCD77" i="17"/>
  <c r="WCC77" i="17"/>
  <c r="WCB77" i="17"/>
  <c r="WCA77" i="17"/>
  <c r="WBZ77" i="17"/>
  <c r="WBY77" i="17"/>
  <c r="WBX77" i="17"/>
  <c r="WBW77" i="17"/>
  <c r="WBV77" i="17"/>
  <c r="WBU77" i="17"/>
  <c r="WBT77" i="17"/>
  <c r="WBS77" i="17"/>
  <c r="WBR77" i="17"/>
  <c r="WBQ77" i="17"/>
  <c r="WBP77" i="17"/>
  <c r="WBO77" i="17"/>
  <c r="WBN77" i="17"/>
  <c r="WBM77" i="17"/>
  <c r="WBL77" i="17"/>
  <c r="WBK77" i="17"/>
  <c r="WBJ77" i="17"/>
  <c r="WBI77" i="17"/>
  <c r="WBH77" i="17"/>
  <c r="WBG77" i="17"/>
  <c r="WBF77" i="17"/>
  <c r="WBE77" i="17"/>
  <c r="WBD77" i="17"/>
  <c r="WBC77" i="17"/>
  <c r="WBB77" i="17"/>
  <c r="WBA77" i="17"/>
  <c r="WAZ77" i="17"/>
  <c r="WAY77" i="17"/>
  <c r="WAX77" i="17"/>
  <c r="WAW77" i="17"/>
  <c r="WAV77" i="17"/>
  <c r="WAU77" i="17"/>
  <c r="WAT77" i="17"/>
  <c r="WAS77" i="17"/>
  <c r="WAR77" i="17"/>
  <c r="WAQ77" i="17"/>
  <c r="WAP77" i="17"/>
  <c r="WAO77" i="17"/>
  <c r="WAN77" i="17"/>
  <c r="WAM77" i="17"/>
  <c r="WAL77" i="17"/>
  <c r="WAK77" i="17"/>
  <c r="WAJ77" i="17"/>
  <c r="WAI77" i="17"/>
  <c r="WAH77" i="17"/>
  <c r="WAG77" i="17"/>
  <c r="WAF77" i="17"/>
  <c r="WAE77" i="17"/>
  <c r="WAD77" i="17"/>
  <c r="WAC77" i="17"/>
  <c r="WAB77" i="17"/>
  <c r="WAA77" i="17"/>
  <c r="VZZ77" i="17"/>
  <c r="VZY77" i="17"/>
  <c r="VZX77" i="17"/>
  <c r="VZW77" i="17"/>
  <c r="VZV77" i="17"/>
  <c r="VZU77" i="17"/>
  <c r="VZT77" i="17"/>
  <c r="VZS77" i="17"/>
  <c r="VZR77" i="17"/>
  <c r="VZQ77" i="17"/>
  <c r="VZP77" i="17"/>
  <c r="VZO77" i="17"/>
  <c r="VZN77" i="17"/>
  <c r="VZM77" i="17"/>
  <c r="VZL77" i="17"/>
  <c r="VZK77" i="17"/>
  <c r="VZJ77" i="17"/>
  <c r="VZI77" i="17"/>
  <c r="VZH77" i="17"/>
  <c r="VZG77" i="17"/>
  <c r="VZF77" i="17"/>
  <c r="VZE77" i="17"/>
  <c r="VZD77" i="17"/>
  <c r="VZC77" i="17"/>
  <c r="VZB77" i="17"/>
  <c r="VZA77" i="17"/>
  <c r="VYZ77" i="17"/>
  <c r="VYY77" i="17"/>
  <c r="VYX77" i="17"/>
  <c r="VYW77" i="17"/>
  <c r="VYV77" i="17"/>
  <c r="VYU77" i="17"/>
  <c r="VYT77" i="17"/>
  <c r="VYS77" i="17"/>
  <c r="VYR77" i="17"/>
  <c r="VYQ77" i="17"/>
  <c r="VYP77" i="17"/>
  <c r="VYO77" i="17"/>
  <c r="VYN77" i="17"/>
  <c r="VYM77" i="17"/>
  <c r="VYL77" i="17"/>
  <c r="VYK77" i="17"/>
  <c r="VYJ77" i="17"/>
  <c r="VYI77" i="17"/>
  <c r="VYH77" i="17"/>
  <c r="VYG77" i="17"/>
  <c r="VYF77" i="17"/>
  <c r="VYE77" i="17"/>
  <c r="VYD77" i="17"/>
  <c r="VYC77" i="17"/>
  <c r="VYB77" i="17"/>
  <c r="VYA77" i="17"/>
  <c r="VXZ77" i="17"/>
  <c r="VXY77" i="17"/>
  <c r="VXX77" i="17"/>
  <c r="VXW77" i="17"/>
  <c r="VXV77" i="17"/>
  <c r="VXU77" i="17"/>
  <c r="VXT77" i="17"/>
  <c r="VXS77" i="17"/>
  <c r="VXR77" i="17"/>
  <c r="VXQ77" i="17"/>
  <c r="VXP77" i="17"/>
  <c r="VXO77" i="17"/>
  <c r="VXN77" i="17"/>
  <c r="VXM77" i="17"/>
  <c r="VXL77" i="17"/>
  <c r="VXK77" i="17"/>
  <c r="VXJ77" i="17"/>
  <c r="VXI77" i="17"/>
  <c r="VXH77" i="17"/>
  <c r="VXG77" i="17"/>
  <c r="VXF77" i="17"/>
  <c r="VXE77" i="17"/>
  <c r="VXD77" i="17"/>
  <c r="VXC77" i="17"/>
  <c r="VXB77" i="17"/>
  <c r="VXA77" i="17"/>
  <c r="VWZ77" i="17"/>
  <c r="VWY77" i="17"/>
  <c r="VWX77" i="17"/>
  <c r="VWW77" i="17"/>
  <c r="VWV77" i="17"/>
  <c r="VWU77" i="17"/>
  <c r="VWT77" i="17"/>
  <c r="VWS77" i="17"/>
  <c r="VWR77" i="17"/>
  <c r="VWQ77" i="17"/>
  <c r="VWP77" i="17"/>
  <c r="VWO77" i="17"/>
  <c r="VWN77" i="17"/>
  <c r="VWM77" i="17"/>
  <c r="VWL77" i="17"/>
  <c r="VWK77" i="17"/>
  <c r="VWJ77" i="17"/>
  <c r="VWI77" i="17"/>
  <c r="VWH77" i="17"/>
  <c r="VWG77" i="17"/>
  <c r="VWF77" i="17"/>
  <c r="VWE77" i="17"/>
  <c r="VWD77" i="17"/>
  <c r="VWC77" i="17"/>
  <c r="VWB77" i="17"/>
  <c r="VWA77" i="17"/>
  <c r="VVZ77" i="17"/>
  <c r="VVY77" i="17"/>
  <c r="VVX77" i="17"/>
  <c r="VVW77" i="17"/>
  <c r="VVV77" i="17"/>
  <c r="VVU77" i="17"/>
  <c r="VVT77" i="17"/>
  <c r="VVS77" i="17"/>
  <c r="VVR77" i="17"/>
  <c r="VVQ77" i="17"/>
  <c r="VVP77" i="17"/>
  <c r="VVO77" i="17"/>
  <c r="VVN77" i="17"/>
  <c r="VVM77" i="17"/>
  <c r="VVL77" i="17"/>
  <c r="VVK77" i="17"/>
  <c r="VVJ77" i="17"/>
  <c r="VVI77" i="17"/>
  <c r="VVH77" i="17"/>
  <c r="VVG77" i="17"/>
  <c r="VVF77" i="17"/>
  <c r="VVE77" i="17"/>
  <c r="VVD77" i="17"/>
  <c r="VVC77" i="17"/>
  <c r="VVB77" i="17"/>
  <c r="VVA77" i="17"/>
  <c r="VUZ77" i="17"/>
  <c r="VUY77" i="17"/>
  <c r="VUX77" i="17"/>
  <c r="VUW77" i="17"/>
  <c r="VUV77" i="17"/>
  <c r="VUU77" i="17"/>
  <c r="VUT77" i="17"/>
  <c r="VUS77" i="17"/>
  <c r="VUR77" i="17"/>
  <c r="VUQ77" i="17"/>
  <c r="VUP77" i="17"/>
  <c r="VUO77" i="17"/>
  <c r="VUN77" i="17"/>
  <c r="VUM77" i="17"/>
  <c r="VUL77" i="17"/>
  <c r="VUK77" i="17"/>
  <c r="VUJ77" i="17"/>
  <c r="VUI77" i="17"/>
  <c r="VUH77" i="17"/>
  <c r="VUG77" i="17"/>
  <c r="VUF77" i="17"/>
  <c r="VUE77" i="17"/>
  <c r="VUD77" i="17"/>
  <c r="VUC77" i="17"/>
  <c r="VUB77" i="17"/>
  <c r="VUA77" i="17"/>
  <c r="VTZ77" i="17"/>
  <c r="VTY77" i="17"/>
  <c r="VTX77" i="17"/>
  <c r="VTW77" i="17"/>
  <c r="VTV77" i="17"/>
  <c r="VTU77" i="17"/>
  <c r="VTT77" i="17"/>
  <c r="VTS77" i="17"/>
  <c r="VTR77" i="17"/>
  <c r="VTQ77" i="17"/>
  <c r="VTP77" i="17"/>
  <c r="VTO77" i="17"/>
  <c r="VTN77" i="17"/>
  <c r="VTM77" i="17"/>
  <c r="VTL77" i="17"/>
  <c r="VTK77" i="17"/>
  <c r="VTJ77" i="17"/>
  <c r="VTI77" i="17"/>
  <c r="VTH77" i="17"/>
  <c r="VTG77" i="17"/>
  <c r="VTF77" i="17"/>
  <c r="VTE77" i="17"/>
  <c r="VTD77" i="17"/>
  <c r="VTC77" i="17"/>
  <c r="VTB77" i="17"/>
  <c r="VTA77" i="17"/>
  <c r="VSZ77" i="17"/>
  <c r="VSY77" i="17"/>
  <c r="VSX77" i="17"/>
  <c r="VSW77" i="17"/>
  <c r="VSV77" i="17"/>
  <c r="VSU77" i="17"/>
  <c r="VST77" i="17"/>
  <c r="VSS77" i="17"/>
  <c r="VSR77" i="17"/>
  <c r="VSQ77" i="17"/>
  <c r="VSP77" i="17"/>
  <c r="VSO77" i="17"/>
  <c r="VSN77" i="17"/>
  <c r="VSM77" i="17"/>
  <c r="VSL77" i="17"/>
  <c r="VSK77" i="17"/>
  <c r="VSJ77" i="17"/>
  <c r="VSI77" i="17"/>
  <c r="VSH77" i="17"/>
  <c r="VSG77" i="17"/>
  <c r="VSF77" i="17"/>
  <c r="VSE77" i="17"/>
  <c r="VSD77" i="17"/>
  <c r="VSC77" i="17"/>
  <c r="VSB77" i="17"/>
  <c r="VSA77" i="17"/>
  <c r="VRZ77" i="17"/>
  <c r="VRY77" i="17"/>
  <c r="VRX77" i="17"/>
  <c r="VRW77" i="17"/>
  <c r="VRV77" i="17"/>
  <c r="VRU77" i="17"/>
  <c r="VRT77" i="17"/>
  <c r="VRS77" i="17"/>
  <c r="VRR77" i="17"/>
  <c r="VRQ77" i="17"/>
  <c r="VRP77" i="17"/>
  <c r="VRO77" i="17"/>
  <c r="VRN77" i="17"/>
  <c r="VRM77" i="17"/>
  <c r="VRL77" i="17"/>
  <c r="VRK77" i="17"/>
  <c r="VRJ77" i="17"/>
  <c r="VRI77" i="17"/>
  <c r="VRH77" i="17"/>
  <c r="VRG77" i="17"/>
  <c r="VRF77" i="17"/>
  <c r="VRE77" i="17"/>
  <c r="VRD77" i="17"/>
  <c r="VRC77" i="17"/>
  <c r="VRB77" i="17"/>
  <c r="VRA77" i="17"/>
  <c r="VQZ77" i="17"/>
  <c r="VQY77" i="17"/>
  <c r="VQX77" i="17"/>
  <c r="VQW77" i="17"/>
  <c r="VQV77" i="17"/>
  <c r="VQU77" i="17"/>
  <c r="VQT77" i="17"/>
  <c r="VQS77" i="17"/>
  <c r="VQR77" i="17"/>
  <c r="VQQ77" i="17"/>
  <c r="VQP77" i="17"/>
  <c r="VQO77" i="17"/>
  <c r="VQN77" i="17"/>
  <c r="VQM77" i="17"/>
  <c r="VQL77" i="17"/>
  <c r="VQK77" i="17"/>
  <c r="VQJ77" i="17"/>
  <c r="VQI77" i="17"/>
  <c r="VQH77" i="17"/>
  <c r="VQG77" i="17"/>
  <c r="VQF77" i="17"/>
  <c r="VQE77" i="17"/>
  <c r="VQD77" i="17"/>
  <c r="VQC77" i="17"/>
  <c r="VQB77" i="17"/>
  <c r="VQA77" i="17"/>
  <c r="VPZ77" i="17"/>
  <c r="VPY77" i="17"/>
  <c r="VPX77" i="17"/>
  <c r="VPW77" i="17"/>
  <c r="VPV77" i="17"/>
  <c r="VPU77" i="17"/>
  <c r="VPT77" i="17"/>
  <c r="VPS77" i="17"/>
  <c r="VPR77" i="17"/>
  <c r="VPQ77" i="17"/>
  <c r="VPP77" i="17"/>
  <c r="VPO77" i="17"/>
  <c r="VPN77" i="17"/>
  <c r="VPM77" i="17"/>
  <c r="VPL77" i="17"/>
  <c r="VPK77" i="17"/>
  <c r="VPJ77" i="17"/>
  <c r="VPI77" i="17"/>
  <c r="VPH77" i="17"/>
  <c r="VPG77" i="17"/>
  <c r="VPF77" i="17"/>
  <c r="VPE77" i="17"/>
  <c r="VPD77" i="17"/>
  <c r="VPC77" i="17"/>
  <c r="VPB77" i="17"/>
  <c r="VPA77" i="17"/>
  <c r="VOZ77" i="17"/>
  <c r="VOY77" i="17"/>
  <c r="VOX77" i="17"/>
  <c r="VOW77" i="17"/>
  <c r="VOV77" i="17"/>
  <c r="VOU77" i="17"/>
  <c r="VOT77" i="17"/>
  <c r="VOS77" i="17"/>
  <c r="VOR77" i="17"/>
  <c r="VOQ77" i="17"/>
  <c r="VOP77" i="17"/>
  <c r="VOO77" i="17"/>
  <c r="VON77" i="17"/>
  <c r="VOM77" i="17"/>
  <c r="VOL77" i="17"/>
  <c r="VOK77" i="17"/>
  <c r="VOJ77" i="17"/>
  <c r="VOI77" i="17"/>
  <c r="VOH77" i="17"/>
  <c r="VOG77" i="17"/>
  <c r="VOF77" i="17"/>
  <c r="VOE77" i="17"/>
  <c r="VOD77" i="17"/>
  <c r="VOC77" i="17"/>
  <c r="VOB77" i="17"/>
  <c r="VOA77" i="17"/>
  <c r="VNZ77" i="17"/>
  <c r="VNY77" i="17"/>
  <c r="VNX77" i="17"/>
  <c r="VNW77" i="17"/>
  <c r="VNV77" i="17"/>
  <c r="VNU77" i="17"/>
  <c r="VNT77" i="17"/>
  <c r="VNS77" i="17"/>
  <c r="VNR77" i="17"/>
  <c r="VNQ77" i="17"/>
  <c r="VNP77" i="17"/>
  <c r="VNO77" i="17"/>
  <c r="VNN77" i="17"/>
  <c r="VNM77" i="17"/>
  <c r="VNL77" i="17"/>
  <c r="VNK77" i="17"/>
  <c r="VNJ77" i="17"/>
  <c r="VNI77" i="17"/>
  <c r="VNH77" i="17"/>
  <c r="VNG77" i="17"/>
  <c r="VNF77" i="17"/>
  <c r="VNE77" i="17"/>
  <c r="VND77" i="17"/>
  <c r="VNC77" i="17"/>
  <c r="VNB77" i="17"/>
  <c r="VNA77" i="17"/>
  <c r="VMZ77" i="17"/>
  <c r="VMY77" i="17"/>
  <c r="VMX77" i="17"/>
  <c r="VMW77" i="17"/>
  <c r="VMV77" i="17"/>
  <c r="VMU77" i="17"/>
  <c r="VMT77" i="17"/>
  <c r="VMS77" i="17"/>
  <c r="VMR77" i="17"/>
  <c r="VMQ77" i="17"/>
  <c r="VMP77" i="17"/>
  <c r="VMO77" i="17"/>
  <c r="VMN77" i="17"/>
  <c r="VMM77" i="17"/>
  <c r="VML77" i="17"/>
  <c r="VMK77" i="17"/>
  <c r="VMJ77" i="17"/>
  <c r="VMI77" i="17"/>
  <c r="VMH77" i="17"/>
  <c r="VMG77" i="17"/>
  <c r="VMF77" i="17"/>
  <c r="VME77" i="17"/>
  <c r="VMD77" i="17"/>
  <c r="VMC77" i="17"/>
  <c r="VMB77" i="17"/>
  <c r="VMA77" i="17"/>
  <c r="VLZ77" i="17"/>
  <c r="VLY77" i="17"/>
  <c r="VLX77" i="17"/>
  <c r="VLW77" i="17"/>
  <c r="VLV77" i="17"/>
  <c r="VLU77" i="17"/>
  <c r="VLT77" i="17"/>
  <c r="VLS77" i="17"/>
  <c r="VLR77" i="17"/>
  <c r="VLQ77" i="17"/>
  <c r="VLP77" i="17"/>
  <c r="VLO77" i="17"/>
  <c r="VLN77" i="17"/>
  <c r="VLM77" i="17"/>
  <c r="VLL77" i="17"/>
  <c r="VLK77" i="17"/>
  <c r="VLJ77" i="17"/>
  <c r="VLI77" i="17"/>
  <c r="VLH77" i="17"/>
  <c r="VLG77" i="17"/>
  <c r="VLF77" i="17"/>
  <c r="VLE77" i="17"/>
  <c r="VLD77" i="17"/>
  <c r="VLC77" i="17"/>
  <c r="VLB77" i="17"/>
  <c r="VLA77" i="17"/>
  <c r="VKZ77" i="17"/>
  <c r="VKY77" i="17"/>
  <c r="VKX77" i="17"/>
  <c r="VKW77" i="17"/>
  <c r="VKV77" i="17"/>
  <c r="VKU77" i="17"/>
  <c r="VKT77" i="17"/>
  <c r="VKS77" i="17"/>
  <c r="VKR77" i="17"/>
  <c r="VKQ77" i="17"/>
  <c r="VKP77" i="17"/>
  <c r="VKO77" i="17"/>
  <c r="VKN77" i="17"/>
  <c r="VKM77" i="17"/>
  <c r="VKL77" i="17"/>
  <c r="VKK77" i="17"/>
  <c r="VKJ77" i="17"/>
  <c r="VKI77" i="17"/>
  <c r="VKH77" i="17"/>
  <c r="VKG77" i="17"/>
  <c r="VKF77" i="17"/>
  <c r="VKE77" i="17"/>
  <c r="VKD77" i="17"/>
  <c r="VKC77" i="17"/>
  <c r="VKB77" i="17"/>
  <c r="VKA77" i="17"/>
  <c r="VJZ77" i="17"/>
  <c r="VJY77" i="17"/>
  <c r="VJX77" i="17"/>
  <c r="VJW77" i="17"/>
  <c r="VJV77" i="17"/>
  <c r="VJU77" i="17"/>
  <c r="VJT77" i="17"/>
  <c r="VJS77" i="17"/>
  <c r="VJR77" i="17"/>
  <c r="VJQ77" i="17"/>
  <c r="VJP77" i="17"/>
  <c r="VJO77" i="17"/>
  <c r="VJN77" i="17"/>
  <c r="VJM77" i="17"/>
  <c r="VJL77" i="17"/>
  <c r="VJK77" i="17"/>
  <c r="VJJ77" i="17"/>
  <c r="VJI77" i="17"/>
  <c r="VJH77" i="17"/>
  <c r="VJG77" i="17"/>
  <c r="VJF77" i="17"/>
  <c r="VJE77" i="17"/>
  <c r="VJD77" i="17"/>
  <c r="VJC77" i="17"/>
  <c r="VJB77" i="17"/>
  <c r="VJA77" i="17"/>
  <c r="VIZ77" i="17"/>
  <c r="VIY77" i="17"/>
  <c r="VIX77" i="17"/>
  <c r="VIW77" i="17"/>
  <c r="VIV77" i="17"/>
  <c r="VIU77" i="17"/>
  <c r="VIT77" i="17"/>
  <c r="VIS77" i="17"/>
  <c r="VIR77" i="17"/>
  <c r="VIQ77" i="17"/>
  <c r="VIP77" i="17"/>
  <c r="VIO77" i="17"/>
  <c r="VIN77" i="17"/>
  <c r="VIM77" i="17"/>
  <c r="VIL77" i="17"/>
  <c r="VIK77" i="17"/>
  <c r="VIJ77" i="17"/>
  <c r="VII77" i="17"/>
  <c r="VIH77" i="17"/>
  <c r="VIG77" i="17"/>
  <c r="VIF77" i="17"/>
  <c r="VIE77" i="17"/>
  <c r="VID77" i="17"/>
  <c r="VIC77" i="17"/>
  <c r="VIB77" i="17"/>
  <c r="VIA77" i="17"/>
  <c r="VHZ77" i="17"/>
  <c r="VHY77" i="17"/>
  <c r="VHX77" i="17"/>
  <c r="VHW77" i="17"/>
  <c r="VHV77" i="17"/>
  <c r="VHU77" i="17"/>
  <c r="VHT77" i="17"/>
  <c r="VHS77" i="17"/>
  <c r="VHR77" i="17"/>
  <c r="VHQ77" i="17"/>
  <c r="VHP77" i="17"/>
  <c r="VHO77" i="17"/>
  <c r="VHN77" i="17"/>
  <c r="VHM77" i="17"/>
  <c r="VHL77" i="17"/>
  <c r="VHK77" i="17"/>
  <c r="VHJ77" i="17"/>
  <c r="VHI77" i="17"/>
  <c r="VHH77" i="17"/>
  <c r="VHG77" i="17"/>
  <c r="VHF77" i="17"/>
  <c r="VHE77" i="17"/>
  <c r="VHD77" i="17"/>
  <c r="VHC77" i="17"/>
  <c r="VHB77" i="17"/>
  <c r="VHA77" i="17"/>
  <c r="VGZ77" i="17"/>
  <c r="VGY77" i="17"/>
  <c r="VGX77" i="17"/>
  <c r="VGW77" i="17"/>
  <c r="VGV77" i="17"/>
  <c r="VGU77" i="17"/>
  <c r="VGT77" i="17"/>
  <c r="VGS77" i="17"/>
  <c r="VGR77" i="17"/>
  <c r="VGQ77" i="17"/>
  <c r="VGP77" i="17"/>
  <c r="VGO77" i="17"/>
  <c r="VGN77" i="17"/>
  <c r="VGM77" i="17"/>
  <c r="VGL77" i="17"/>
  <c r="VGK77" i="17"/>
  <c r="VGJ77" i="17"/>
  <c r="VGI77" i="17"/>
  <c r="VGH77" i="17"/>
  <c r="VGG77" i="17"/>
  <c r="VGF77" i="17"/>
  <c r="VGE77" i="17"/>
  <c r="VGD77" i="17"/>
  <c r="VGC77" i="17"/>
  <c r="VGB77" i="17"/>
  <c r="VGA77" i="17"/>
  <c r="VFZ77" i="17"/>
  <c r="VFY77" i="17"/>
  <c r="VFX77" i="17"/>
  <c r="VFW77" i="17"/>
  <c r="VFV77" i="17"/>
  <c r="VFU77" i="17"/>
  <c r="VFT77" i="17"/>
  <c r="VFS77" i="17"/>
  <c r="VFR77" i="17"/>
  <c r="VFQ77" i="17"/>
  <c r="VFP77" i="17"/>
  <c r="VFO77" i="17"/>
  <c r="VFN77" i="17"/>
  <c r="VFM77" i="17"/>
  <c r="VFL77" i="17"/>
  <c r="VFK77" i="17"/>
  <c r="VFJ77" i="17"/>
  <c r="VFI77" i="17"/>
  <c r="VFH77" i="17"/>
  <c r="VFG77" i="17"/>
  <c r="VFF77" i="17"/>
  <c r="VFE77" i="17"/>
  <c r="VFD77" i="17"/>
  <c r="VFC77" i="17"/>
  <c r="VFB77" i="17"/>
  <c r="VFA77" i="17"/>
  <c r="VEZ77" i="17"/>
  <c r="VEY77" i="17"/>
  <c r="VEX77" i="17"/>
  <c r="VEW77" i="17"/>
  <c r="VEV77" i="17"/>
  <c r="VEU77" i="17"/>
  <c r="VET77" i="17"/>
  <c r="VES77" i="17"/>
  <c r="VER77" i="17"/>
  <c r="VEQ77" i="17"/>
  <c r="VEP77" i="17"/>
  <c r="VEO77" i="17"/>
  <c r="VEN77" i="17"/>
  <c r="VEM77" i="17"/>
  <c r="VEL77" i="17"/>
  <c r="VEK77" i="17"/>
  <c r="VEJ77" i="17"/>
  <c r="VEI77" i="17"/>
  <c r="VEH77" i="17"/>
  <c r="VEG77" i="17"/>
  <c r="VEF77" i="17"/>
  <c r="VEE77" i="17"/>
  <c r="VED77" i="17"/>
  <c r="VEC77" i="17"/>
  <c r="VEB77" i="17"/>
  <c r="VEA77" i="17"/>
  <c r="VDZ77" i="17"/>
  <c r="VDY77" i="17"/>
  <c r="VDX77" i="17"/>
  <c r="VDW77" i="17"/>
  <c r="VDV77" i="17"/>
  <c r="VDU77" i="17"/>
  <c r="VDT77" i="17"/>
  <c r="VDS77" i="17"/>
  <c r="VDR77" i="17"/>
  <c r="VDQ77" i="17"/>
  <c r="VDP77" i="17"/>
  <c r="VDO77" i="17"/>
  <c r="VDN77" i="17"/>
  <c r="VDM77" i="17"/>
  <c r="VDL77" i="17"/>
  <c r="VDK77" i="17"/>
  <c r="VDJ77" i="17"/>
  <c r="VDI77" i="17"/>
  <c r="VDH77" i="17"/>
  <c r="VDG77" i="17"/>
  <c r="VDF77" i="17"/>
  <c r="VDE77" i="17"/>
  <c r="VDD77" i="17"/>
  <c r="VDC77" i="17"/>
  <c r="VDB77" i="17"/>
  <c r="VDA77" i="17"/>
  <c r="VCZ77" i="17"/>
  <c r="VCY77" i="17"/>
  <c r="VCX77" i="17"/>
  <c r="VCW77" i="17"/>
  <c r="VCV77" i="17"/>
  <c r="VCU77" i="17"/>
  <c r="VCT77" i="17"/>
  <c r="VCS77" i="17"/>
  <c r="VCR77" i="17"/>
  <c r="VCQ77" i="17"/>
  <c r="VCP77" i="17"/>
  <c r="VCO77" i="17"/>
  <c r="VCN77" i="17"/>
  <c r="VCM77" i="17"/>
  <c r="VCL77" i="17"/>
  <c r="VCK77" i="17"/>
  <c r="VCJ77" i="17"/>
  <c r="VCI77" i="17"/>
  <c r="VCH77" i="17"/>
  <c r="VCG77" i="17"/>
  <c r="VCF77" i="17"/>
  <c r="VCE77" i="17"/>
  <c r="VCD77" i="17"/>
  <c r="VCC77" i="17"/>
  <c r="VCB77" i="17"/>
  <c r="VCA77" i="17"/>
  <c r="VBZ77" i="17"/>
  <c r="VBY77" i="17"/>
  <c r="VBX77" i="17"/>
  <c r="VBW77" i="17"/>
  <c r="VBV77" i="17"/>
  <c r="VBU77" i="17"/>
  <c r="VBT77" i="17"/>
  <c r="VBS77" i="17"/>
  <c r="VBR77" i="17"/>
  <c r="VBQ77" i="17"/>
  <c r="VBP77" i="17"/>
  <c r="VBO77" i="17"/>
  <c r="VBN77" i="17"/>
  <c r="VBM77" i="17"/>
  <c r="VBL77" i="17"/>
  <c r="VBK77" i="17"/>
  <c r="VBJ77" i="17"/>
  <c r="VBI77" i="17"/>
  <c r="VBH77" i="17"/>
  <c r="VBG77" i="17"/>
  <c r="VBF77" i="17"/>
  <c r="VBE77" i="17"/>
  <c r="VBD77" i="17"/>
  <c r="VBC77" i="17"/>
  <c r="VBB77" i="17"/>
  <c r="VBA77" i="17"/>
  <c r="VAZ77" i="17"/>
  <c r="VAY77" i="17"/>
  <c r="VAX77" i="17"/>
  <c r="VAW77" i="17"/>
  <c r="VAV77" i="17"/>
  <c r="VAU77" i="17"/>
  <c r="VAT77" i="17"/>
  <c r="VAS77" i="17"/>
  <c r="VAR77" i="17"/>
  <c r="VAQ77" i="17"/>
  <c r="VAP77" i="17"/>
  <c r="VAO77" i="17"/>
  <c r="VAN77" i="17"/>
  <c r="VAM77" i="17"/>
  <c r="VAL77" i="17"/>
  <c r="VAK77" i="17"/>
  <c r="VAJ77" i="17"/>
  <c r="VAI77" i="17"/>
  <c r="VAH77" i="17"/>
  <c r="VAG77" i="17"/>
  <c r="VAF77" i="17"/>
  <c r="VAE77" i="17"/>
  <c r="VAD77" i="17"/>
  <c r="VAC77" i="17"/>
  <c r="VAB77" i="17"/>
  <c r="VAA77" i="17"/>
  <c r="UZZ77" i="17"/>
  <c r="UZY77" i="17"/>
  <c r="UZX77" i="17"/>
  <c r="UZW77" i="17"/>
  <c r="UZV77" i="17"/>
  <c r="UZU77" i="17"/>
  <c r="UZT77" i="17"/>
  <c r="UZS77" i="17"/>
  <c r="UZR77" i="17"/>
  <c r="UZQ77" i="17"/>
  <c r="UZP77" i="17"/>
  <c r="UZO77" i="17"/>
  <c r="UZN77" i="17"/>
  <c r="UZM77" i="17"/>
  <c r="UZL77" i="17"/>
  <c r="UZK77" i="17"/>
  <c r="UZJ77" i="17"/>
  <c r="UZI77" i="17"/>
  <c r="UZH77" i="17"/>
  <c r="UZG77" i="17"/>
  <c r="UZF77" i="17"/>
  <c r="UZE77" i="17"/>
  <c r="UZD77" i="17"/>
  <c r="UZC77" i="17"/>
  <c r="UZB77" i="17"/>
  <c r="UZA77" i="17"/>
  <c r="UYZ77" i="17"/>
  <c r="UYY77" i="17"/>
  <c r="UYX77" i="17"/>
  <c r="UYW77" i="17"/>
  <c r="UYV77" i="17"/>
  <c r="UYU77" i="17"/>
  <c r="UYT77" i="17"/>
  <c r="UYS77" i="17"/>
  <c r="UYR77" i="17"/>
  <c r="UYQ77" i="17"/>
  <c r="UYP77" i="17"/>
  <c r="UYO77" i="17"/>
  <c r="UYN77" i="17"/>
  <c r="UYM77" i="17"/>
  <c r="UYL77" i="17"/>
  <c r="UYK77" i="17"/>
  <c r="UYJ77" i="17"/>
  <c r="UYI77" i="17"/>
  <c r="UYH77" i="17"/>
  <c r="UYG77" i="17"/>
  <c r="UYF77" i="17"/>
  <c r="UYE77" i="17"/>
  <c r="UYD77" i="17"/>
  <c r="UYC77" i="17"/>
  <c r="UYB77" i="17"/>
  <c r="UYA77" i="17"/>
  <c r="UXZ77" i="17"/>
  <c r="UXY77" i="17"/>
  <c r="UXX77" i="17"/>
  <c r="UXW77" i="17"/>
  <c r="UXV77" i="17"/>
  <c r="UXU77" i="17"/>
  <c r="UXT77" i="17"/>
  <c r="UXS77" i="17"/>
  <c r="UXR77" i="17"/>
  <c r="UXQ77" i="17"/>
  <c r="UXP77" i="17"/>
  <c r="UXO77" i="17"/>
  <c r="UXN77" i="17"/>
  <c r="UXM77" i="17"/>
  <c r="UXL77" i="17"/>
  <c r="UXK77" i="17"/>
  <c r="UXJ77" i="17"/>
  <c r="UXI77" i="17"/>
  <c r="UXH77" i="17"/>
  <c r="UXG77" i="17"/>
  <c r="UXF77" i="17"/>
  <c r="UXE77" i="17"/>
  <c r="UXD77" i="17"/>
  <c r="UXC77" i="17"/>
  <c r="UXB77" i="17"/>
  <c r="UXA77" i="17"/>
  <c r="UWZ77" i="17"/>
  <c r="UWY77" i="17"/>
  <c r="UWX77" i="17"/>
  <c r="UWW77" i="17"/>
  <c r="UWV77" i="17"/>
  <c r="UWU77" i="17"/>
  <c r="UWT77" i="17"/>
  <c r="UWS77" i="17"/>
  <c r="UWR77" i="17"/>
  <c r="UWQ77" i="17"/>
  <c r="UWP77" i="17"/>
  <c r="UWO77" i="17"/>
  <c r="UWN77" i="17"/>
  <c r="UWM77" i="17"/>
  <c r="UWL77" i="17"/>
  <c r="UWK77" i="17"/>
  <c r="UWJ77" i="17"/>
  <c r="UWI77" i="17"/>
  <c r="UWH77" i="17"/>
  <c r="UWG77" i="17"/>
  <c r="UWF77" i="17"/>
  <c r="UWE77" i="17"/>
  <c r="UWD77" i="17"/>
  <c r="UWC77" i="17"/>
  <c r="UWB77" i="17"/>
  <c r="UWA77" i="17"/>
  <c r="UVZ77" i="17"/>
  <c r="UVY77" i="17"/>
  <c r="UVX77" i="17"/>
  <c r="UVW77" i="17"/>
  <c r="UVV77" i="17"/>
  <c r="UVU77" i="17"/>
  <c r="UVT77" i="17"/>
  <c r="UVS77" i="17"/>
  <c r="UVR77" i="17"/>
  <c r="UVQ77" i="17"/>
  <c r="UVP77" i="17"/>
  <c r="UVO77" i="17"/>
  <c r="UVN77" i="17"/>
  <c r="UVM77" i="17"/>
  <c r="UVL77" i="17"/>
  <c r="UVK77" i="17"/>
  <c r="UVJ77" i="17"/>
  <c r="UVI77" i="17"/>
  <c r="UVH77" i="17"/>
  <c r="UVG77" i="17"/>
  <c r="UVF77" i="17"/>
  <c r="UVE77" i="17"/>
  <c r="UVD77" i="17"/>
  <c r="UVC77" i="17"/>
  <c r="UVB77" i="17"/>
  <c r="UVA77" i="17"/>
  <c r="UUZ77" i="17"/>
  <c r="UUY77" i="17"/>
  <c r="UUX77" i="17"/>
  <c r="UUW77" i="17"/>
  <c r="UUV77" i="17"/>
  <c r="UUU77" i="17"/>
  <c r="UUT77" i="17"/>
  <c r="UUS77" i="17"/>
  <c r="UUR77" i="17"/>
  <c r="UUQ77" i="17"/>
  <c r="UUP77" i="17"/>
  <c r="UUO77" i="17"/>
  <c r="UUN77" i="17"/>
  <c r="UUM77" i="17"/>
  <c r="UUL77" i="17"/>
  <c r="UUK77" i="17"/>
  <c r="UUJ77" i="17"/>
  <c r="UUI77" i="17"/>
  <c r="UUH77" i="17"/>
  <c r="UUG77" i="17"/>
  <c r="UUF77" i="17"/>
  <c r="UUE77" i="17"/>
  <c r="UUD77" i="17"/>
  <c r="UUC77" i="17"/>
  <c r="UUB77" i="17"/>
  <c r="UUA77" i="17"/>
  <c r="UTZ77" i="17"/>
  <c r="UTY77" i="17"/>
  <c r="UTX77" i="17"/>
  <c r="UTW77" i="17"/>
  <c r="UTV77" i="17"/>
  <c r="UTU77" i="17"/>
  <c r="UTT77" i="17"/>
  <c r="UTS77" i="17"/>
  <c r="UTR77" i="17"/>
  <c r="UTQ77" i="17"/>
  <c r="UTP77" i="17"/>
  <c r="UTO77" i="17"/>
  <c r="UTN77" i="17"/>
  <c r="UTM77" i="17"/>
  <c r="UTL77" i="17"/>
  <c r="UTK77" i="17"/>
  <c r="UTJ77" i="17"/>
  <c r="UTI77" i="17"/>
  <c r="UTH77" i="17"/>
  <c r="UTG77" i="17"/>
  <c r="UTF77" i="17"/>
  <c r="UTE77" i="17"/>
  <c r="UTD77" i="17"/>
  <c r="UTC77" i="17"/>
  <c r="UTB77" i="17"/>
  <c r="UTA77" i="17"/>
  <c r="USZ77" i="17"/>
  <c r="USY77" i="17"/>
  <c r="USX77" i="17"/>
  <c r="USW77" i="17"/>
  <c r="USV77" i="17"/>
  <c r="USU77" i="17"/>
  <c r="UST77" i="17"/>
  <c r="USS77" i="17"/>
  <c r="USR77" i="17"/>
  <c r="USQ77" i="17"/>
  <c r="USP77" i="17"/>
  <c r="USO77" i="17"/>
  <c r="USN77" i="17"/>
  <c r="USM77" i="17"/>
  <c r="USL77" i="17"/>
  <c r="USK77" i="17"/>
  <c r="USJ77" i="17"/>
  <c r="USI77" i="17"/>
  <c r="USH77" i="17"/>
  <c r="USG77" i="17"/>
  <c r="USF77" i="17"/>
  <c r="USE77" i="17"/>
  <c r="USD77" i="17"/>
  <c r="USC77" i="17"/>
  <c r="USB77" i="17"/>
  <c r="USA77" i="17"/>
  <c r="URZ77" i="17"/>
  <c r="URY77" i="17"/>
  <c r="URX77" i="17"/>
  <c r="URW77" i="17"/>
  <c r="URV77" i="17"/>
  <c r="URU77" i="17"/>
  <c r="URT77" i="17"/>
  <c r="URS77" i="17"/>
  <c r="URR77" i="17"/>
  <c r="URQ77" i="17"/>
  <c r="URP77" i="17"/>
  <c r="URO77" i="17"/>
  <c r="URN77" i="17"/>
  <c r="URM77" i="17"/>
  <c r="URL77" i="17"/>
  <c r="URK77" i="17"/>
  <c r="URJ77" i="17"/>
  <c r="URI77" i="17"/>
  <c r="URH77" i="17"/>
  <c r="URG77" i="17"/>
  <c r="URF77" i="17"/>
  <c r="URE77" i="17"/>
  <c r="URD77" i="17"/>
  <c r="URC77" i="17"/>
  <c r="URB77" i="17"/>
  <c r="URA77" i="17"/>
  <c r="UQZ77" i="17"/>
  <c r="UQY77" i="17"/>
  <c r="UQX77" i="17"/>
  <c r="UQW77" i="17"/>
  <c r="UQV77" i="17"/>
  <c r="UQU77" i="17"/>
  <c r="UQT77" i="17"/>
  <c r="UQS77" i="17"/>
  <c r="UQR77" i="17"/>
  <c r="UQQ77" i="17"/>
  <c r="UQP77" i="17"/>
  <c r="UQO77" i="17"/>
  <c r="UQN77" i="17"/>
  <c r="UQM77" i="17"/>
  <c r="UQL77" i="17"/>
  <c r="UQK77" i="17"/>
  <c r="UQJ77" i="17"/>
  <c r="UQI77" i="17"/>
  <c r="UQH77" i="17"/>
  <c r="UQG77" i="17"/>
  <c r="UQF77" i="17"/>
  <c r="UQE77" i="17"/>
  <c r="UQD77" i="17"/>
  <c r="UQC77" i="17"/>
  <c r="UQB77" i="17"/>
  <c r="UQA77" i="17"/>
  <c r="UPZ77" i="17"/>
  <c r="UPY77" i="17"/>
  <c r="UPX77" i="17"/>
  <c r="UPW77" i="17"/>
  <c r="UPV77" i="17"/>
  <c r="UPU77" i="17"/>
  <c r="UPT77" i="17"/>
  <c r="UPS77" i="17"/>
  <c r="UPR77" i="17"/>
  <c r="UPQ77" i="17"/>
  <c r="UPP77" i="17"/>
  <c r="UPO77" i="17"/>
  <c r="UPN77" i="17"/>
  <c r="UPM77" i="17"/>
  <c r="UPL77" i="17"/>
  <c r="UPK77" i="17"/>
  <c r="UPJ77" i="17"/>
  <c r="UPI77" i="17"/>
  <c r="UPH77" i="17"/>
  <c r="UPG77" i="17"/>
  <c r="UPF77" i="17"/>
  <c r="UPE77" i="17"/>
  <c r="UPD77" i="17"/>
  <c r="UPC77" i="17"/>
  <c r="UPB77" i="17"/>
  <c r="UPA77" i="17"/>
  <c r="UOZ77" i="17"/>
  <c r="UOY77" i="17"/>
  <c r="UOX77" i="17"/>
  <c r="UOW77" i="17"/>
  <c r="UOV77" i="17"/>
  <c r="UOU77" i="17"/>
  <c r="UOT77" i="17"/>
  <c r="UOS77" i="17"/>
  <c r="UOR77" i="17"/>
  <c r="UOQ77" i="17"/>
  <c r="UOP77" i="17"/>
  <c r="UOO77" i="17"/>
  <c r="UON77" i="17"/>
  <c r="UOM77" i="17"/>
  <c r="UOL77" i="17"/>
  <c r="UOK77" i="17"/>
  <c r="UOJ77" i="17"/>
  <c r="UOI77" i="17"/>
  <c r="UOH77" i="17"/>
  <c r="UOG77" i="17"/>
  <c r="UOF77" i="17"/>
  <c r="UOE77" i="17"/>
  <c r="UOD77" i="17"/>
  <c r="UOC77" i="17"/>
  <c r="UOB77" i="17"/>
  <c r="UOA77" i="17"/>
  <c r="UNZ77" i="17"/>
  <c r="UNY77" i="17"/>
  <c r="UNX77" i="17"/>
  <c r="UNW77" i="17"/>
  <c r="UNV77" i="17"/>
  <c r="UNU77" i="17"/>
  <c r="UNT77" i="17"/>
  <c r="UNS77" i="17"/>
  <c r="UNR77" i="17"/>
  <c r="UNQ77" i="17"/>
  <c r="UNP77" i="17"/>
  <c r="UNO77" i="17"/>
  <c r="UNN77" i="17"/>
  <c r="UNM77" i="17"/>
  <c r="UNL77" i="17"/>
  <c r="UNK77" i="17"/>
  <c r="UNJ77" i="17"/>
  <c r="UNI77" i="17"/>
  <c r="UNH77" i="17"/>
  <c r="UNG77" i="17"/>
  <c r="UNF77" i="17"/>
  <c r="UNE77" i="17"/>
  <c r="UND77" i="17"/>
  <c r="UNC77" i="17"/>
  <c r="UNB77" i="17"/>
  <c r="UNA77" i="17"/>
  <c r="UMZ77" i="17"/>
  <c r="UMY77" i="17"/>
  <c r="UMX77" i="17"/>
  <c r="UMW77" i="17"/>
  <c r="UMV77" i="17"/>
  <c r="UMU77" i="17"/>
  <c r="UMT77" i="17"/>
  <c r="UMS77" i="17"/>
  <c r="UMR77" i="17"/>
  <c r="UMQ77" i="17"/>
  <c r="UMP77" i="17"/>
  <c r="UMO77" i="17"/>
  <c r="UMN77" i="17"/>
  <c r="UMM77" i="17"/>
  <c r="UML77" i="17"/>
  <c r="UMK77" i="17"/>
  <c r="UMJ77" i="17"/>
  <c r="UMI77" i="17"/>
  <c r="UMH77" i="17"/>
  <c r="UMG77" i="17"/>
  <c r="UMF77" i="17"/>
  <c r="UME77" i="17"/>
  <c r="UMD77" i="17"/>
  <c r="UMC77" i="17"/>
  <c r="UMB77" i="17"/>
  <c r="UMA77" i="17"/>
  <c r="ULZ77" i="17"/>
  <c r="ULY77" i="17"/>
  <c r="ULX77" i="17"/>
  <c r="ULW77" i="17"/>
  <c r="ULV77" i="17"/>
  <c r="ULU77" i="17"/>
  <c r="ULT77" i="17"/>
  <c r="ULS77" i="17"/>
  <c r="ULR77" i="17"/>
  <c r="ULQ77" i="17"/>
  <c r="ULP77" i="17"/>
  <c r="ULO77" i="17"/>
  <c r="ULN77" i="17"/>
  <c r="ULM77" i="17"/>
  <c r="ULL77" i="17"/>
  <c r="ULK77" i="17"/>
  <c r="ULJ77" i="17"/>
  <c r="ULI77" i="17"/>
  <c r="ULH77" i="17"/>
  <c r="ULG77" i="17"/>
  <c r="ULF77" i="17"/>
  <c r="ULE77" i="17"/>
  <c r="ULD77" i="17"/>
  <c r="ULC77" i="17"/>
  <c r="ULB77" i="17"/>
  <c r="ULA77" i="17"/>
  <c r="UKZ77" i="17"/>
  <c r="UKY77" i="17"/>
  <c r="UKX77" i="17"/>
  <c r="UKW77" i="17"/>
  <c r="UKV77" i="17"/>
  <c r="UKU77" i="17"/>
  <c r="UKT77" i="17"/>
  <c r="UKS77" i="17"/>
  <c r="UKR77" i="17"/>
  <c r="UKQ77" i="17"/>
  <c r="UKP77" i="17"/>
  <c r="UKO77" i="17"/>
  <c r="UKN77" i="17"/>
  <c r="UKM77" i="17"/>
  <c r="UKL77" i="17"/>
  <c r="UKK77" i="17"/>
  <c r="UKJ77" i="17"/>
  <c r="UKI77" i="17"/>
  <c r="UKH77" i="17"/>
  <c r="UKG77" i="17"/>
  <c r="UKF77" i="17"/>
  <c r="UKE77" i="17"/>
  <c r="UKD77" i="17"/>
  <c r="UKC77" i="17"/>
  <c r="UKB77" i="17"/>
  <c r="UKA77" i="17"/>
  <c r="UJZ77" i="17"/>
  <c r="UJY77" i="17"/>
  <c r="UJX77" i="17"/>
  <c r="UJW77" i="17"/>
  <c r="UJV77" i="17"/>
  <c r="UJU77" i="17"/>
  <c r="UJT77" i="17"/>
  <c r="UJS77" i="17"/>
  <c r="UJR77" i="17"/>
  <c r="UJQ77" i="17"/>
  <c r="UJP77" i="17"/>
  <c r="UJO77" i="17"/>
  <c r="UJN77" i="17"/>
  <c r="UJM77" i="17"/>
  <c r="UJL77" i="17"/>
  <c r="UJK77" i="17"/>
  <c r="UJJ77" i="17"/>
  <c r="UJI77" i="17"/>
  <c r="UJH77" i="17"/>
  <c r="UJG77" i="17"/>
  <c r="UJF77" i="17"/>
  <c r="UJE77" i="17"/>
  <c r="UJD77" i="17"/>
  <c r="UJC77" i="17"/>
  <c r="UJB77" i="17"/>
  <c r="UJA77" i="17"/>
  <c r="UIZ77" i="17"/>
  <c r="UIY77" i="17"/>
  <c r="UIX77" i="17"/>
  <c r="UIW77" i="17"/>
  <c r="UIV77" i="17"/>
  <c r="UIU77" i="17"/>
  <c r="UIT77" i="17"/>
  <c r="UIS77" i="17"/>
  <c r="UIR77" i="17"/>
  <c r="UIQ77" i="17"/>
  <c r="UIP77" i="17"/>
  <c r="UIO77" i="17"/>
  <c r="UIN77" i="17"/>
  <c r="UIM77" i="17"/>
  <c r="UIL77" i="17"/>
  <c r="UIK77" i="17"/>
  <c r="UIJ77" i="17"/>
  <c r="UII77" i="17"/>
  <c r="UIH77" i="17"/>
  <c r="UIG77" i="17"/>
  <c r="UIF77" i="17"/>
  <c r="UIE77" i="17"/>
  <c r="UID77" i="17"/>
  <c r="UIC77" i="17"/>
  <c r="UIB77" i="17"/>
  <c r="UIA77" i="17"/>
  <c r="UHZ77" i="17"/>
  <c r="UHY77" i="17"/>
  <c r="UHX77" i="17"/>
  <c r="UHW77" i="17"/>
  <c r="UHV77" i="17"/>
  <c r="UHU77" i="17"/>
  <c r="UHT77" i="17"/>
  <c r="UHS77" i="17"/>
  <c r="UHR77" i="17"/>
  <c r="UHQ77" i="17"/>
  <c r="UHP77" i="17"/>
  <c r="UHO77" i="17"/>
  <c r="UHN77" i="17"/>
  <c r="UHM77" i="17"/>
  <c r="UHL77" i="17"/>
  <c r="UHK77" i="17"/>
  <c r="UHJ77" i="17"/>
  <c r="UHI77" i="17"/>
  <c r="UHH77" i="17"/>
  <c r="UHG77" i="17"/>
  <c r="UHF77" i="17"/>
  <c r="UHE77" i="17"/>
  <c r="UHD77" i="17"/>
  <c r="UHC77" i="17"/>
  <c r="UHB77" i="17"/>
  <c r="UHA77" i="17"/>
  <c r="UGZ77" i="17"/>
  <c r="UGY77" i="17"/>
  <c r="UGX77" i="17"/>
  <c r="UGW77" i="17"/>
  <c r="UGV77" i="17"/>
  <c r="UGU77" i="17"/>
  <c r="UGT77" i="17"/>
  <c r="UGS77" i="17"/>
  <c r="UGR77" i="17"/>
  <c r="UGQ77" i="17"/>
  <c r="UGP77" i="17"/>
  <c r="UGO77" i="17"/>
  <c r="UGN77" i="17"/>
  <c r="UGM77" i="17"/>
  <c r="UGL77" i="17"/>
  <c r="UGK77" i="17"/>
  <c r="UGJ77" i="17"/>
  <c r="UGI77" i="17"/>
  <c r="UGH77" i="17"/>
  <c r="UGG77" i="17"/>
  <c r="UGF77" i="17"/>
  <c r="UGE77" i="17"/>
  <c r="UGD77" i="17"/>
  <c r="UGC77" i="17"/>
  <c r="UGB77" i="17"/>
  <c r="UGA77" i="17"/>
  <c r="UFZ77" i="17"/>
  <c r="UFY77" i="17"/>
  <c r="UFX77" i="17"/>
  <c r="UFW77" i="17"/>
  <c r="UFV77" i="17"/>
  <c r="UFU77" i="17"/>
  <c r="UFT77" i="17"/>
  <c r="UFS77" i="17"/>
  <c r="UFR77" i="17"/>
  <c r="UFQ77" i="17"/>
  <c r="UFP77" i="17"/>
  <c r="UFO77" i="17"/>
  <c r="UFN77" i="17"/>
  <c r="UFM77" i="17"/>
  <c r="UFL77" i="17"/>
  <c r="UFK77" i="17"/>
  <c r="UFJ77" i="17"/>
  <c r="UFI77" i="17"/>
  <c r="UFH77" i="17"/>
  <c r="UFG77" i="17"/>
  <c r="UFF77" i="17"/>
  <c r="UFE77" i="17"/>
  <c r="UFD77" i="17"/>
  <c r="UFC77" i="17"/>
  <c r="UFB77" i="17"/>
  <c r="UFA77" i="17"/>
  <c r="UEZ77" i="17"/>
  <c r="UEY77" i="17"/>
  <c r="UEX77" i="17"/>
  <c r="UEW77" i="17"/>
  <c r="UEV77" i="17"/>
  <c r="UEU77" i="17"/>
  <c r="UET77" i="17"/>
  <c r="UES77" i="17"/>
  <c r="UER77" i="17"/>
  <c r="UEQ77" i="17"/>
  <c r="UEP77" i="17"/>
  <c r="UEO77" i="17"/>
  <c r="UEN77" i="17"/>
  <c r="UEM77" i="17"/>
  <c r="UEL77" i="17"/>
  <c r="UEK77" i="17"/>
  <c r="UEJ77" i="17"/>
  <c r="UEI77" i="17"/>
  <c r="UEH77" i="17"/>
  <c r="UEG77" i="17"/>
  <c r="UEF77" i="17"/>
  <c r="UEE77" i="17"/>
  <c r="UED77" i="17"/>
  <c r="UEC77" i="17"/>
  <c r="UEB77" i="17"/>
  <c r="UEA77" i="17"/>
  <c r="UDZ77" i="17"/>
  <c r="UDY77" i="17"/>
  <c r="UDX77" i="17"/>
  <c r="UDW77" i="17"/>
  <c r="UDV77" i="17"/>
  <c r="UDU77" i="17"/>
  <c r="UDT77" i="17"/>
  <c r="UDS77" i="17"/>
  <c r="UDR77" i="17"/>
  <c r="UDQ77" i="17"/>
  <c r="UDP77" i="17"/>
  <c r="UDO77" i="17"/>
  <c r="UDN77" i="17"/>
  <c r="UDM77" i="17"/>
  <c r="UDL77" i="17"/>
  <c r="UDK77" i="17"/>
  <c r="UDJ77" i="17"/>
  <c r="UDI77" i="17"/>
  <c r="UDH77" i="17"/>
  <c r="UDG77" i="17"/>
  <c r="UDF77" i="17"/>
  <c r="UDE77" i="17"/>
  <c r="UDD77" i="17"/>
  <c r="UDC77" i="17"/>
  <c r="UDB77" i="17"/>
  <c r="UDA77" i="17"/>
  <c r="UCZ77" i="17"/>
  <c r="UCY77" i="17"/>
  <c r="UCX77" i="17"/>
  <c r="UCW77" i="17"/>
  <c r="UCV77" i="17"/>
  <c r="UCU77" i="17"/>
  <c r="UCT77" i="17"/>
  <c r="UCS77" i="17"/>
  <c r="UCR77" i="17"/>
  <c r="UCQ77" i="17"/>
  <c r="UCP77" i="17"/>
  <c r="UCO77" i="17"/>
  <c r="UCN77" i="17"/>
  <c r="UCM77" i="17"/>
  <c r="UCL77" i="17"/>
  <c r="UCK77" i="17"/>
  <c r="UCJ77" i="17"/>
  <c r="UCI77" i="17"/>
  <c r="UCH77" i="17"/>
  <c r="UCG77" i="17"/>
  <c r="UCF77" i="17"/>
  <c r="UCE77" i="17"/>
  <c r="UCD77" i="17"/>
  <c r="UCC77" i="17"/>
  <c r="UCB77" i="17"/>
  <c r="UCA77" i="17"/>
  <c r="UBZ77" i="17"/>
  <c r="UBY77" i="17"/>
  <c r="UBX77" i="17"/>
  <c r="UBW77" i="17"/>
  <c r="UBV77" i="17"/>
  <c r="UBU77" i="17"/>
  <c r="UBT77" i="17"/>
  <c r="UBS77" i="17"/>
  <c r="UBR77" i="17"/>
  <c r="UBQ77" i="17"/>
  <c r="UBP77" i="17"/>
  <c r="UBO77" i="17"/>
  <c r="UBN77" i="17"/>
  <c r="UBM77" i="17"/>
  <c r="UBL77" i="17"/>
  <c r="UBK77" i="17"/>
  <c r="UBJ77" i="17"/>
  <c r="UBI77" i="17"/>
  <c r="UBH77" i="17"/>
  <c r="UBG77" i="17"/>
  <c r="UBF77" i="17"/>
  <c r="UBE77" i="17"/>
  <c r="UBD77" i="17"/>
  <c r="UBC77" i="17"/>
  <c r="UBB77" i="17"/>
  <c r="UBA77" i="17"/>
  <c r="UAZ77" i="17"/>
  <c r="UAY77" i="17"/>
  <c r="UAX77" i="17"/>
  <c r="UAW77" i="17"/>
  <c r="UAV77" i="17"/>
  <c r="UAU77" i="17"/>
  <c r="UAT77" i="17"/>
  <c r="UAS77" i="17"/>
  <c r="UAR77" i="17"/>
  <c r="UAQ77" i="17"/>
  <c r="UAP77" i="17"/>
  <c r="UAO77" i="17"/>
  <c r="UAN77" i="17"/>
  <c r="UAM77" i="17"/>
  <c r="UAL77" i="17"/>
  <c r="UAK77" i="17"/>
  <c r="UAJ77" i="17"/>
  <c r="UAI77" i="17"/>
  <c r="UAH77" i="17"/>
  <c r="UAG77" i="17"/>
  <c r="UAF77" i="17"/>
  <c r="UAE77" i="17"/>
  <c r="UAD77" i="17"/>
  <c r="UAC77" i="17"/>
  <c r="UAB77" i="17"/>
  <c r="UAA77" i="17"/>
  <c r="TZZ77" i="17"/>
  <c r="TZY77" i="17"/>
  <c r="TZX77" i="17"/>
  <c r="TZW77" i="17"/>
  <c r="TZV77" i="17"/>
  <c r="TZU77" i="17"/>
  <c r="TZT77" i="17"/>
  <c r="TZS77" i="17"/>
  <c r="TZR77" i="17"/>
  <c r="TZQ77" i="17"/>
  <c r="TZP77" i="17"/>
  <c r="TZO77" i="17"/>
  <c r="TZN77" i="17"/>
  <c r="TZM77" i="17"/>
  <c r="TZL77" i="17"/>
  <c r="TZK77" i="17"/>
  <c r="TZJ77" i="17"/>
  <c r="TZI77" i="17"/>
  <c r="TZH77" i="17"/>
  <c r="TZG77" i="17"/>
  <c r="TZF77" i="17"/>
  <c r="TZE77" i="17"/>
  <c r="TZD77" i="17"/>
  <c r="TZC77" i="17"/>
  <c r="TZB77" i="17"/>
  <c r="TZA77" i="17"/>
  <c r="TYZ77" i="17"/>
  <c r="TYY77" i="17"/>
  <c r="TYX77" i="17"/>
  <c r="TYW77" i="17"/>
  <c r="TYV77" i="17"/>
  <c r="TYU77" i="17"/>
  <c r="TYT77" i="17"/>
  <c r="TYS77" i="17"/>
  <c r="TYR77" i="17"/>
  <c r="TYQ77" i="17"/>
  <c r="TYP77" i="17"/>
  <c r="TYO77" i="17"/>
  <c r="TYN77" i="17"/>
  <c r="TYM77" i="17"/>
  <c r="TYL77" i="17"/>
  <c r="TYK77" i="17"/>
  <c r="TYJ77" i="17"/>
  <c r="TYI77" i="17"/>
  <c r="TYH77" i="17"/>
  <c r="TYG77" i="17"/>
  <c r="TYF77" i="17"/>
  <c r="TYE77" i="17"/>
  <c r="TYD77" i="17"/>
  <c r="TYC77" i="17"/>
  <c r="TYB77" i="17"/>
  <c r="TYA77" i="17"/>
  <c r="TXZ77" i="17"/>
  <c r="TXY77" i="17"/>
  <c r="TXX77" i="17"/>
  <c r="TXW77" i="17"/>
  <c r="TXV77" i="17"/>
  <c r="TXU77" i="17"/>
  <c r="TXT77" i="17"/>
  <c r="TXS77" i="17"/>
  <c r="TXR77" i="17"/>
  <c r="TXQ77" i="17"/>
  <c r="TXP77" i="17"/>
  <c r="TXO77" i="17"/>
  <c r="TXN77" i="17"/>
  <c r="TXM77" i="17"/>
  <c r="TXL77" i="17"/>
  <c r="TXK77" i="17"/>
  <c r="TXJ77" i="17"/>
  <c r="TXI77" i="17"/>
  <c r="TXH77" i="17"/>
  <c r="TXG77" i="17"/>
  <c r="TXF77" i="17"/>
  <c r="TXE77" i="17"/>
  <c r="TXD77" i="17"/>
  <c r="TXC77" i="17"/>
  <c r="TXB77" i="17"/>
  <c r="TXA77" i="17"/>
  <c r="TWZ77" i="17"/>
  <c r="TWY77" i="17"/>
  <c r="TWX77" i="17"/>
  <c r="TWW77" i="17"/>
  <c r="TWV77" i="17"/>
  <c r="TWU77" i="17"/>
  <c r="TWT77" i="17"/>
  <c r="TWS77" i="17"/>
  <c r="TWR77" i="17"/>
  <c r="TWQ77" i="17"/>
  <c r="TWP77" i="17"/>
  <c r="TWO77" i="17"/>
  <c r="TWN77" i="17"/>
  <c r="TWM77" i="17"/>
  <c r="TWL77" i="17"/>
  <c r="TWK77" i="17"/>
  <c r="TWJ77" i="17"/>
  <c r="TWI77" i="17"/>
  <c r="TWH77" i="17"/>
  <c r="TWG77" i="17"/>
  <c r="TWF77" i="17"/>
  <c r="TWE77" i="17"/>
  <c r="TWD77" i="17"/>
  <c r="TWC77" i="17"/>
  <c r="TWB77" i="17"/>
  <c r="TWA77" i="17"/>
  <c r="TVZ77" i="17"/>
  <c r="TVY77" i="17"/>
  <c r="TVX77" i="17"/>
  <c r="TVW77" i="17"/>
  <c r="TVV77" i="17"/>
  <c r="TVU77" i="17"/>
  <c r="TVT77" i="17"/>
  <c r="TVS77" i="17"/>
  <c r="TVR77" i="17"/>
  <c r="TVQ77" i="17"/>
  <c r="TVP77" i="17"/>
  <c r="TVO77" i="17"/>
  <c r="TVN77" i="17"/>
  <c r="TVM77" i="17"/>
  <c r="TVL77" i="17"/>
  <c r="TVK77" i="17"/>
  <c r="TVJ77" i="17"/>
  <c r="TVI77" i="17"/>
  <c r="TVH77" i="17"/>
  <c r="TVG77" i="17"/>
  <c r="TVF77" i="17"/>
  <c r="TVE77" i="17"/>
  <c r="TVD77" i="17"/>
  <c r="TVC77" i="17"/>
  <c r="TVB77" i="17"/>
  <c r="TVA77" i="17"/>
  <c r="TUZ77" i="17"/>
  <c r="TUY77" i="17"/>
  <c r="TUX77" i="17"/>
  <c r="TUW77" i="17"/>
  <c r="TUV77" i="17"/>
  <c r="TUU77" i="17"/>
  <c r="TUT77" i="17"/>
  <c r="TUS77" i="17"/>
  <c r="TUR77" i="17"/>
  <c r="TUQ77" i="17"/>
  <c r="TUP77" i="17"/>
  <c r="TUO77" i="17"/>
  <c r="TUN77" i="17"/>
  <c r="TUM77" i="17"/>
  <c r="TUL77" i="17"/>
  <c r="TUK77" i="17"/>
  <c r="TUJ77" i="17"/>
  <c r="TUI77" i="17"/>
  <c r="TUH77" i="17"/>
  <c r="TUG77" i="17"/>
  <c r="TUF77" i="17"/>
  <c r="TUE77" i="17"/>
  <c r="TUD77" i="17"/>
  <c r="TUC77" i="17"/>
  <c r="TUB77" i="17"/>
  <c r="TUA77" i="17"/>
  <c r="TTZ77" i="17"/>
  <c r="TTY77" i="17"/>
  <c r="TTX77" i="17"/>
  <c r="TTW77" i="17"/>
  <c r="TTV77" i="17"/>
  <c r="TTU77" i="17"/>
  <c r="TTT77" i="17"/>
  <c r="TTS77" i="17"/>
  <c r="TTR77" i="17"/>
  <c r="TTQ77" i="17"/>
  <c r="TTP77" i="17"/>
  <c r="TTO77" i="17"/>
  <c r="TTN77" i="17"/>
  <c r="TTM77" i="17"/>
  <c r="TTL77" i="17"/>
  <c r="TTK77" i="17"/>
  <c r="TTJ77" i="17"/>
  <c r="TTI77" i="17"/>
  <c r="TTH77" i="17"/>
  <c r="TTG77" i="17"/>
  <c r="TTF77" i="17"/>
  <c r="TTE77" i="17"/>
  <c r="TTD77" i="17"/>
  <c r="TTC77" i="17"/>
  <c r="TTB77" i="17"/>
  <c r="TTA77" i="17"/>
  <c r="TSZ77" i="17"/>
  <c r="TSY77" i="17"/>
  <c r="TSX77" i="17"/>
  <c r="TSW77" i="17"/>
  <c r="TSV77" i="17"/>
  <c r="TSU77" i="17"/>
  <c r="TST77" i="17"/>
  <c r="TSS77" i="17"/>
  <c r="TSR77" i="17"/>
  <c r="TSQ77" i="17"/>
  <c r="TSP77" i="17"/>
  <c r="TSO77" i="17"/>
  <c r="TSN77" i="17"/>
  <c r="TSM77" i="17"/>
  <c r="TSL77" i="17"/>
  <c r="TSK77" i="17"/>
  <c r="TSJ77" i="17"/>
  <c r="TSI77" i="17"/>
  <c r="TSH77" i="17"/>
  <c r="TSG77" i="17"/>
  <c r="TSF77" i="17"/>
  <c r="TSE77" i="17"/>
  <c r="TSD77" i="17"/>
  <c r="TSC77" i="17"/>
  <c r="TSB77" i="17"/>
  <c r="TSA77" i="17"/>
  <c r="TRZ77" i="17"/>
  <c r="TRY77" i="17"/>
  <c r="TRX77" i="17"/>
  <c r="TRW77" i="17"/>
  <c r="TRV77" i="17"/>
  <c r="TRU77" i="17"/>
  <c r="TRT77" i="17"/>
  <c r="TRS77" i="17"/>
  <c r="TRR77" i="17"/>
  <c r="TRQ77" i="17"/>
  <c r="TRP77" i="17"/>
  <c r="TRO77" i="17"/>
  <c r="TRN77" i="17"/>
  <c r="TRM77" i="17"/>
  <c r="TRL77" i="17"/>
  <c r="TRK77" i="17"/>
  <c r="TRJ77" i="17"/>
  <c r="TRI77" i="17"/>
  <c r="TRH77" i="17"/>
  <c r="TRG77" i="17"/>
  <c r="TRF77" i="17"/>
  <c r="TRE77" i="17"/>
  <c r="TRD77" i="17"/>
  <c r="TRC77" i="17"/>
  <c r="TRB77" i="17"/>
  <c r="TRA77" i="17"/>
  <c r="TQZ77" i="17"/>
  <c r="TQY77" i="17"/>
  <c r="TQX77" i="17"/>
  <c r="TQW77" i="17"/>
  <c r="TQV77" i="17"/>
  <c r="TQU77" i="17"/>
  <c r="TQT77" i="17"/>
  <c r="TQS77" i="17"/>
  <c r="TQR77" i="17"/>
  <c r="TQQ77" i="17"/>
  <c r="TQP77" i="17"/>
  <c r="TQO77" i="17"/>
  <c r="TQN77" i="17"/>
  <c r="TQM77" i="17"/>
  <c r="TQL77" i="17"/>
  <c r="TQK77" i="17"/>
  <c r="TQJ77" i="17"/>
  <c r="TQI77" i="17"/>
  <c r="TQH77" i="17"/>
  <c r="TQG77" i="17"/>
  <c r="TQF77" i="17"/>
  <c r="TQE77" i="17"/>
  <c r="TQD77" i="17"/>
  <c r="TQC77" i="17"/>
  <c r="TQB77" i="17"/>
  <c r="TQA77" i="17"/>
  <c r="TPZ77" i="17"/>
  <c r="TPY77" i="17"/>
  <c r="TPX77" i="17"/>
  <c r="TPW77" i="17"/>
  <c r="TPV77" i="17"/>
  <c r="TPU77" i="17"/>
  <c r="TPT77" i="17"/>
  <c r="TPS77" i="17"/>
  <c r="TPR77" i="17"/>
  <c r="TPQ77" i="17"/>
  <c r="TPP77" i="17"/>
  <c r="TPO77" i="17"/>
  <c r="TPN77" i="17"/>
  <c r="TPM77" i="17"/>
  <c r="TPL77" i="17"/>
  <c r="TPK77" i="17"/>
  <c r="TPJ77" i="17"/>
  <c r="TPI77" i="17"/>
  <c r="TPH77" i="17"/>
  <c r="TPG77" i="17"/>
  <c r="TPF77" i="17"/>
  <c r="TPE77" i="17"/>
  <c r="TPD77" i="17"/>
  <c r="TPC77" i="17"/>
  <c r="TPB77" i="17"/>
  <c r="TPA77" i="17"/>
  <c r="TOZ77" i="17"/>
  <c r="TOY77" i="17"/>
  <c r="TOX77" i="17"/>
  <c r="TOW77" i="17"/>
  <c r="TOV77" i="17"/>
  <c r="TOU77" i="17"/>
  <c r="TOT77" i="17"/>
  <c r="TOS77" i="17"/>
  <c r="TOR77" i="17"/>
  <c r="TOQ77" i="17"/>
  <c r="TOP77" i="17"/>
  <c r="TOO77" i="17"/>
  <c r="TON77" i="17"/>
  <c r="TOM77" i="17"/>
  <c r="TOL77" i="17"/>
  <c r="TOK77" i="17"/>
  <c r="TOJ77" i="17"/>
  <c r="TOI77" i="17"/>
  <c r="TOH77" i="17"/>
  <c r="TOG77" i="17"/>
  <c r="TOF77" i="17"/>
  <c r="TOE77" i="17"/>
  <c r="TOD77" i="17"/>
  <c r="TOC77" i="17"/>
  <c r="TOB77" i="17"/>
  <c r="TOA77" i="17"/>
  <c r="TNZ77" i="17"/>
  <c r="TNY77" i="17"/>
  <c r="TNX77" i="17"/>
  <c r="TNW77" i="17"/>
  <c r="TNV77" i="17"/>
  <c r="TNU77" i="17"/>
  <c r="TNT77" i="17"/>
  <c r="TNS77" i="17"/>
  <c r="TNR77" i="17"/>
  <c r="TNQ77" i="17"/>
  <c r="TNP77" i="17"/>
  <c r="TNO77" i="17"/>
  <c r="TNN77" i="17"/>
  <c r="TNM77" i="17"/>
  <c r="TNL77" i="17"/>
  <c r="TNK77" i="17"/>
  <c r="TNJ77" i="17"/>
  <c r="TNI77" i="17"/>
  <c r="TNH77" i="17"/>
  <c r="TNG77" i="17"/>
  <c r="TNF77" i="17"/>
  <c r="TNE77" i="17"/>
  <c r="TND77" i="17"/>
  <c r="TNC77" i="17"/>
  <c r="TNB77" i="17"/>
  <c r="TNA77" i="17"/>
  <c r="TMZ77" i="17"/>
  <c r="TMY77" i="17"/>
  <c r="TMX77" i="17"/>
  <c r="TMW77" i="17"/>
  <c r="TMV77" i="17"/>
  <c r="TMU77" i="17"/>
  <c r="TMT77" i="17"/>
  <c r="TMS77" i="17"/>
  <c r="TMR77" i="17"/>
  <c r="TMQ77" i="17"/>
  <c r="TMP77" i="17"/>
  <c r="TMO77" i="17"/>
  <c r="TMN77" i="17"/>
  <c r="TMM77" i="17"/>
  <c r="TML77" i="17"/>
  <c r="TMK77" i="17"/>
  <c r="TMJ77" i="17"/>
  <c r="TMI77" i="17"/>
  <c r="TMH77" i="17"/>
  <c r="TMG77" i="17"/>
  <c r="TMF77" i="17"/>
  <c r="TME77" i="17"/>
  <c r="TMD77" i="17"/>
  <c r="TMC77" i="17"/>
  <c r="TMB77" i="17"/>
  <c r="TMA77" i="17"/>
  <c r="TLZ77" i="17"/>
  <c r="TLY77" i="17"/>
  <c r="TLX77" i="17"/>
  <c r="TLW77" i="17"/>
  <c r="TLV77" i="17"/>
  <c r="TLU77" i="17"/>
  <c r="TLT77" i="17"/>
  <c r="TLS77" i="17"/>
  <c r="TLR77" i="17"/>
  <c r="TLQ77" i="17"/>
  <c r="TLP77" i="17"/>
  <c r="TLO77" i="17"/>
  <c r="TLN77" i="17"/>
  <c r="TLM77" i="17"/>
  <c r="TLL77" i="17"/>
  <c r="TLK77" i="17"/>
  <c r="TLJ77" i="17"/>
  <c r="TLI77" i="17"/>
  <c r="TLH77" i="17"/>
  <c r="TLG77" i="17"/>
  <c r="TLF77" i="17"/>
  <c r="TLE77" i="17"/>
  <c r="TLD77" i="17"/>
  <c r="TLC77" i="17"/>
  <c r="TLB77" i="17"/>
  <c r="TLA77" i="17"/>
  <c r="TKZ77" i="17"/>
  <c r="TKY77" i="17"/>
  <c r="TKX77" i="17"/>
  <c r="TKW77" i="17"/>
  <c r="TKV77" i="17"/>
  <c r="TKU77" i="17"/>
  <c r="TKT77" i="17"/>
  <c r="TKS77" i="17"/>
  <c r="TKR77" i="17"/>
  <c r="TKQ77" i="17"/>
  <c r="TKP77" i="17"/>
  <c r="TKO77" i="17"/>
  <c r="TKN77" i="17"/>
  <c r="TKM77" i="17"/>
  <c r="TKL77" i="17"/>
  <c r="TKK77" i="17"/>
  <c r="TKJ77" i="17"/>
  <c r="TKI77" i="17"/>
  <c r="TKH77" i="17"/>
  <c r="TKG77" i="17"/>
  <c r="TKF77" i="17"/>
  <c r="TKE77" i="17"/>
  <c r="TKD77" i="17"/>
  <c r="TKC77" i="17"/>
  <c r="TKB77" i="17"/>
  <c r="TKA77" i="17"/>
  <c r="TJZ77" i="17"/>
  <c r="TJY77" i="17"/>
  <c r="TJX77" i="17"/>
  <c r="TJW77" i="17"/>
  <c r="TJV77" i="17"/>
  <c r="TJU77" i="17"/>
  <c r="TJT77" i="17"/>
  <c r="TJS77" i="17"/>
  <c r="TJR77" i="17"/>
  <c r="TJQ77" i="17"/>
  <c r="TJP77" i="17"/>
  <c r="TJO77" i="17"/>
  <c r="TJN77" i="17"/>
  <c r="TJM77" i="17"/>
  <c r="TJL77" i="17"/>
  <c r="TJK77" i="17"/>
  <c r="TJJ77" i="17"/>
  <c r="TJI77" i="17"/>
  <c r="TJH77" i="17"/>
  <c r="TJG77" i="17"/>
  <c r="TJF77" i="17"/>
  <c r="TJE77" i="17"/>
  <c r="TJD77" i="17"/>
  <c r="TJC77" i="17"/>
  <c r="TJB77" i="17"/>
  <c r="TJA77" i="17"/>
  <c r="TIZ77" i="17"/>
  <c r="TIY77" i="17"/>
  <c r="TIX77" i="17"/>
  <c r="TIW77" i="17"/>
  <c r="TIV77" i="17"/>
  <c r="TIU77" i="17"/>
  <c r="TIT77" i="17"/>
  <c r="TIS77" i="17"/>
  <c r="TIR77" i="17"/>
  <c r="TIQ77" i="17"/>
  <c r="TIP77" i="17"/>
  <c r="TIO77" i="17"/>
  <c r="TIN77" i="17"/>
  <c r="TIM77" i="17"/>
  <c r="TIL77" i="17"/>
  <c r="TIK77" i="17"/>
  <c r="TIJ77" i="17"/>
  <c r="TII77" i="17"/>
  <c r="TIH77" i="17"/>
  <c r="TIG77" i="17"/>
  <c r="TIF77" i="17"/>
  <c r="TIE77" i="17"/>
  <c r="TID77" i="17"/>
  <c r="TIC77" i="17"/>
  <c r="TIB77" i="17"/>
  <c r="TIA77" i="17"/>
  <c r="THZ77" i="17"/>
  <c r="THY77" i="17"/>
  <c r="THX77" i="17"/>
  <c r="THW77" i="17"/>
  <c r="THV77" i="17"/>
  <c r="THU77" i="17"/>
  <c r="THT77" i="17"/>
  <c r="THS77" i="17"/>
  <c r="THR77" i="17"/>
  <c r="THQ77" i="17"/>
  <c r="THP77" i="17"/>
  <c r="THO77" i="17"/>
  <c r="THN77" i="17"/>
  <c r="THM77" i="17"/>
  <c r="THL77" i="17"/>
  <c r="THK77" i="17"/>
  <c r="THJ77" i="17"/>
  <c r="THI77" i="17"/>
  <c r="THH77" i="17"/>
  <c r="THG77" i="17"/>
  <c r="THF77" i="17"/>
  <c r="THE77" i="17"/>
  <c r="THD77" i="17"/>
  <c r="THC77" i="17"/>
  <c r="THB77" i="17"/>
  <c r="THA77" i="17"/>
  <c r="TGZ77" i="17"/>
  <c r="TGY77" i="17"/>
  <c r="TGX77" i="17"/>
  <c r="TGW77" i="17"/>
  <c r="TGV77" i="17"/>
  <c r="TGU77" i="17"/>
  <c r="TGT77" i="17"/>
  <c r="TGS77" i="17"/>
  <c r="TGR77" i="17"/>
  <c r="TGQ77" i="17"/>
  <c r="TGP77" i="17"/>
  <c r="TGO77" i="17"/>
  <c r="TGN77" i="17"/>
  <c r="TGM77" i="17"/>
  <c r="TGL77" i="17"/>
  <c r="TGK77" i="17"/>
  <c r="TGJ77" i="17"/>
  <c r="TGI77" i="17"/>
  <c r="TGH77" i="17"/>
  <c r="TGG77" i="17"/>
  <c r="TGF77" i="17"/>
  <c r="TGE77" i="17"/>
  <c r="TGD77" i="17"/>
  <c r="TGC77" i="17"/>
  <c r="TGB77" i="17"/>
  <c r="TGA77" i="17"/>
  <c r="TFZ77" i="17"/>
  <c r="TFY77" i="17"/>
  <c r="TFX77" i="17"/>
  <c r="TFW77" i="17"/>
  <c r="TFV77" i="17"/>
  <c r="TFU77" i="17"/>
  <c r="TFT77" i="17"/>
  <c r="TFS77" i="17"/>
  <c r="TFR77" i="17"/>
  <c r="TFQ77" i="17"/>
  <c r="TFP77" i="17"/>
  <c r="TFO77" i="17"/>
  <c r="TFN77" i="17"/>
  <c r="TFM77" i="17"/>
  <c r="TFL77" i="17"/>
  <c r="TFK77" i="17"/>
  <c r="TFJ77" i="17"/>
  <c r="TFI77" i="17"/>
  <c r="TFH77" i="17"/>
  <c r="TFG77" i="17"/>
  <c r="TFF77" i="17"/>
  <c r="TFE77" i="17"/>
  <c r="TFD77" i="17"/>
  <c r="TFC77" i="17"/>
  <c r="TFB77" i="17"/>
  <c r="TFA77" i="17"/>
  <c r="TEZ77" i="17"/>
  <c r="TEY77" i="17"/>
  <c r="TEX77" i="17"/>
  <c r="TEW77" i="17"/>
  <c r="TEV77" i="17"/>
  <c r="TEU77" i="17"/>
  <c r="TET77" i="17"/>
  <c r="TES77" i="17"/>
  <c r="TER77" i="17"/>
  <c r="TEQ77" i="17"/>
  <c r="TEP77" i="17"/>
  <c r="TEO77" i="17"/>
  <c r="TEN77" i="17"/>
  <c r="TEM77" i="17"/>
  <c r="TEL77" i="17"/>
  <c r="TEK77" i="17"/>
  <c r="TEJ77" i="17"/>
  <c r="TEI77" i="17"/>
  <c r="TEH77" i="17"/>
  <c r="TEG77" i="17"/>
  <c r="TEF77" i="17"/>
  <c r="TEE77" i="17"/>
  <c r="TED77" i="17"/>
  <c r="TEC77" i="17"/>
  <c r="TEB77" i="17"/>
  <c r="TEA77" i="17"/>
  <c r="TDZ77" i="17"/>
  <c r="TDY77" i="17"/>
  <c r="TDX77" i="17"/>
  <c r="TDW77" i="17"/>
  <c r="TDV77" i="17"/>
  <c r="TDU77" i="17"/>
  <c r="TDT77" i="17"/>
  <c r="TDS77" i="17"/>
  <c r="TDR77" i="17"/>
  <c r="TDQ77" i="17"/>
  <c r="TDP77" i="17"/>
  <c r="TDO77" i="17"/>
  <c r="TDN77" i="17"/>
  <c r="TDM77" i="17"/>
  <c r="TDL77" i="17"/>
  <c r="TDK77" i="17"/>
  <c r="TDJ77" i="17"/>
  <c r="TDI77" i="17"/>
  <c r="TDH77" i="17"/>
  <c r="TDG77" i="17"/>
  <c r="TDF77" i="17"/>
  <c r="TDE77" i="17"/>
  <c r="TDD77" i="17"/>
  <c r="TDC77" i="17"/>
  <c r="TDB77" i="17"/>
  <c r="TDA77" i="17"/>
  <c r="TCZ77" i="17"/>
  <c r="TCY77" i="17"/>
  <c r="TCX77" i="17"/>
  <c r="TCW77" i="17"/>
  <c r="TCV77" i="17"/>
  <c r="TCU77" i="17"/>
  <c r="TCT77" i="17"/>
  <c r="TCS77" i="17"/>
  <c r="TCR77" i="17"/>
  <c r="TCQ77" i="17"/>
  <c r="TCP77" i="17"/>
  <c r="TCO77" i="17"/>
  <c r="TCN77" i="17"/>
  <c r="TCM77" i="17"/>
  <c r="TCL77" i="17"/>
  <c r="TCK77" i="17"/>
  <c r="TCJ77" i="17"/>
  <c r="TCI77" i="17"/>
  <c r="TCH77" i="17"/>
  <c r="TCG77" i="17"/>
  <c r="TCF77" i="17"/>
  <c r="TCE77" i="17"/>
  <c r="TCD77" i="17"/>
  <c r="TCC77" i="17"/>
  <c r="TCB77" i="17"/>
  <c r="TCA77" i="17"/>
  <c r="TBZ77" i="17"/>
  <c r="TBY77" i="17"/>
  <c r="TBX77" i="17"/>
  <c r="TBW77" i="17"/>
  <c r="TBV77" i="17"/>
  <c r="TBU77" i="17"/>
  <c r="TBT77" i="17"/>
  <c r="TBS77" i="17"/>
  <c r="TBR77" i="17"/>
  <c r="TBQ77" i="17"/>
  <c r="TBP77" i="17"/>
  <c r="TBO77" i="17"/>
  <c r="TBN77" i="17"/>
  <c r="TBM77" i="17"/>
  <c r="TBL77" i="17"/>
  <c r="TBK77" i="17"/>
  <c r="TBJ77" i="17"/>
  <c r="TBI77" i="17"/>
  <c r="TBH77" i="17"/>
  <c r="TBG77" i="17"/>
  <c r="TBF77" i="17"/>
  <c r="TBE77" i="17"/>
  <c r="TBD77" i="17"/>
  <c r="TBC77" i="17"/>
  <c r="TBB77" i="17"/>
  <c r="TBA77" i="17"/>
  <c r="TAZ77" i="17"/>
  <c r="TAY77" i="17"/>
  <c r="TAX77" i="17"/>
  <c r="TAW77" i="17"/>
  <c r="TAV77" i="17"/>
  <c r="TAU77" i="17"/>
  <c r="TAT77" i="17"/>
  <c r="TAS77" i="17"/>
  <c r="TAR77" i="17"/>
  <c r="TAQ77" i="17"/>
  <c r="TAP77" i="17"/>
  <c r="TAO77" i="17"/>
  <c r="TAN77" i="17"/>
  <c r="TAM77" i="17"/>
  <c r="TAL77" i="17"/>
  <c r="TAK77" i="17"/>
  <c r="TAJ77" i="17"/>
  <c r="TAI77" i="17"/>
  <c r="TAH77" i="17"/>
  <c r="TAG77" i="17"/>
  <c r="TAF77" i="17"/>
  <c r="TAE77" i="17"/>
  <c r="TAD77" i="17"/>
  <c r="TAC77" i="17"/>
  <c r="TAB77" i="17"/>
  <c r="TAA77" i="17"/>
  <c r="SZZ77" i="17"/>
  <c r="SZY77" i="17"/>
  <c r="SZX77" i="17"/>
  <c r="SZW77" i="17"/>
  <c r="SZV77" i="17"/>
  <c r="SZU77" i="17"/>
  <c r="SZT77" i="17"/>
  <c r="SZS77" i="17"/>
  <c r="SZR77" i="17"/>
  <c r="SZQ77" i="17"/>
  <c r="SZP77" i="17"/>
  <c r="SZO77" i="17"/>
  <c r="SZN77" i="17"/>
  <c r="SZM77" i="17"/>
  <c r="SZL77" i="17"/>
  <c r="SZK77" i="17"/>
  <c r="SZJ77" i="17"/>
  <c r="SZI77" i="17"/>
  <c r="SZH77" i="17"/>
  <c r="SZG77" i="17"/>
  <c r="SZF77" i="17"/>
  <c r="SZE77" i="17"/>
  <c r="SZD77" i="17"/>
  <c r="SZC77" i="17"/>
  <c r="SZB77" i="17"/>
  <c r="SZA77" i="17"/>
  <c r="SYZ77" i="17"/>
  <c r="SYY77" i="17"/>
  <c r="SYX77" i="17"/>
  <c r="SYW77" i="17"/>
  <c r="SYV77" i="17"/>
  <c r="SYU77" i="17"/>
  <c r="SYT77" i="17"/>
  <c r="SYS77" i="17"/>
  <c r="SYR77" i="17"/>
  <c r="SYQ77" i="17"/>
  <c r="SYP77" i="17"/>
  <c r="SYO77" i="17"/>
  <c r="SYN77" i="17"/>
  <c r="SYM77" i="17"/>
  <c r="SYL77" i="17"/>
  <c r="SYK77" i="17"/>
  <c r="SYJ77" i="17"/>
  <c r="SYI77" i="17"/>
  <c r="SYH77" i="17"/>
  <c r="SYG77" i="17"/>
  <c r="SYF77" i="17"/>
  <c r="SYE77" i="17"/>
  <c r="SYD77" i="17"/>
  <c r="SYC77" i="17"/>
  <c r="SYB77" i="17"/>
  <c r="SYA77" i="17"/>
  <c r="SXZ77" i="17"/>
  <c r="SXY77" i="17"/>
  <c r="SXX77" i="17"/>
  <c r="SXW77" i="17"/>
  <c r="SXV77" i="17"/>
  <c r="SXU77" i="17"/>
  <c r="SXT77" i="17"/>
  <c r="SXS77" i="17"/>
  <c r="SXR77" i="17"/>
  <c r="SXQ77" i="17"/>
  <c r="SXP77" i="17"/>
  <c r="SXO77" i="17"/>
  <c r="SXN77" i="17"/>
  <c r="SXM77" i="17"/>
  <c r="SXL77" i="17"/>
  <c r="SXK77" i="17"/>
  <c r="SXJ77" i="17"/>
  <c r="SXI77" i="17"/>
  <c r="SXH77" i="17"/>
  <c r="SXG77" i="17"/>
  <c r="SXF77" i="17"/>
  <c r="SXE77" i="17"/>
  <c r="SXD77" i="17"/>
  <c r="SXC77" i="17"/>
  <c r="SXB77" i="17"/>
  <c r="SXA77" i="17"/>
  <c r="SWZ77" i="17"/>
  <c r="SWY77" i="17"/>
  <c r="SWX77" i="17"/>
  <c r="SWW77" i="17"/>
  <c r="SWV77" i="17"/>
  <c r="SWU77" i="17"/>
  <c r="SWT77" i="17"/>
  <c r="SWS77" i="17"/>
  <c r="SWR77" i="17"/>
  <c r="SWQ77" i="17"/>
  <c r="SWP77" i="17"/>
  <c r="SWO77" i="17"/>
  <c r="SWN77" i="17"/>
  <c r="SWM77" i="17"/>
  <c r="SWL77" i="17"/>
  <c r="SWK77" i="17"/>
  <c r="SWJ77" i="17"/>
  <c r="SWI77" i="17"/>
  <c r="SWH77" i="17"/>
  <c r="SWG77" i="17"/>
  <c r="SWF77" i="17"/>
  <c r="SWE77" i="17"/>
  <c r="SWD77" i="17"/>
  <c r="SWC77" i="17"/>
  <c r="SWB77" i="17"/>
  <c r="SWA77" i="17"/>
  <c r="SVZ77" i="17"/>
  <c r="SVY77" i="17"/>
  <c r="SVX77" i="17"/>
  <c r="SVW77" i="17"/>
  <c r="SVV77" i="17"/>
  <c r="SVU77" i="17"/>
  <c r="SVT77" i="17"/>
  <c r="SVS77" i="17"/>
  <c r="SVR77" i="17"/>
  <c r="SVQ77" i="17"/>
  <c r="SVP77" i="17"/>
  <c r="SVO77" i="17"/>
  <c r="SVN77" i="17"/>
  <c r="SVM77" i="17"/>
  <c r="SVL77" i="17"/>
  <c r="SVK77" i="17"/>
  <c r="SVJ77" i="17"/>
  <c r="SVI77" i="17"/>
  <c r="SVH77" i="17"/>
  <c r="SVG77" i="17"/>
  <c r="SVF77" i="17"/>
  <c r="SVE77" i="17"/>
  <c r="SVD77" i="17"/>
  <c r="SVC77" i="17"/>
  <c r="SVB77" i="17"/>
  <c r="SVA77" i="17"/>
  <c r="SUZ77" i="17"/>
  <c r="SUY77" i="17"/>
  <c r="SUX77" i="17"/>
  <c r="SUW77" i="17"/>
  <c r="SUV77" i="17"/>
  <c r="SUU77" i="17"/>
  <c r="SUT77" i="17"/>
  <c r="SUS77" i="17"/>
  <c r="SUR77" i="17"/>
  <c r="SUQ77" i="17"/>
  <c r="SUP77" i="17"/>
  <c r="SUO77" i="17"/>
  <c r="SUN77" i="17"/>
  <c r="SUM77" i="17"/>
  <c r="SUL77" i="17"/>
  <c r="SUK77" i="17"/>
  <c r="SUJ77" i="17"/>
  <c r="SUI77" i="17"/>
  <c r="SUH77" i="17"/>
  <c r="SUG77" i="17"/>
  <c r="SUF77" i="17"/>
  <c r="SUE77" i="17"/>
  <c r="SUD77" i="17"/>
  <c r="SUC77" i="17"/>
  <c r="SUB77" i="17"/>
  <c r="SUA77" i="17"/>
  <c r="STZ77" i="17"/>
  <c r="STY77" i="17"/>
  <c r="STX77" i="17"/>
  <c r="STW77" i="17"/>
  <c r="STV77" i="17"/>
  <c r="STU77" i="17"/>
  <c r="STT77" i="17"/>
  <c r="STS77" i="17"/>
  <c r="STR77" i="17"/>
  <c r="STQ77" i="17"/>
  <c r="STP77" i="17"/>
  <c r="STO77" i="17"/>
  <c r="STN77" i="17"/>
  <c r="STM77" i="17"/>
  <c r="STL77" i="17"/>
  <c r="STK77" i="17"/>
  <c r="STJ77" i="17"/>
  <c r="STI77" i="17"/>
  <c r="STH77" i="17"/>
  <c r="STG77" i="17"/>
  <c r="STF77" i="17"/>
  <c r="STE77" i="17"/>
  <c r="STD77" i="17"/>
  <c r="STC77" i="17"/>
  <c r="STB77" i="17"/>
  <c r="STA77" i="17"/>
  <c r="SSZ77" i="17"/>
  <c r="SSY77" i="17"/>
  <c r="SSX77" i="17"/>
  <c r="SSW77" i="17"/>
  <c r="SSV77" i="17"/>
  <c r="SSU77" i="17"/>
  <c r="SST77" i="17"/>
  <c r="SSS77" i="17"/>
  <c r="SSR77" i="17"/>
  <c r="SSQ77" i="17"/>
  <c r="SSP77" i="17"/>
  <c r="SSO77" i="17"/>
  <c r="SSN77" i="17"/>
  <c r="SSM77" i="17"/>
  <c r="SSL77" i="17"/>
  <c r="SSK77" i="17"/>
  <c r="SSJ77" i="17"/>
  <c r="SSI77" i="17"/>
  <c r="SSH77" i="17"/>
  <c r="SSG77" i="17"/>
  <c r="SSF77" i="17"/>
  <c r="SSE77" i="17"/>
  <c r="SSD77" i="17"/>
  <c r="SSC77" i="17"/>
  <c r="SSB77" i="17"/>
  <c r="SSA77" i="17"/>
  <c r="SRZ77" i="17"/>
  <c r="SRY77" i="17"/>
  <c r="SRX77" i="17"/>
  <c r="SRW77" i="17"/>
  <c r="SRV77" i="17"/>
  <c r="SRU77" i="17"/>
  <c r="SRT77" i="17"/>
  <c r="SRS77" i="17"/>
  <c r="SRR77" i="17"/>
  <c r="SRQ77" i="17"/>
  <c r="SRP77" i="17"/>
  <c r="SRO77" i="17"/>
  <c r="SRN77" i="17"/>
  <c r="SRM77" i="17"/>
  <c r="SRL77" i="17"/>
  <c r="SRK77" i="17"/>
  <c r="SRJ77" i="17"/>
  <c r="SRI77" i="17"/>
  <c r="SRH77" i="17"/>
  <c r="SRG77" i="17"/>
  <c r="SRF77" i="17"/>
  <c r="SRE77" i="17"/>
  <c r="SRD77" i="17"/>
  <c r="SRC77" i="17"/>
  <c r="SRB77" i="17"/>
  <c r="SRA77" i="17"/>
  <c r="SQZ77" i="17"/>
  <c r="SQY77" i="17"/>
  <c r="SQX77" i="17"/>
  <c r="SQW77" i="17"/>
  <c r="SQV77" i="17"/>
  <c r="SQU77" i="17"/>
  <c r="SQT77" i="17"/>
  <c r="SQS77" i="17"/>
  <c r="SQR77" i="17"/>
  <c r="SQQ77" i="17"/>
  <c r="SQP77" i="17"/>
  <c r="SQO77" i="17"/>
  <c r="SQN77" i="17"/>
  <c r="SQM77" i="17"/>
  <c r="SQL77" i="17"/>
  <c r="SQK77" i="17"/>
  <c r="SQJ77" i="17"/>
  <c r="SQI77" i="17"/>
  <c r="SQH77" i="17"/>
  <c r="SQG77" i="17"/>
  <c r="SQF77" i="17"/>
  <c r="SQE77" i="17"/>
  <c r="SQD77" i="17"/>
  <c r="SQC77" i="17"/>
  <c r="SQB77" i="17"/>
  <c r="SQA77" i="17"/>
  <c r="SPZ77" i="17"/>
  <c r="SPY77" i="17"/>
  <c r="SPX77" i="17"/>
  <c r="SPW77" i="17"/>
  <c r="SPV77" i="17"/>
  <c r="SPU77" i="17"/>
  <c r="SPT77" i="17"/>
  <c r="SPS77" i="17"/>
  <c r="SPR77" i="17"/>
  <c r="SPQ77" i="17"/>
  <c r="SPP77" i="17"/>
  <c r="SPO77" i="17"/>
  <c r="SPN77" i="17"/>
  <c r="SPM77" i="17"/>
  <c r="SPL77" i="17"/>
  <c r="SPK77" i="17"/>
  <c r="SPJ77" i="17"/>
  <c r="SPI77" i="17"/>
  <c r="SPH77" i="17"/>
  <c r="SPG77" i="17"/>
  <c r="SPF77" i="17"/>
  <c r="SPE77" i="17"/>
  <c r="SPD77" i="17"/>
  <c r="SPC77" i="17"/>
  <c r="SPB77" i="17"/>
  <c r="SPA77" i="17"/>
  <c r="SOZ77" i="17"/>
  <c r="SOY77" i="17"/>
  <c r="SOX77" i="17"/>
  <c r="SOW77" i="17"/>
  <c r="SOV77" i="17"/>
  <c r="SOU77" i="17"/>
  <c r="SOT77" i="17"/>
  <c r="SOS77" i="17"/>
  <c r="SOR77" i="17"/>
  <c r="SOQ77" i="17"/>
  <c r="SOP77" i="17"/>
  <c r="SOO77" i="17"/>
  <c r="SON77" i="17"/>
  <c r="SOM77" i="17"/>
  <c r="SOL77" i="17"/>
  <c r="SOK77" i="17"/>
  <c r="SOJ77" i="17"/>
  <c r="SOI77" i="17"/>
  <c r="SOH77" i="17"/>
  <c r="SOG77" i="17"/>
  <c r="SOF77" i="17"/>
  <c r="SOE77" i="17"/>
  <c r="SOD77" i="17"/>
  <c r="SOC77" i="17"/>
  <c r="SOB77" i="17"/>
  <c r="SOA77" i="17"/>
  <c r="SNZ77" i="17"/>
  <c r="SNY77" i="17"/>
  <c r="SNX77" i="17"/>
  <c r="SNW77" i="17"/>
  <c r="SNV77" i="17"/>
  <c r="SNU77" i="17"/>
  <c r="SNT77" i="17"/>
  <c r="SNS77" i="17"/>
  <c r="SNR77" i="17"/>
  <c r="SNQ77" i="17"/>
  <c r="SNP77" i="17"/>
  <c r="SNO77" i="17"/>
  <c r="SNN77" i="17"/>
  <c r="SNM77" i="17"/>
  <c r="SNL77" i="17"/>
  <c r="SNK77" i="17"/>
  <c r="SNJ77" i="17"/>
  <c r="SNI77" i="17"/>
  <c r="SNH77" i="17"/>
  <c r="SNG77" i="17"/>
  <c r="SNF77" i="17"/>
  <c r="SNE77" i="17"/>
  <c r="SND77" i="17"/>
  <c r="SNC77" i="17"/>
  <c r="SNB77" i="17"/>
  <c r="SNA77" i="17"/>
  <c r="SMZ77" i="17"/>
  <c r="SMY77" i="17"/>
  <c r="SMX77" i="17"/>
  <c r="SMW77" i="17"/>
  <c r="SMV77" i="17"/>
  <c r="SMU77" i="17"/>
  <c r="SMT77" i="17"/>
  <c r="SMS77" i="17"/>
  <c r="SMR77" i="17"/>
  <c r="SMQ77" i="17"/>
  <c r="SMP77" i="17"/>
  <c r="SMO77" i="17"/>
  <c r="SMN77" i="17"/>
  <c r="SMM77" i="17"/>
  <c r="SML77" i="17"/>
  <c r="SMK77" i="17"/>
  <c r="SMJ77" i="17"/>
  <c r="SMI77" i="17"/>
  <c r="SMH77" i="17"/>
  <c r="SMG77" i="17"/>
  <c r="SMF77" i="17"/>
  <c r="SME77" i="17"/>
  <c r="SMD77" i="17"/>
  <c r="SMC77" i="17"/>
  <c r="SMB77" i="17"/>
  <c r="SMA77" i="17"/>
  <c r="SLZ77" i="17"/>
  <c r="SLY77" i="17"/>
  <c r="SLX77" i="17"/>
  <c r="SLW77" i="17"/>
  <c r="SLV77" i="17"/>
  <c r="SLU77" i="17"/>
  <c r="SLT77" i="17"/>
  <c r="SLS77" i="17"/>
  <c r="SLR77" i="17"/>
  <c r="SLQ77" i="17"/>
  <c r="SLP77" i="17"/>
  <c r="SLO77" i="17"/>
  <c r="SLN77" i="17"/>
  <c r="SLM77" i="17"/>
  <c r="SLL77" i="17"/>
  <c r="SLK77" i="17"/>
  <c r="SLJ77" i="17"/>
  <c r="SLI77" i="17"/>
  <c r="SLH77" i="17"/>
  <c r="SLG77" i="17"/>
  <c r="SLF77" i="17"/>
  <c r="SLE77" i="17"/>
  <c r="SLD77" i="17"/>
  <c r="SLC77" i="17"/>
  <c r="SLB77" i="17"/>
  <c r="SLA77" i="17"/>
  <c r="SKZ77" i="17"/>
  <c r="SKY77" i="17"/>
  <c r="SKX77" i="17"/>
  <c r="SKW77" i="17"/>
  <c r="SKV77" i="17"/>
  <c r="SKU77" i="17"/>
  <c r="SKT77" i="17"/>
  <c r="SKS77" i="17"/>
  <c r="SKR77" i="17"/>
  <c r="SKQ77" i="17"/>
  <c r="SKP77" i="17"/>
  <c r="SKO77" i="17"/>
  <c r="SKN77" i="17"/>
  <c r="SKM77" i="17"/>
  <c r="SKL77" i="17"/>
  <c r="SKK77" i="17"/>
  <c r="SKJ77" i="17"/>
  <c r="SKI77" i="17"/>
  <c r="SKH77" i="17"/>
  <c r="SKG77" i="17"/>
  <c r="SKF77" i="17"/>
  <c r="SKE77" i="17"/>
  <c r="SKD77" i="17"/>
  <c r="SKC77" i="17"/>
  <c r="SKB77" i="17"/>
  <c r="SKA77" i="17"/>
  <c r="SJZ77" i="17"/>
  <c r="SJY77" i="17"/>
  <c r="SJX77" i="17"/>
  <c r="SJW77" i="17"/>
  <c r="SJV77" i="17"/>
  <c r="SJU77" i="17"/>
  <c r="SJT77" i="17"/>
  <c r="SJS77" i="17"/>
  <c r="SJR77" i="17"/>
  <c r="SJQ77" i="17"/>
  <c r="SJP77" i="17"/>
  <c r="SJO77" i="17"/>
  <c r="SJN77" i="17"/>
  <c r="SJM77" i="17"/>
  <c r="SJL77" i="17"/>
  <c r="SJK77" i="17"/>
  <c r="SJJ77" i="17"/>
  <c r="SJI77" i="17"/>
  <c r="SJH77" i="17"/>
  <c r="SJG77" i="17"/>
  <c r="SJF77" i="17"/>
  <c r="SJE77" i="17"/>
  <c r="SJD77" i="17"/>
  <c r="SJC77" i="17"/>
  <c r="SJB77" i="17"/>
  <c r="SJA77" i="17"/>
  <c r="SIZ77" i="17"/>
  <c r="SIY77" i="17"/>
  <c r="SIX77" i="17"/>
  <c r="SIW77" i="17"/>
  <c r="SIV77" i="17"/>
  <c r="SIU77" i="17"/>
  <c r="SIT77" i="17"/>
  <c r="SIS77" i="17"/>
  <c r="SIR77" i="17"/>
  <c r="SIQ77" i="17"/>
  <c r="SIP77" i="17"/>
  <c r="SIO77" i="17"/>
  <c r="SIN77" i="17"/>
  <c r="SIM77" i="17"/>
  <c r="SIL77" i="17"/>
  <c r="SIK77" i="17"/>
  <c r="SIJ77" i="17"/>
  <c r="SII77" i="17"/>
  <c r="SIH77" i="17"/>
  <c r="SIG77" i="17"/>
  <c r="SIF77" i="17"/>
  <c r="SIE77" i="17"/>
  <c r="SID77" i="17"/>
  <c r="SIC77" i="17"/>
  <c r="SIB77" i="17"/>
  <c r="SIA77" i="17"/>
  <c r="SHZ77" i="17"/>
  <c r="SHY77" i="17"/>
  <c r="SHX77" i="17"/>
  <c r="SHW77" i="17"/>
  <c r="SHV77" i="17"/>
  <c r="SHU77" i="17"/>
  <c r="SHT77" i="17"/>
  <c r="SHS77" i="17"/>
  <c r="SHR77" i="17"/>
  <c r="SHQ77" i="17"/>
  <c r="SHP77" i="17"/>
  <c r="SHO77" i="17"/>
  <c r="SHN77" i="17"/>
  <c r="SHM77" i="17"/>
  <c r="SHL77" i="17"/>
  <c r="SHK77" i="17"/>
  <c r="SHJ77" i="17"/>
  <c r="SHI77" i="17"/>
  <c r="SHH77" i="17"/>
  <c r="SHG77" i="17"/>
  <c r="SHF77" i="17"/>
  <c r="SHE77" i="17"/>
  <c r="SHD77" i="17"/>
  <c r="SHC77" i="17"/>
  <c r="SHB77" i="17"/>
  <c r="SHA77" i="17"/>
  <c r="SGZ77" i="17"/>
  <c r="SGY77" i="17"/>
  <c r="SGX77" i="17"/>
  <c r="SGW77" i="17"/>
  <c r="SGV77" i="17"/>
  <c r="SGU77" i="17"/>
  <c r="SGT77" i="17"/>
  <c r="SGS77" i="17"/>
  <c r="SGR77" i="17"/>
  <c r="SGQ77" i="17"/>
  <c r="SGP77" i="17"/>
  <c r="SGO77" i="17"/>
  <c r="SGN77" i="17"/>
  <c r="SGM77" i="17"/>
  <c r="SGL77" i="17"/>
  <c r="SGK77" i="17"/>
  <c r="SGJ77" i="17"/>
  <c r="SGI77" i="17"/>
  <c r="SGH77" i="17"/>
  <c r="SGG77" i="17"/>
  <c r="SGF77" i="17"/>
  <c r="SGE77" i="17"/>
  <c r="SGD77" i="17"/>
  <c r="SGC77" i="17"/>
  <c r="SGB77" i="17"/>
  <c r="SGA77" i="17"/>
  <c r="SFZ77" i="17"/>
  <c r="SFY77" i="17"/>
  <c r="SFX77" i="17"/>
  <c r="SFW77" i="17"/>
  <c r="SFV77" i="17"/>
  <c r="SFU77" i="17"/>
  <c r="SFT77" i="17"/>
  <c r="SFS77" i="17"/>
  <c r="SFR77" i="17"/>
  <c r="SFQ77" i="17"/>
  <c r="SFP77" i="17"/>
  <c r="SFO77" i="17"/>
  <c r="SFN77" i="17"/>
  <c r="SFM77" i="17"/>
  <c r="SFL77" i="17"/>
  <c r="SFK77" i="17"/>
  <c r="SFJ77" i="17"/>
  <c r="SFI77" i="17"/>
  <c r="SFH77" i="17"/>
  <c r="SFG77" i="17"/>
  <c r="SFF77" i="17"/>
  <c r="SFE77" i="17"/>
  <c r="SFD77" i="17"/>
  <c r="SFC77" i="17"/>
  <c r="SFB77" i="17"/>
  <c r="SFA77" i="17"/>
  <c r="SEZ77" i="17"/>
  <c r="SEY77" i="17"/>
  <c r="SEX77" i="17"/>
  <c r="SEW77" i="17"/>
  <c r="SEV77" i="17"/>
  <c r="SEU77" i="17"/>
  <c r="SET77" i="17"/>
  <c r="SES77" i="17"/>
  <c r="SER77" i="17"/>
  <c r="SEQ77" i="17"/>
  <c r="SEP77" i="17"/>
  <c r="SEO77" i="17"/>
  <c r="SEN77" i="17"/>
  <c r="SEM77" i="17"/>
  <c r="SEL77" i="17"/>
  <c r="SEK77" i="17"/>
  <c r="SEJ77" i="17"/>
  <c r="SEI77" i="17"/>
  <c r="SEH77" i="17"/>
  <c r="SEG77" i="17"/>
  <c r="SEF77" i="17"/>
  <c r="SEE77" i="17"/>
  <c r="SED77" i="17"/>
  <c r="SEC77" i="17"/>
  <c r="SEB77" i="17"/>
  <c r="SEA77" i="17"/>
  <c r="SDZ77" i="17"/>
  <c r="SDY77" i="17"/>
  <c r="SDX77" i="17"/>
  <c r="SDW77" i="17"/>
  <c r="SDV77" i="17"/>
  <c r="SDU77" i="17"/>
  <c r="SDT77" i="17"/>
  <c r="SDS77" i="17"/>
  <c r="SDR77" i="17"/>
  <c r="SDQ77" i="17"/>
  <c r="SDP77" i="17"/>
  <c r="SDO77" i="17"/>
  <c r="SDN77" i="17"/>
  <c r="SDM77" i="17"/>
  <c r="SDL77" i="17"/>
  <c r="SDK77" i="17"/>
  <c r="SDJ77" i="17"/>
  <c r="SDI77" i="17"/>
  <c r="SDH77" i="17"/>
  <c r="SDG77" i="17"/>
  <c r="SDF77" i="17"/>
  <c r="SDE77" i="17"/>
  <c r="SDD77" i="17"/>
  <c r="SDC77" i="17"/>
  <c r="SDB77" i="17"/>
  <c r="SDA77" i="17"/>
  <c r="SCZ77" i="17"/>
  <c r="SCY77" i="17"/>
  <c r="SCX77" i="17"/>
  <c r="SCW77" i="17"/>
  <c r="SCV77" i="17"/>
  <c r="SCU77" i="17"/>
  <c r="SCT77" i="17"/>
  <c r="SCS77" i="17"/>
  <c r="SCR77" i="17"/>
  <c r="SCQ77" i="17"/>
  <c r="SCP77" i="17"/>
  <c r="SCO77" i="17"/>
  <c r="SCN77" i="17"/>
  <c r="SCM77" i="17"/>
  <c r="SCL77" i="17"/>
  <c r="SCK77" i="17"/>
  <c r="SCJ77" i="17"/>
  <c r="SCI77" i="17"/>
  <c r="SCH77" i="17"/>
  <c r="SCG77" i="17"/>
  <c r="SCF77" i="17"/>
  <c r="SCE77" i="17"/>
  <c r="SCD77" i="17"/>
  <c r="SCC77" i="17"/>
  <c r="SCB77" i="17"/>
  <c r="SCA77" i="17"/>
  <c r="SBZ77" i="17"/>
  <c r="SBY77" i="17"/>
  <c r="SBX77" i="17"/>
  <c r="SBW77" i="17"/>
  <c r="SBV77" i="17"/>
  <c r="SBU77" i="17"/>
  <c r="SBT77" i="17"/>
  <c r="SBS77" i="17"/>
  <c r="SBR77" i="17"/>
  <c r="SBQ77" i="17"/>
  <c r="SBP77" i="17"/>
  <c r="SBO77" i="17"/>
  <c r="SBN77" i="17"/>
  <c r="SBM77" i="17"/>
  <c r="SBL77" i="17"/>
  <c r="SBK77" i="17"/>
  <c r="SBJ77" i="17"/>
  <c r="SBI77" i="17"/>
  <c r="SBH77" i="17"/>
  <c r="SBG77" i="17"/>
  <c r="SBF77" i="17"/>
  <c r="SBE77" i="17"/>
  <c r="SBD77" i="17"/>
  <c r="SBC77" i="17"/>
  <c r="SBB77" i="17"/>
  <c r="SBA77" i="17"/>
  <c r="SAZ77" i="17"/>
  <c r="SAY77" i="17"/>
  <c r="SAX77" i="17"/>
  <c r="SAW77" i="17"/>
  <c r="SAV77" i="17"/>
  <c r="SAU77" i="17"/>
  <c r="SAT77" i="17"/>
  <c r="SAS77" i="17"/>
  <c r="SAR77" i="17"/>
  <c r="SAQ77" i="17"/>
  <c r="SAP77" i="17"/>
  <c r="SAO77" i="17"/>
  <c r="SAN77" i="17"/>
  <c r="SAM77" i="17"/>
  <c r="SAL77" i="17"/>
  <c r="SAK77" i="17"/>
  <c r="SAJ77" i="17"/>
  <c r="SAI77" i="17"/>
  <c r="SAH77" i="17"/>
  <c r="SAG77" i="17"/>
  <c r="SAF77" i="17"/>
  <c r="SAE77" i="17"/>
  <c r="SAD77" i="17"/>
  <c r="SAC77" i="17"/>
  <c r="SAB77" i="17"/>
  <c r="SAA77" i="17"/>
  <c r="RZZ77" i="17"/>
  <c r="RZY77" i="17"/>
  <c r="RZX77" i="17"/>
  <c r="RZW77" i="17"/>
  <c r="RZV77" i="17"/>
  <c r="RZU77" i="17"/>
  <c r="RZT77" i="17"/>
  <c r="RZS77" i="17"/>
  <c r="RZR77" i="17"/>
  <c r="RZQ77" i="17"/>
  <c r="RZP77" i="17"/>
  <c r="RZO77" i="17"/>
  <c r="RZN77" i="17"/>
  <c r="RZM77" i="17"/>
  <c r="RZL77" i="17"/>
  <c r="RZK77" i="17"/>
  <c r="RZJ77" i="17"/>
  <c r="RZI77" i="17"/>
  <c r="RZH77" i="17"/>
  <c r="RZG77" i="17"/>
  <c r="RZF77" i="17"/>
  <c r="RZE77" i="17"/>
  <c r="RZD77" i="17"/>
  <c r="RZC77" i="17"/>
  <c r="RZB77" i="17"/>
  <c r="RZA77" i="17"/>
  <c r="RYZ77" i="17"/>
  <c r="RYY77" i="17"/>
  <c r="RYX77" i="17"/>
  <c r="RYW77" i="17"/>
  <c r="RYV77" i="17"/>
  <c r="RYU77" i="17"/>
  <c r="RYT77" i="17"/>
  <c r="RYS77" i="17"/>
  <c r="RYR77" i="17"/>
  <c r="RYQ77" i="17"/>
  <c r="RYP77" i="17"/>
  <c r="RYO77" i="17"/>
  <c r="RYN77" i="17"/>
  <c r="RYM77" i="17"/>
  <c r="RYL77" i="17"/>
  <c r="RYK77" i="17"/>
  <c r="RYJ77" i="17"/>
  <c r="RYI77" i="17"/>
  <c r="RYH77" i="17"/>
  <c r="RYG77" i="17"/>
  <c r="RYF77" i="17"/>
  <c r="RYE77" i="17"/>
  <c r="RYD77" i="17"/>
  <c r="RYC77" i="17"/>
  <c r="RYB77" i="17"/>
  <c r="RYA77" i="17"/>
  <c r="RXZ77" i="17"/>
  <c r="RXY77" i="17"/>
  <c r="RXX77" i="17"/>
  <c r="RXW77" i="17"/>
  <c r="RXV77" i="17"/>
  <c r="RXU77" i="17"/>
  <c r="RXT77" i="17"/>
  <c r="RXS77" i="17"/>
  <c r="RXR77" i="17"/>
  <c r="RXQ77" i="17"/>
  <c r="RXP77" i="17"/>
  <c r="RXO77" i="17"/>
  <c r="RXN77" i="17"/>
  <c r="RXM77" i="17"/>
  <c r="RXL77" i="17"/>
  <c r="RXK77" i="17"/>
  <c r="RXJ77" i="17"/>
  <c r="RXI77" i="17"/>
  <c r="RXH77" i="17"/>
  <c r="RXG77" i="17"/>
  <c r="RXF77" i="17"/>
  <c r="RXE77" i="17"/>
  <c r="RXD77" i="17"/>
  <c r="RXC77" i="17"/>
  <c r="RXB77" i="17"/>
  <c r="RXA77" i="17"/>
  <c r="RWZ77" i="17"/>
  <c r="RWY77" i="17"/>
  <c r="RWX77" i="17"/>
  <c r="RWW77" i="17"/>
  <c r="RWV77" i="17"/>
  <c r="RWU77" i="17"/>
  <c r="RWT77" i="17"/>
  <c r="RWS77" i="17"/>
  <c r="RWR77" i="17"/>
  <c r="RWQ77" i="17"/>
  <c r="RWP77" i="17"/>
  <c r="RWO77" i="17"/>
  <c r="RWN77" i="17"/>
  <c r="RWM77" i="17"/>
  <c r="RWL77" i="17"/>
  <c r="RWK77" i="17"/>
  <c r="RWJ77" i="17"/>
  <c r="RWI77" i="17"/>
  <c r="RWH77" i="17"/>
  <c r="RWG77" i="17"/>
  <c r="RWF77" i="17"/>
  <c r="RWE77" i="17"/>
  <c r="RWD77" i="17"/>
  <c r="RWC77" i="17"/>
  <c r="RWB77" i="17"/>
  <c r="RWA77" i="17"/>
  <c r="RVZ77" i="17"/>
  <c r="RVY77" i="17"/>
  <c r="RVX77" i="17"/>
  <c r="RVW77" i="17"/>
  <c r="RVV77" i="17"/>
  <c r="RVU77" i="17"/>
  <c r="RVT77" i="17"/>
  <c r="RVS77" i="17"/>
  <c r="RVR77" i="17"/>
  <c r="RVQ77" i="17"/>
  <c r="RVP77" i="17"/>
  <c r="RVO77" i="17"/>
  <c r="RVN77" i="17"/>
  <c r="RVM77" i="17"/>
  <c r="RVL77" i="17"/>
  <c r="RVK77" i="17"/>
  <c r="RVJ77" i="17"/>
  <c r="RVI77" i="17"/>
  <c r="RVH77" i="17"/>
  <c r="RVG77" i="17"/>
  <c r="RVF77" i="17"/>
  <c r="RVE77" i="17"/>
  <c r="RVD77" i="17"/>
  <c r="RVC77" i="17"/>
  <c r="RVB77" i="17"/>
  <c r="RVA77" i="17"/>
  <c r="RUZ77" i="17"/>
  <c r="RUY77" i="17"/>
  <c r="RUX77" i="17"/>
  <c r="RUW77" i="17"/>
  <c r="RUV77" i="17"/>
  <c r="RUU77" i="17"/>
  <c r="RUT77" i="17"/>
  <c r="RUS77" i="17"/>
  <c r="RUR77" i="17"/>
  <c r="RUQ77" i="17"/>
  <c r="RUP77" i="17"/>
  <c r="RUO77" i="17"/>
  <c r="RUN77" i="17"/>
  <c r="RUM77" i="17"/>
  <c r="RUL77" i="17"/>
  <c r="RUK77" i="17"/>
  <c r="RUJ77" i="17"/>
  <c r="RUI77" i="17"/>
  <c r="RUH77" i="17"/>
  <c r="RUG77" i="17"/>
  <c r="RUF77" i="17"/>
  <c r="RUE77" i="17"/>
  <c r="RUD77" i="17"/>
  <c r="RUC77" i="17"/>
  <c r="RUB77" i="17"/>
  <c r="RUA77" i="17"/>
  <c r="RTZ77" i="17"/>
  <c r="RTY77" i="17"/>
  <c r="RTX77" i="17"/>
  <c r="RTW77" i="17"/>
  <c r="RTV77" i="17"/>
  <c r="RTU77" i="17"/>
  <c r="RTT77" i="17"/>
  <c r="RTS77" i="17"/>
  <c r="RTR77" i="17"/>
  <c r="RTQ77" i="17"/>
  <c r="RTP77" i="17"/>
  <c r="RTO77" i="17"/>
  <c r="RTN77" i="17"/>
  <c r="RTM77" i="17"/>
  <c r="RTL77" i="17"/>
  <c r="RTK77" i="17"/>
  <c r="RTJ77" i="17"/>
  <c r="RTI77" i="17"/>
  <c r="RTH77" i="17"/>
  <c r="RTG77" i="17"/>
  <c r="RTF77" i="17"/>
  <c r="RTE77" i="17"/>
  <c r="RTD77" i="17"/>
  <c r="RTC77" i="17"/>
  <c r="RTB77" i="17"/>
  <c r="RTA77" i="17"/>
  <c r="RSZ77" i="17"/>
  <c r="RSY77" i="17"/>
  <c r="RSX77" i="17"/>
  <c r="RSW77" i="17"/>
  <c r="RSV77" i="17"/>
  <c r="RSU77" i="17"/>
  <c r="RST77" i="17"/>
  <c r="RSS77" i="17"/>
  <c r="RSR77" i="17"/>
  <c r="RSQ77" i="17"/>
  <c r="RSP77" i="17"/>
  <c r="RSO77" i="17"/>
  <c r="RSN77" i="17"/>
  <c r="RSM77" i="17"/>
  <c r="RSL77" i="17"/>
  <c r="RSK77" i="17"/>
  <c r="RSJ77" i="17"/>
  <c r="RSI77" i="17"/>
  <c r="RSH77" i="17"/>
  <c r="RSG77" i="17"/>
  <c r="RSF77" i="17"/>
  <c r="RSE77" i="17"/>
  <c r="RSD77" i="17"/>
  <c r="RSC77" i="17"/>
  <c r="RSB77" i="17"/>
  <c r="RSA77" i="17"/>
  <c r="RRZ77" i="17"/>
  <c r="RRY77" i="17"/>
  <c r="RRX77" i="17"/>
  <c r="RRW77" i="17"/>
  <c r="RRV77" i="17"/>
  <c r="RRU77" i="17"/>
  <c r="RRT77" i="17"/>
  <c r="RRS77" i="17"/>
  <c r="RRR77" i="17"/>
  <c r="RRQ77" i="17"/>
  <c r="RRP77" i="17"/>
  <c r="RRO77" i="17"/>
  <c r="RRN77" i="17"/>
  <c r="RRM77" i="17"/>
  <c r="RRL77" i="17"/>
  <c r="RRK77" i="17"/>
  <c r="RRJ77" i="17"/>
  <c r="RRI77" i="17"/>
  <c r="RRH77" i="17"/>
  <c r="RRG77" i="17"/>
  <c r="RRF77" i="17"/>
  <c r="RRE77" i="17"/>
  <c r="RRD77" i="17"/>
  <c r="RRC77" i="17"/>
  <c r="RRB77" i="17"/>
  <c r="RRA77" i="17"/>
  <c r="RQZ77" i="17"/>
  <c r="RQY77" i="17"/>
  <c r="RQX77" i="17"/>
  <c r="RQW77" i="17"/>
  <c r="RQV77" i="17"/>
  <c r="RQU77" i="17"/>
  <c r="RQT77" i="17"/>
  <c r="RQS77" i="17"/>
  <c r="RQR77" i="17"/>
  <c r="RQQ77" i="17"/>
  <c r="RQP77" i="17"/>
  <c r="RQO77" i="17"/>
  <c r="RQN77" i="17"/>
  <c r="RQM77" i="17"/>
  <c r="RQL77" i="17"/>
  <c r="RQK77" i="17"/>
  <c r="RQJ77" i="17"/>
  <c r="RQI77" i="17"/>
  <c r="RQH77" i="17"/>
  <c r="RQG77" i="17"/>
  <c r="RQF77" i="17"/>
  <c r="RQE77" i="17"/>
  <c r="RQD77" i="17"/>
  <c r="RQC77" i="17"/>
  <c r="RQB77" i="17"/>
  <c r="RQA77" i="17"/>
  <c r="RPZ77" i="17"/>
  <c r="RPY77" i="17"/>
  <c r="RPX77" i="17"/>
  <c r="RPW77" i="17"/>
  <c r="RPV77" i="17"/>
  <c r="RPU77" i="17"/>
  <c r="RPT77" i="17"/>
  <c r="RPS77" i="17"/>
  <c r="RPR77" i="17"/>
  <c r="RPQ77" i="17"/>
  <c r="RPP77" i="17"/>
  <c r="RPO77" i="17"/>
  <c r="RPN77" i="17"/>
  <c r="RPM77" i="17"/>
  <c r="RPL77" i="17"/>
  <c r="RPK77" i="17"/>
  <c r="RPJ77" i="17"/>
  <c r="RPI77" i="17"/>
  <c r="RPH77" i="17"/>
  <c r="RPG77" i="17"/>
  <c r="RPF77" i="17"/>
  <c r="RPE77" i="17"/>
  <c r="RPD77" i="17"/>
  <c r="RPC77" i="17"/>
  <c r="RPB77" i="17"/>
  <c r="RPA77" i="17"/>
  <c r="ROZ77" i="17"/>
  <c r="ROY77" i="17"/>
  <c r="ROX77" i="17"/>
  <c r="ROW77" i="17"/>
  <c r="ROV77" i="17"/>
  <c r="ROU77" i="17"/>
  <c r="ROT77" i="17"/>
  <c r="ROS77" i="17"/>
  <c r="ROR77" i="17"/>
  <c r="ROQ77" i="17"/>
  <c r="ROP77" i="17"/>
  <c r="ROO77" i="17"/>
  <c r="RON77" i="17"/>
  <c r="ROM77" i="17"/>
  <c r="ROL77" i="17"/>
  <c r="ROK77" i="17"/>
  <c r="ROJ77" i="17"/>
  <c r="ROI77" i="17"/>
  <c r="ROH77" i="17"/>
  <c r="ROG77" i="17"/>
  <c r="ROF77" i="17"/>
  <c r="ROE77" i="17"/>
  <c r="ROD77" i="17"/>
  <c r="ROC77" i="17"/>
  <c r="ROB77" i="17"/>
  <c r="ROA77" i="17"/>
  <c r="RNZ77" i="17"/>
  <c r="RNY77" i="17"/>
  <c r="RNX77" i="17"/>
  <c r="RNW77" i="17"/>
  <c r="RNV77" i="17"/>
  <c r="RNU77" i="17"/>
  <c r="RNT77" i="17"/>
  <c r="RNS77" i="17"/>
  <c r="RNR77" i="17"/>
  <c r="RNQ77" i="17"/>
  <c r="RNP77" i="17"/>
  <c r="RNO77" i="17"/>
  <c r="RNN77" i="17"/>
  <c r="RNM77" i="17"/>
  <c r="RNL77" i="17"/>
  <c r="RNK77" i="17"/>
  <c r="RNJ77" i="17"/>
  <c r="RNI77" i="17"/>
  <c r="RNH77" i="17"/>
  <c r="RNG77" i="17"/>
  <c r="RNF77" i="17"/>
  <c r="RNE77" i="17"/>
  <c r="RND77" i="17"/>
  <c r="RNC77" i="17"/>
  <c r="RNB77" i="17"/>
  <c r="RNA77" i="17"/>
  <c r="RMZ77" i="17"/>
  <c r="RMY77" i="17"/>
  <c r="RMX77" i="17"/>
  <c r="RMW77" i="17"/>
  <c r="RMV77" i="17"/>
  <c r="RMU77" i="17"/>
  <c r="RMT77" i="17"/>
  <c r="RMS77" i="17"/>
  <c r="RMR77" i="17"/>
  <c r="RMQ77" i="17"/>
  <c r="RMP77" i="17"/>
  <c r="RMO77" i="17"/>
  <c r="RMN77" i="17"/>
  <c r="RMM77" i="17"/>
  <c r="RML77" i="17"/>
  <c r="RMK77" i="17"/>
  <c r="RMJ77" i="17"/>
  <c r="RMI77" i="17"/>
  <c r="RMH77" i="17"/>
  <c r="RMG77" i="17"/>
  <c r="RMF77" i="17"/>
  <c r="RME77" i="17"/>
  <c r="RMD77" i="17"/>
  <c r="RMC77" i="17"/>
  <c r="RMB77" i="17"/>
  <c r="RMA77" i="17"/>
  <c r="RLZ77" i="17"/>
  <c r="RLY77" i="17"/>
  <c r="RLX77" i="17"/>
  <c r="RLW77" i="17"/>
  <c r="RLV77" i="17"/>
  <c r="RLU77" i="17"/>
  <c r="RLT77" i="17"/>
  <c r="RLS77" i="17"/>
  <c r="RLR77" i="17"/>
  <c r="RLQ77" i="17"/>
  <c r="RLP77" i="17"/>
  <c r="RLO77" i="17"/>
  <c r="RLN77" i="17"/>
  <c r="RLM77" i="17"/>
  <c r="RLL77" i="17"/>
  <c r="RLK77" i="17"/>
  <c r="RLJ77" i="17"/>
  <c r="RLI77" i="17"/>
  <c r="RLH77" i="17"/>
  <c r="RLG77" i="17"/>
  <c r="RLF77" i="17"/>
  <c r="RLE77" i="17"/>
  <c r="RLD77" i="17"/>
  <c r="RLC77" i="17"/>
  <c r="RLB77" i="17"/>
  <c r="RLA77" i="17"/>
  <c r="RKZ77" i="17"/>
  <c r="RKY77" i="17"/>
  <c r="RKX77" i="17"/>
  <c r="RKW77" i="17"/>
  <c r="RKV77" i="17"/>
  <c r="RKU77" i="17"/>
  <c r="RKT77" i="17"/>
  <c r="RKS77" i="17"/>
  <c r="RKR77" i="17"/>
  <c r="RKQ77" i="17"/>
  <c r="RKP77" i="17"/>
  <c r="RKO77" i="17"/>
  <c r="RKN77" i="17"/>
  <c r="RKM77" i="17"/>
  <c r="RKL77" i="17"/>
  <c r="RKK77" i="17"/>
  <c r="RKJ77" i="17"/>
  <c r="RKI77" i="17"/>
  <c r="RKH77" i="17"/>
  <c r="RKG77" i="17"/>
  <c r="RKF77" i="17"/>
  <c r="RKE77" i="17"/>
  <c r="RKD77" i="17"/>
  <c r="RKC77" i="17"/>
  <c r="RKB77" i="17"/>
  <c r="RKA77" i="17"/>
  <c r="RJZ77" i="17"/>
  <c r="RJY77" i="17"/>
  <c r="RJX77" i="17"/>
  <c r="RJW77" i="17"/>
  <c r="RJV77" i="17"/>
  <c r="RJU77" i="17"/>
  <c r="RJT77" i="17"/>
  <c r="RJS77" i="17"/>
  <c r="RJR77" i="17"/>
  <c r="RJQ77" i="17"/>
  <c r="RJP77" i="17"/>
  <c r="RJO77" i="17"/>
  <c r="RJN77" i="17"/>
  <c r="RJM77" i="17"/>
  <c r="RJL77" i="17"/>
  <c r="RJK77" i="17"/>
  <c r="RJJ77" i="17"/>
  <c r="RJI77" i="17"/>
  <c r="RJH77" i="17"/>
  <c r="RJG77" i="17"/>
  <c r="RJF77" i="17"/>
  <c r="RJE77" i="17"/>
  <c r="RJD77" i="17"/>
  <c r="RJC77" i="17"/>
  <c r="RJB77" i="17"/>
  <c r="RJA77" i="17"/>
  <c r="RIZ77" i="17"/>
  <c r="RIY77" i="17"/>
  <c r="RIX77" i="17"/>
  <c r="RIW77" i="17"/>
  <c r="RIV77" i="17"/>
  <c r="RIU77" i="17"/>
  <c r="RIT77" i="17"/>
  <c r="RIS77" i="17"/>
  <c r="RIR77" i="17"/>
  <c r="RIQ77" i="17"/>
  <c r="RIP77" i="17"/>
  <c r="RIO77" i="17"/>
  <c r="RIN77" i="17"/>
  <c r="RIM77" i="17"/>
  <c r="RIL77" i="17"/>
  <c r="RIK77" i="17"/>
  <c r="RIJ77" i="17"/>
  <c r="RII77" i="17"/>
  <c r="RIH77" i="17"/>
  <c r="RIG77" i="17"/>
  <c r="RIF77" i="17"/>
  <c r="RIE77" i="17"/>
  <c r="RID77" i="17"/>
  <c r="RIC77" i="17"/>
  <c r="RIB77" i="17"/>
  <c r="RIA77" i="17"/>
  <c r="RHZ77" i="17"/>
  <c r="RHY77" i="17"/>
  <c r="RHX77" i="17"/>
  <c r="RHW77" i="17"/>
  <c r="RHV77" i="17"/>
  <c r="RHU77" i="17"/>
  <c r="RHT77" i="17"/>
  <c r="RHS77" i="17"/>
  <c r="RHR77" i="17"/>
  <c r="RHQ77" i="17"/>
  <c r="RHP77" i="17"/>
  <c r="RHO77" i="17"/>
  <c r="RHN77" i="17"/>
  <c r="RHM77" i="17"/>
  <c r="RHL77" i="17"/>
  <c r="RHK77" i="17"/>
  <c r="RHJ77" i="17"/>
  <c r="RHI77" i="17"/>
  <c r="RHH77" i="17"/>
  <c r="RHG77" i="17"/>
  <c r="RHF77" i="17"/>
  <c r="RHE77" i="17"/>
  <c r="RHD77" i="17"/>
  <c r="RHC77" i="17"/>
  <c r="RHB77" i="17"/>
  <c r="RHA77" i="17"/>
  <c r="RGZ77" i="17"/>
  <c r="RGY77" i="17"/>
  <c r="RGX77" i="17"/>
  <c r="RGW77" i="17"/>
  <c r="RGV77" i="17"/>
  <c r="RGU77" i="17"/>
  <c r="RGT77" i="17"/>
  <c r="RGS77" i="17"/>
  <c r="RGR77" i="17"/>
  <c r="RGQ77" i="17"/>
  <c r="RGP77" i="17"/>
  <c r="RGO77" i="17"/>
  <c r="RGN77" i="17"/>
  <c r="RGM77" i="17"/>
  <c r="RGL77" i="17"/>
  <c r="RGK77" i="17"/>
  <c r="RGJ77" i="17"/>
  <c r="RGI77" i="17"/>
  <c r="RGH77" i="17"/>
  <c r="RGG77" i="17"/>
  <c r="RGF77" i="17"/>
  <c r="RGE77" i="17"/>
  <c r="RGD77" i="17"/>
  <c r="RGC77" i="17"/>
  <c r="RGB77" i="17"/>
  <c r="RGA77" i="17"/>
  <c r="RFZ77" i="17"/>
  <c r="RFY77" i="17"/>
  <c r="RFX77" i="17"/>
  <c r="RFW77" i="17"/>
  <c r="RFV77" i="17"/>
  <c r="RFU77" i="17"/>
  <c r="RFT77" i="17"/>
  <c r="RFS77" i="17"/>
  <c r="RFR77" i="17"/>
  <c r="RFQ77" i="17"/>
  <c r="RFP77" i="17"/>
  <c r="RFO77" i="17"/>
  <c r="RFN77" i="17"/>
  <c r="RFM77" i="17"/>
  <c r="RFL77" i="17"/>
  <c r="RFK77" i="17"/>
  <c r="RFJ77" i="17"/>
  <c r="RFI77" i="17"/>
  <c r="RFH77" i="17"/>
  <c r="RFG77" i="17"/>
  <c r="RFF77" i="17"/>
  <c r="RFE77" i="17"/>
  <c r="RFD77" i="17"/>
  <c r="RFC77" i="17"/>
  <c r="RFB77" i="17"/>
  <c r="RFA77" i="17"/>
  <c r="REZ77" i="17"/>
  <c r="REY77" i="17"/>
  <c r="REX77" i="17"/>
  <c r="REW77" i="17"/>
  <c r="REV77" i="17"/>
  <c r="REU77" i="17"/>
  <c r="RET77" i="17"/>
  <c r="RES77" i="17"/>
  <c r="RER77" i="17"/>
  <c r="REQ77" i="17"/>
  <c r="REP77" i="17"/>
  <c r="REO77" i="17"/>
  <c r="REN77" i="17"/>
  <c r="REM77" i="17"/>
  <c r="REL77" i="17"/>
  <c r="REK77" i="17"/>
  <c r="REJ77" i="17"/>
  <c r="REI77" i="17"/>
  <c r="REH77" i="17"/>
  <c r="REG77" i="17"/>
  <c r="REF77" i="17"/>
  <c r="REE77" i="17"/>
  <c r="RED77" i="17"/>
  <c r="REC77" i="17"/>
  <c r="REB77" i="17"/>
  <c r="REA77" i="17"/>
  <c r="RDZ77" i="17"/>
  <c r="RDY77" i="17"/>
  <c r="RDX77" i="17"/>
  <c r="RDW77" i="17"/>
  <c r="RDV77" i="17"/>
  <c r="RDU77" i="17"/>
  <c r="RDT77" i="17"/>
  <c r="RDS77" i="17"/>
  <c r="RDR77" i="17"/>
  <c r="RDQ77" i="17"/>
  <c r="RDP77" i="17"/>
  <c r="RDO77" i="17"/>
  <c r="RDN77" i="17"/>
  <c r="RDM77" i="17"/>
  <c r="RDL77" i="17"/>
  <c r="RDK77" i="17"/>
  <c r="RDJ77" i="17"/>
  <c r="RDI77" i="17"/>
  <c r="RDH77" i="17"/>
  <c r="RDG77" i="17"/>
  <c r="RDF77" i="17"/>
  <c r="RDE77" i="17"/>
  <c r="RDD77" i="17"/>
  <c r="RDC77" i="17"/>
  <c r="RDB77" i="17"/>
  <c r="RDA77" i="17"/>
  <c r="RCZ77" i="17"/>
  <c r="RCY77" i="17"/>
  <c r="RCX77" i="17"/>
  <c r="RCW77" i="17"/>
  <c r="RCV77" i="17"/>
  <c r="RCU77" i="17"/>
  <c r="RCT77" i="17"/>
  <c r="RCS77" i="17"/>
  <c r="RCR77" i="17"/>
  <c r="RCQ77" i="17"/>
  <c r="RCP77" i="17"/>
  <c r="RCO77" i="17"/>
  <c r="RCN77" i="17"/>
  <c r="RCM77" i="17"/>
  <c r="RCL77" i="17"/>
  <c r="RCK77" i="17"/>
  <c r="RCJ77" i="17"/>
  <c r="RCI77" i="17"/>
  <c r="RCH77" i="17"/>
  <c r="RCG77" i="17"/>
  <c r="RCF77" i="17"/>
  <c r="RCE77" i="17"/>
  <c r="RCD77" i="17"/>
  <c r="RCC77" i="17"/>
  <c r="RCB77" i="17"/>
  <c r="RCA77" i="17"/>
  <c r="RBZ77" i="17"/>
  <c r="RBY77" i="17"/>
  <c r="RBX77" i="17"/>
  <c r="RBW77" i="17"/>
  <c r="RBV77" i="17"/>
  <c r="RBU77" i="17"/>
  <c r="RBT77" i="17"/>
  <c r="RBS77" i="17"/>
  <c r="RBR77" i="17"/>
  <c r="RBQ77" i="17"/>
  <c r="RBP77" i="17"/>
  <c r="RBO77" i="17"/>
  <c r="RBN77" i="17"/>
  <c r="RBM77" i="17"/>
  <c r="RBL77" i="17"/>
  <c r="RBK77" i="17"/>
  <c r="RBJ77" i="17"/>
  <c r="RBI77" i="17"/>
  <c r="RBH77" i="17"/>
  <c r="RBG77" i="17"/>
  <c r="RBF77" i="17"/>
  <c r="RBE77" i="17"/>
  <c r="RBD77" i="17"/>
  <c r="RBC77" i="17"/>
  <c r="RBB77" i="17"/>
  <c r="RBA77" i="17"/>
  <c r="RAZ77" i="17"/>
  <c r="RAY77" i="17"/>
  <c r="RAX77" i="17"/>
  <c r="RAW77" i="17"/>
  <c r="RAV77" i="17"/>
  <c r="RAU77" i="17"/>
  <c r="RAT77" i="17"/>
  <c r="RAS77" i="17"/>
  <c r="RAR77" i="17"/>
  <c r="RAQ77" i="17"/>
  <c r="RAP77" i="17"/>
  <c r="RAO77" i="17"/>
  <c r="RAN77" i="17"/>
  <c r="RAM77" i="17"/>
  <c r="RAL77" i="17"/>
  <c r="RAK77" i="17"/>
  <c r="RAJ77" i="17"/>
  <c r="RAI77" i="17"/>
  <c r="RAH77" i="17"/>
  <c r="RAG77" i="17"/>
  <c r="RAF77" i="17"/>
  <c r="RAE77" i="17"/>
  <c r="RAD77" i="17"/>
  <c r="RAC77" i="17"/>
  <c r="RAB77" i="17"/>
  <c r="RAA77" i="17"/>
  <c r="QZZ77" i="17"/>
  <c r="QZY77" i="17"/>
  <c r="QZX77" i="17"/>
  <c r="QZW77" i="17"/>
  <c r="QZV77" i="17"/>
  <c r="QZU77" i="17"/>
  <c r="QZT77" i="17"/>
  <c r="QZS77" i="17"/>
  <c r="QZR77" i="17"/>
  <c r="QZQ77" i="17"/>
  <c r="QZP77" i="17"/>
  <c r="QZO77" i="17"/>
  <c r="QZN77" i="17"/>
  <c r="QZM77" i="17"/>
  <c r="QZL77" i="17"/>
  <c r="QZK77" i="17"/>
  <c r="QZJ77" i="17"/>
  <c r="QZI77" i="17"/>
  <c r="QZH77" i="17"/>
  <c r="QZG77" i="17"/>
  <c r="QZF77" i="17"/>
  <c r="QZE77" i="17"/>
  <c r="QZD77" i="17"/>
  <c r="QZC77" i="17"/>
  <c r="QZB77" i="17"/>
  <c r="QZA77" i="17"/>
  <c r="QYZ77" i="17"/>
  <c r="QYY77" i="17"/>
  <c r="QYX77" i="17"/>
  <c r="QYW77" i="17"/>
  <c r="QYV77" i="17"/>
  <c r="QYU77" i="17"/>
  <c r="QYT77" i="17"/>
  <c r="QYS77" i="17"/>
  <c r="QYR77" i="17"/>
  <c r="QYQ77" i="17"/>
  <c r="QYP77" i="17"/>
  <c r="QYO77" i="17"/>
  <c r="QYN77" i="17"/>
  <c r="QYM77" i="17"/>
  <c r="QYL77" i="17"/>
  <c r="QYK77" i="17"/>
  <c r="QYJ77" i="17"/>
  <c r="QYI77" i="17"/>
  <c r="QYH77" i="17"/>
  <c r="QYG77" i="17"/>
  <c r="QYF77" i="17"/>
  <c r="QYE77" i="17"/>
  <c r="QYD77" i="17"/>
  <c r="QYC77" i="17"/>
  <c r="QYB77" i="17"/>
  <c r="QYA77" i="17"/>
  <c r="QXZ77" i="17"/>
  <c r="QXY77" i="17"/>
  <c r="QXX77" i="17"/>
  <c r="QXW77" i="17"/>
  <c r="QXV77" i="17"/>
  <c r="QXU77" i="17"/>
  <c r="QXT77" i="17"/>
  <c r="QXS77" i="17"/>
  <c r="QXR77" i="17"/>
  <c r="QXQ77" i="17"/>
  <c r="QXP77" i="17"/>
  <c r="QXO77" i="17"/>
  <c r="QXN77" i="17"/>
  <c r="QXM77" i="17"/>
  <c r="QXL77" i="17"/>
  <c r="QXK77" i="17"/>
  <c r="QXJ77" i="17"/>
  <c r="QXI77" i="17"/>
  <c r="QXH77" i="17"/>
  <c r="QXG77" i="17"/>
  <c r="QXF77" i="17"/>
  <c r="QXE77" i="17"/>
  <c r="QXD77" i="17"/>
  <c r="QXC77" i="17"/>
  <c r="QXB77" i="17"/>
  <c r="QXA77" i="17"/>
  <c r="QWZ77" i="17"/>
  <c r="QWY77" i="17"/>
  <c r="QWX77" i="17"/>
  <c r="QWW77" i="17"/>
  <c r="QWV77" i="17"/>
  <c r="QWU77" i="17"/>
  <c r="QWT77" i="17"/>
  <c r="QWS77" i="17"/>
  <c r="QWR77" i="17"/>
  <c r="QWQ77" i="17"/>
  <c r="QWP77" i="17"/>
  <c r="QWO77" i="17"/>
  <c r="QWN77" i="17"/>
  <c r="QWM77" i="17"/>
  <c r="QWL77" i="17"/>
  <c r="QWK77" i="17"/>
  <c r="QWJ77" i="17"/>
  <c r="QWI77" i="17"/>
  <c r="QWH77" i="17"/>
  <c r="QWG77" i="17"/>
  <c r="QWF77" i="17"/>
  <c r="QWE77" i="17"/>
  <c r="QWD77" i="17"/>
  <c r="QWC77" i="17"/>
  <c r="QWB77" i="17"/>
  <c r="QWA77" i="17"/>
  <c r="QVZ77" i="17"/>
  <c r="QVY77" i="17"/>
  <c r="QVX77" i="17"/>
  <c r="QVW77" i="17"/>
  <c r="QVV77" i="17"/>
  <c r="QVU77" i="17"/>
  <c r="QVT77" i="17"/>
  <c r="QVS77" i="17"/>
  <c r="QVR77" i="17"/>
  <c r="QVQ77" i="17"/>
  <c r="QVP77" i="17"/>
  <c r="QVO77" i="17"/>
  <c r="QVN77" i="17"/>
  <c r="QVM77" i="17"/>
  <c r="QVL77" i="17"/>
  <c r="QVK77" i="17"/>
  <c r="QVJ77" i="17"/>
  <c r="QVI77" i="17"/>
  <c r="QVH77" i="17"/>
  <c r="QVG77" i="17"/>
  <c r="QVF77" i="17"/>
  <c r="QVE77" i="17"/>
  <c r="QVD77" i="17"/>
  <c r="QVC77" i="17"/>
  <c r="QVB77" i="17"/>
  <c r="QVA77" i="17"/>
  <c r="QUZ77" i="17"/>
  <c r="QUY77" i="17"/>
  <c r="QUX77" i="17"/>
  <c r="QUW77" i="17"/>
  <c r="QUV77" i="17"/>
  <c r="QUU77" i="17"/>
  <c r="QUT77" i="17"/>
  <c r="QUS77" i="17"/>
  <c r="QUR77" i="17"/>
  <c r="QUQ77" i="17"/>
  <c r="QUP77" i="17"/>
  <c r="QUO77" i="17"/>
  <c r="QUN77" i="17"/>
  <c r="QUM77" i="17"/>
  <c r="QUL77" i="17"/>
  <c r="QUK77" i="17"/>
  <c r="QUJ77" i="17"/>
  <c r="QUI77" i="17"/>
  <c r="QUH77" i="17"/>
  <c r="QUG77" i="17"/>
  <c r="QUF77" i="17"/>
  <c r="QUE77" i="17"/>
  <c r="QUD77" i="17"/>
  <c r="QUC77" i="17"/>
  <c r="QUB77" i="17"/>
  <c r="QUA77" i="17"/>
  <c r="QTZ77" i="17"/>
  <c r="QTY77" i="17"/>
  <c r="QTX77" i="17"/>
  <c r="QTW77" i="17"/>
  <c r="QTV77" i="17"/>
  <c r="QTU77" i="17"/>
  <c r="QTT77" i="17"/>
  <c r="QTS77" i="17"/>
  <c r="QTR77" i="17"/>
  <c r="QTQ77" i="17"/>
  <c r="QTP77" i="17"/>
  <c r="QTO77" i="17"/>
  <c r="QTN77" i="17"/>
  <c r="QTM77" i="17"/>
  <c r="QTL77" i="17"/>
  <c r="QTK77" i="17"/>
  <c r="QTJ77" i="17"/>
  <c r="QTI77" i="17"/>
  <c r="QTH77" i="17"/>
  <c r="QTG77" i="17"/>
  <c r="QTF77" i="17"/>
  <c r="QTE77" i="17"/>
  <c r="QTD77" i="17"/>
  <c r="QTC77" i="17"/>
  <c r="QTB77" i="17"/>
  <c r="QTA77" i="17"/>
  <c r="QSZ77" i="17"/>
  <c r="QSY77" i="17"/>
  <c r="QSX77" i="17"/>
  <c r="QSW77" i="17"/>
  <c r="QSV77" i="17"/>
  <c r="QSU77" i="17"/>
  <c r="QST77" i="17"/>
  <c r="QSS77" i="17"/>
  <c r="QSR77" i="17"/>
  <c r="QSQ77" i="17"/>
  <c r="QSP77" i="17"/>
  <c r="QSO77" i="17"/>
  <c r="QSN77" i="17"/>
  <c r="QSM77" i="17"/>
  <c r="QSL77" i="17"/>
  <c r="QSK77" i="17"/>
  <c r="QSJ77" i="17"/>
  <c r="QSI77" i="17"/>
  <c r="QSH77" i="17"/>
  <c r="QSG77" i="17"/>
  <c r="QSF77" i="17"/>
  <c r="QSE77" i="17"/>
  <c r="QSD77" i="17"/>
  <c r="QSC77" i="17"/>
  <c r="QSB77" i="17"/>
  <c r="QSA77" i="17"/>
  <c r="QRZ77" i="17"/>
  <c r="QRY77" i="17"/>
  <c r="QRX77" i="17"/>
  <c r="QRW77" i="17"/>
  <c r="QRV77" i="17"/>
  <c r="QRU77" i="17"/>
  <c r="QRT77" i="17"/>
  <c r="QRS77" i="17"/>
  <c r="QRR77" i="17"/>
  <c r="QRQ77" i="17"/>
  <c r="QRP77" i="17"/>
  <c r="QRO77" i="17"/>
  <c r="QRN77" i="17"/>
  <c r="QRM77" i="17"/>
  <c r="QRL77" i="17"/>
  <c r="QRK77" i="17"/>
  <c r="QRJ77" i="17"/>
  <c r="QRI77" i="17"/>
  <c r="QRH77" i="17"/>
  <c r="QRG77" i="17"/>
  <c r="QRF77" i="17"/>
  <c r="QRE77" i="17"/>
  <c r="QRD77" i="17"/>
  <c r="QRC77" i="17"/>
  <c r="QRB77" i="17"/>
  <c r="QRA77" i="17"/>
  <c r="QQZ77" i="17"/>
  <c r="QQY77" i="17"/>
  <c r="QQX77" i="17"/>
  <c r="QQW77" i="17"/>
  <c r="QQV77" i="17"/>
  <c r="QQU77" i="17"/>
  <c r="QQT77" i="17"/>
  <c r="QQS77" i="17"/>
  <c r="QQR77" i="17"/>
  <c r="QQQ77" i="17"/>
  <c r="QQP77" i="17"/>
  <c r="QQO77" i="17"/>
  <c r="QQN77" i="17"/>
  <c r="QQM77" i="17"/>
  <c r="QQL77" i="17"/>
  <c r="QQK77" i="17"/>
  <c r="QQJ77" i="17"/>
  <c r="QQI77" i="17"/>
  <c r="QQH77" i="17"/>
  <c r="QQG77" i="17"/>
  <c r="QQF77" i="17"/>
  <c r="QQE77" i="17"/>
  <c r="QQD77" i="17"/>
  <c r="QQC77" i="17"/>
  <c r="QQB77" i="17"/>
  <c r="QQA77" i="17"/>
  <c r="QPZ77" i="17"/>
  <c r="QPY77" i="17"/>
  <c r="QPX77" i="17"/>
  <c r="QPW77" i="17"/>
  <c r="QPV77" i="17"/>
  <c r="QPU77" i="17"/>
  <c r="QPT77" i="17"/>
  <c r="QPS77" i="17"/>
  <c r="QPR77" i="17"/>
  <c r="QPQ77" i="17"/>
  <c r="QPP77" i="17"/>
  <c r="QPO77" i="17"/>
  <c r="QPN77" i="17"/>
  <c r="QPM77" i="17"/>
  <c r="QPL77" i="17"/>
  <c r="QPK77" i="17"/>
  <c r="QPJ77" i="17"/>
  <c r="QPI77" i="17"/>
  <c r="QPH77" i="17"/>
  <c r="QPG77" i="17"/>
  <c r="QPF77" i="17"/>
  <c r="QPE77" i="17"/>
  <c r="QPD77" i="17"/>
  <c r="QPC77" i="17"/>
  <c r="QPB77" i="17"/>
  <c r="QPA77" i="17"/>
  <c r="QOZ77" i="17"/>
  <c r="QOY77" i="17"/>
  <c r="QOX77" i="17"/>
  <c r="QOW77" i="17"/>
  <c r="QOV77" i="17"/>
  <c r="QOU77" i="17"/>
  <c r="QOT77" i="17"/>
  <c r="QOS77" i="17"/>
  <c r="QOR77" i="17"/>
  <c r="QOQ77" i="17"/>
  <c r="QOP77" i="17"/>
  <c r="QOO77" i="17"/>
  <c r="QON77" i="17"/>
  <c r="QOM77" i="17"/>
  <c r="QOL77" i="17"/>
  <c r="QOK77" i="17"/>
  <c r="QOJ77" i="17"/>
  <c r="QOI77" i="17"/>
  <c r="QOH77" i="17"/>
  <c r="QOG77" i="17"/>
  <c r="QOF77" i="17"/>
  <c r="QOE77" i="17"/>
  <c r="QOD77" i="17"/>
  <c r="QOC77" i="17"/>
  <c r="QOB77" i="17"/>
  <c r="QOA77" i="17"/>
  <c r="QNZ77" i="17"/>
  <c r="QNY77" i="17"/>
  <c r="QNX77" i="17"/>
  <c r="QNW77" i="17"/>
  <c r="QNV77" i="17"/>
  <c r="QNU77" i="17"/>
  <c r="QNT77" i="17"/>
  <c r="QNS77" i="17"/>
  <c r="QNR77" i="17"/>
  <c r="QNQ77" i="17"/>
  <c r="QNP77" i="17"/>
  <c r="QNO77" i="17"/>
  <c r="QNN77" i="17"/>
  <c r="QNM77" i="17"/>
  <c r="QNL77" i="17"/>
  <c r="QNK77" i="17"/>
  <c r="QNJ77" i="17"/>
  <c r="QNI77" i="17"/>
  <c r="QNH77" i="17"/>
  <c r="QNG77" i="17"/>
  <c r="QNF77" i="17"/>
  <c r="QNE77" i="17"/>
  <c r="QND77" i="17"/>
  <c r="QNC77" i="17"/>
  <c r="QNB77" i="17"/>
  <c r="QNA77" i="17"/>
  <c r="QMZ77" i="17"/>
  <c r="QMY77" i="17"/>
  <c r="QMX77" i="17"/>
  <c r="QMW77" i="17"/>
  <c r="QMV77" i="17"/>
  <c r="QMU77" i="17"/>
  <c r="QMT77" i="17"/>
  <c r="QMS77" i="17"/>
  <c r="QMR77" i="17"/>
  <c r="QMQ77" i="17"/>
  <c r="QMP77" i="17"/>
  <c r="QMO77" i="17"/>
  <c r="QMN77" i="17"/>
  <c r="QMM77" i="17"/>
  <c r="QML77" i="17"/>
  <c r="QMK77" i="17"/>
  <c r="QMJ77" i="17"/>
  <c r="QMI77" i="17"/>
  <c r="QMH77" i="17"/>
  <c r="QMG77" i="17"/>
  <c r="QMF77" i="17"/>
  <c r="QME77" i="17"/>
  <c r="QMD77" i="17"/>
  <c r="QMC77" i="17"/>
  <c r="QMB77" i="17"/>
  <c r="QMA77" i="17"/>
  <c r="QLZ77" i="17"/>
  <c r="QLY77" i="17"/>
  <c r="QLX77" i="17"/>
  <c r="QLW77" i="17"/>
  <c r="QLV77" i="17"/>
  <c r="QLU77" i="17"/>
  <c r="QLT77" i="17"/>
  <c r="QLS77" i="17"/>
  <c r="QLR77" i="17"/>
  <c r="QLQ77" i="17"/>
  <c r="QLP77" i="17"/>
  <c r="QLO77" i="17"/>
  <c r="QLN77" i="17"/>
  <c r="QLM77" i="17"/>
  <c r="QLL77" i="17"/>
  <c r="QLK77" i="17"/>
  <c r="QLJ77" i="17"/>
  <c r="QLI77" i="17"/>
  <c r="QLH77" i="17"/>
  <c r="QLG77" i="17"/>
  <c r="QLF77" i="17"/>
  <c r="QLE77" i="17"/>
  <c r="QLD77" i="17"/>
  <c r="QLC77" i="17"/>
  <c r="QLB77" i="17"/>
  <c r="QLA77" i="17"/>
  <c r="QKZ77" i="17"/>
  <c r="QKY77" i="17"/>
  <c r="QKX77" i="17"/>
  <c r="QKW77" i="17"/>
  <c r="QKV77" i="17"/>
  <c r="QKU77" i="17"/>
  <c r="QKT77" i="17"/>
  <c r="QKS77" i="17"/>
  <c r="QKR77" i="17"/>
  <c r="QKQ77" i="17"/>
  <c r="QKP77" i="17"/>
  <c r="QKO77" i="17"/>
  <c r="QKN77" i="17"/>
  <c r="QKM77" i="17"/>
  <c r="QKL77" i="17"/>
  <c r="QKK77" i="17"/>
  <c r="QKJ77" i="17"/>
  <c r="QKI77" i="17"/>
  <c r="QKH77" i="17"/>
  <c r="QKG77" i="17"/>
  <c r="QKF77" i="17"/>
  <c r="QKE77" i="17"/>
  <c r="QKD77" i="17"/>
  <c r="QKC77" i="17"/>
  <c r="QKB77" i="17"/>
  <c r="QKA77" i="17"/>
  <c r="QJZ77" i="17"/>
  <c r="QJY77" i="17"/>
  <c r="QJX77" i="17"/>
  <c r="QJW77" i="17"/>
  <c r="QJV77" i="17"/>
  <c r="QJU77" i="17"/>
  <c r="QJT77" i="17"/>
  <c r="QJS77" i="17"/>
  <c r="QJR77" i="17"/>
  <c r="QJQ77" i="17"/>
  <c r="QJP77" i="17"/>
  <c r="QJO77" i="17"/>
  <c r="QJN77" i="17"/>
  <c r="QJM77" i="17"/>
  <c r="QJL77" i="17"/>
  <c r="QJK77" i="17"/>
  <c r="QJJ77" i="17"/>
  <c r="QJI77" i="17"/>
  <c r="QJH77" i="17"/>
  <c r="QJG77" i="17"/>
  <c r="QJF77" i="17"/>
  <c r="QJE77" i="17"/>
  <c r="QJD77" i="17"/>
  <c r="QJC77" i="17"/>
  <c r="QJB77" i="17"/>
  <c r="QJA77" i="17"/>
  <c r="QIZ77" i="17"/>
  <c r="QIY77" i="17"/>
  <c r="QIX77" i="17"/>
  <c r="QIW77" i="17"/>
  <c r="QIV77" i="17"/>
  <c r="QIU77" i="17"/>
  <c r="QIT77" i="17"/>
  <c r="QIS77" i="17"/>
  <c r="QIR77" i="17"/>
  <c r="QIQ77" i="17"/>
  <c r="QIP77" i="17"/>
  <c r="QIO77" i="17"/>
  <c r="QIN77" i="17"/>
  <c r="QIM77" i="17"/>
  <c r="QIL77" i="17"/>
  <c r="QIK77" i="17"/>
  <c r="QIJ77" i="17"/>
  <c r="QII77" i="17"/>
  <c r="QIH77" i="17"/>
  <c r="QIG77" i="17"/>
  <c r="QIF77" i="17"/>
  <c r="QIE77" i="17"/>
  <c r="QID77" i="17"/>
  <c r="QIC77" i="17"/>
  <c r="QIB77" i="17"/>
  <c r="QIA77" i="17"/>
  <c r="QHZ77" i="17"/>
  <c r="QHY77" i="17"/>
  <c r="QHX77" i="17"/>
  <c r="QHW77" i="17"/>
  <c r="QHV77" i="17"/>
  <c r="QHU77" i="17"/>
  <c r="QHT77" i="17"/>
  <c r="QHS77" i="17"/>
  <c r="QHR77" i="17"/>
  <c r="QHQ77" i="17"/>
  <c r="QHP77" i="17"/>
  <c r="QHO77" i="17"/>
  <c r="QHN77" i="17"/>
  <c r="QHM77" i="17"/>
  <c r="QHL77" i="17"/>
  <c r="QHK77" i="17"/>
  <c r="QHJ77" i="17"/>
  <c r="QHI77" i="17"/>
  <c r="QHH77" i="17"/>
  <c r="QHG77" i="17"/>
  <c r="QHF77" i="17"/>
  <c r="QHE77" i="17"/>
  <c r="QHD77" i="17"/>
  <c r="QHC77" i="17"/>
  <c r="QHB77" i="17"/>
  <c r="QHA77" i="17"/>
  <c r="QGZ77" i="17"/>
  <c r="QGY77" i="17"/>
  <c r="QGX77" i="17"/>
  <c r="QGW77" i="17"/>
  <c r="QGV77" i="17"/>
  <c r="QGU77" i="17"/>
  <c r="QGT77" i="17"/>
  <c r="QGS77" i="17"/>
  <c r="QGR77" i="17"/>
  <c r="QGQ77" i="17"/>
  <c r="QGP77" i="17"/>
  <c r="QGO77" i="17"/>
  <c r="QGN77" i="17"/>
  <c r="QGM77" i="17"/>
  <c r="QGL77" i="17"/>
  <c r="QGK77" i="17"/>
  <c r="QGJ77" i="17"/>
  <c r="QGI77" i="17"/>
  <c r="QGH77" i="17"/>
  <c r="QGG77" i="17"/>
  <c r="QGF77" i="17"/>
  <c r="QGE77" i="17"/>
  <c r="QGD77" i="17"/>
  <c r="QGC77" i="17"/>
  <c r="QGB77" i="17"/>
  <c r="QGA77" i="17"/>
  <c r="QFZ77" i="17"/>
  <c r="QFY77" i="17"/>
  <c r="QFX77" i="17"/>
  <c r="QFW77" i="17"/>
  <c r="QFV77" i="17"/>
  <c r="QFU77" i="17"/>
  <c r="QFT77" i="17"/>
  <c r="QFS77" i="17"/>
  <c r="QFR77" i="17"/>
  <c r="QFQ77" i="17"/>
  <c r="QFP77" i="17"/>
  <c r="QFO77" i="17"/>
  <c r="QFN77" i="17"/>
  <c r="QFM77" i="17"/>
  <c r="QFL77" i="17"/>
  <c r="QFK77" i="17"/>
  <c r="QFJ77" i="17"/>
  <c r="QFI77" i="17"/>
  <c r="QFH77" i="17"/>
  <c r="QFG77" i="17"/>
  <c r="QFF77" i="17"/>
  <c r="QFE77" i="17"/>
  <c r="QFD77" i="17"/>
  <c r="QFC77" i="17"/>
  <c r="QFB77" i="17"/>
  <c r="QFA77" i="17"/>
  <c r="QEZ77" i="17"/>
  <c r="QEY77" i="17"/>
  <c r="QEX77" i="17"/>
  <c r="QEW77" i="17"/>
  <c r="QEV77" i="17"/>
  <c r="QEU77" i="17"/>
  <c r="QET77" i="17"/>
  <c r="QES77" i="17"/>
  <c r="QER77" i="17"/>
  <c r="QEQ77" i="17"/>
  <c r="QEP77" i="17"/>
  <c r="QEO77" i="17"/>
  <c r="QEN77" i="17"/>
  <c r="QEM77" i="17"/>
  <c r="QEL77" i="17"/>
  <c r="QEK77" i="17"/>
  <c r="QEJ77" i="17"/>
  <c r="QEI77" i="17"/>
  <c r="QEH77" i="17"/>
  <c r="QEG77" i="17"/>
  <c r="QEF77" i="17"/>
  <c r="QEE77" i="17"/>
  <c r="QED77" i="17"/>
  <c r="QEC77" i="17"/>
  <c r="QEB77" i="17"/>
  <c r="QEA77" i="17"/>
  <c r="QDZ77" i="17"/>
  <c r="QDY77" i="17"/>
  <c r="QDX77" i="17"/>
  <c r="QDW77" i="17"/>
  <c r="QDV77" i="17"/>
  <c r="QDU77" i="17"/>
  <c r="QDT77" i="17"/>
  <c r="QDS77" i="17"/>
  <c r="QDR77" i="17"/>
  <c r="QDQ77" i="17"/>
  <c r="QDP77" i="17"/>
  <c r="QDO77" i="17"/>
  <c r="QDN77" i="17"/>
  <c r="QDM77" i="17"/>
  <c r="QDL77" i="17"/>
  <c r="QDK77" i="17"/>
  <c r="QDJ77" i="17"/>
  <c r="QDI77" i="17"/>
  <c r="QDH77" i="17"/>
  <c r="QDG77" i="17"/>
  <c r="QDF77" i="17"/>
  <c r="QDE77" i="17"/>
  <c r="QDD77" i="17"/>
  <c r="QDC77" i="17"/>
  <c r="QDB77" i="17"/>
  <c r="QDA77" i="17"/>
  <c r="QCZ77" i="17"/>
  <c r="QCY77" i="17"/>
  <c r="QCX77" i="17"/>
  <c r="QCW77" i="17"/>
  <c r="QCV77" i="17"/>
  <c r="QCU77" i="17"/>
  <c r="QCT77" i="17"/>
  <c r="QCS77" i="17"/>
  <c r="QCR77" i="17"/>
  <c r="QCQ77" i="17"/>
  <c r="QCP77" i="17"/>
  <c r="QCO77" i="17"/>
  <c r="QCN77" i="17"/>
  <c r="QCM77" i="17"/>
  <c r="QCL77" i="17"/>
  <c r="QCK77" i="17"/>
  <c r="QCJ77" i="17"/>
  <c r="QCI77" i="17"/>
  <c r="QCH77" i="17"/>
  <c r="QCG77" i="17"/>
  <c r="QCF77" i="17"/>
  <c r="QCE77" i="17"/>
  <c r="QCD77" i="17"/>
  <c r="QCC77" i="17"/>
  <c r="QCB77" i="17"/>
  <c r="QCA77" i="17"/>
  <c r="QBZ77" i="17"/>
  <c r="QBY77" i="17"/>
  <c r="QBX77" i="17"/>
  <c r="QBW77" i="17"/>
  <c r="QBV77" i="17"/>
  <c r="QBU77" i="17"/>
  <c r="QBT77" i="17"/>
  <c r="QBS77" i="17"/>
  <c r="QBR77" i="17"/>
  <c r="QBQ77" i="17"/>
  <c r="QBP77" i="17"/>
  <c r="QBO77" i="17"/>
  <c r="QBN77" i="17"/>
  <c r="QBM77" i="17"/>
  <c r="QBL77" i="17"/>
  <c r="QBK77" i="17"/>
  <c r="QBJ77" i="17"/>
  <c r="QBI77" i="17"/>
  <c r="QBH77" i="17"/>
  <c r="QBG77" i="17"/>
  <c r="QBF77" i="17"/>
  <c r="QBE77" i="17"/>
  <c r="QBD77" i="17"/>
  <c r="QBC77" i="17"/>
  <c r="QBB77" i="17"/>
  <c r="QBA77" i="17"/>
  <c r="QAZ77" i="17"/>
  <c r="QAY77" i="17"/>
  <c r="QAX77" i="17"/>
  <c r="QAW77" i="17"/>
  <c r="QAV77" i="17"/>
  <c r="QAU77" i="17"/>
  <c r="QAT77" i="17"/>
  <c r="QAS77" i="17"/>
  <c r="QAR77" i="17"/>
  <c r="QAQ77" i="17"/>
  <c r="QAP77" i="17"/>
  <c r="QAO77" i="17"/>
  <c r="QAN77" i="17"/>
  <c r="QAM77" i="17"/>
  <c r="QAL77" i="17"/>
  <c r="QAK77" i="17"/>
  <c r="QAJ77" i="17"/>
  <c r="QAI77" i="17"/>
  <c r="QAH77" i="17"/>
  <c r="QAG77" i="17"/>
  <c r="QAF77" i="17"/>
  <c r="QAE77" i="17"/>
  <c r="QAD77" i="17"/>
  <c r="QAC77" i="17"/>
  <c r="QAB77" i="17"/>
  <c r="QAA77" i="17"/>
  <c r="PZZ77" i="17"/>
  <c r="PZY77" i="17"/>
  <c r="PZX77" i="17"/>
  <c r="PZW77" i="17"/>
  <c r="PZV77" i="17"/>
  <c r="PZU77" i="17"/>
  <c r="PZT77" i="17"/>
  <c r="PZS77" i="17"/>
  <c r="PZR77" i="17"/>
  <c r="PZQ77" i="17"/>
  <c r="PZP77" i="17"/>
  <c r="PZO77" i="17"/>
  <c r="PZN77" i="17"/>
  <c r="PZM77" i="17"/>
  <c r="PZL77" i="17"/>
  <c r="PZK77" i="17"/>
  <c r="PZJ77" i="17"/>
  <c r="PZI77" i="17"/>
  <c r="PZH77" i="17"/>
  <c r="PZG77" i="17"/>
  <c r="PZF77" i="17"/>
  <c r="PZE77" i="17"/>
  <c r="PZD77" i="17"/>
  <c r="PZC77" i="17"/>
  <c r="PZB77" i="17"/>
  <c r="PZA77" i="17"/>
  <c r="PYZ77" i="17"/>
  <c r="PYY77" i="17"/>
  <c r="PYX77" i="17"/>
  <c r="PYW77" i="17"/>
  <c r="PYV77" i="17"/>
  <c r="PYU77" i="17"/>
  <c r="PYT77" i="17"/>
  <c r="PYS77" i="17"/>
  <c r="PYR77" i="17"/>
  <c r="PYQ77" i="17"/>
  <c r="PYP77" i="17"/>
  <c r="PYO77" i="17"/>
  <c r="PYN77" i="17"/>
  <c r="PYM77" i="17"/>
  <c r="PYL77" i="17"/>
  <c r="PYK77" i="17"/>
  <c r="PYJ77" i="17"/>
  <c r="PYI77" i="17"/>
  <c r="PYH77" i="17"/>
  <c r="PYG77" i="17"/>
  <c r="PYF77" i="17"/>
  <c r="PYE77" i="17"/>
  <c r="PYD77" i="17"/>
  <c r="PYC77" i="17"/>
  <c r="PYB77" i="17"/>
  <c r="PYA77" i="17"/>
  <c r="PXZ77" i="17"/>
  <c r="PXY77" i="17"/>
  <c r="PXX77" i="17"/>
  <c r="PXW77" i="17"/>
  <c r="PXV77" i="17"/>
  <c r="PXU77" i="17"/>
  <c r="PXT77" i="17"/>
  <c r="PXS77" i="17"/>
  <c r="PXR77" i="17"/>
  <c r="PXQ77" i="17"/>
  <c r="PXP77" i="17"/>
  <c r="PXO77" i="17"/>
  <c r="PXN77" i="17"/>
  <c r="PXM77" i="17"/>
  <c r="PXL77" i="17"/>
  <c r="PXK77" i="17"/>
  <c r="PXJ77" i="17"/>
  <c r="PXI77" i="17"/>
  <c r="PXH77" i="17"/>
  <c r="PXG77" i="17"/>
  <c r="PXF77" i="17"/>
  <c r="PXE77" i="17"/>
  <c r="PXD77" i="17"/>
  <c r="PXC77" i="17"/>
  <c r="PXB77" i="17"/>
  <c r="PXA77" i="17"/>
  <c r="PWZ77" i="17"/>
  <c r="PWY77" i="17"/>
  <c r="PWX77" i="17"/>
  <c r="PWW77" i="17"/>
  <c r="PWV77" i="17"/>
  <c r="PWU77" i="17"/>
  <c r="PWT77" i="17"/>
  <c r="PWS77" i="17"/>
  <c r="PWR77" i="17"/>
  <c r="PWQ77" i="17"/>
  <c r="PWP77" i="17"/>
  <c r="PWO77" i="17"/>
  <c r="PWN77" i="17"/>
  <c r="PWM77" i="17"/>
  <c r="PWL77" i="17"/>
  <c r="PWK77" i="17"/>
  <c r="PWJ77" i="17"/>
  <c r="PWI77" i="17"/>
  <c r="PWH77" i="17"/>
  <c r="PWG77" i="17"/>
  <c r="PWF77" i="17"/>
  <c r="PWE77" i="17"/>
  <c r="PWD77" i="17"/>
  <c r="PWC77" i="17"/>
  <c r="PWB77" i="17"/>
  <c r="PWA77" i="17"/>
  <c r="PVZ77" i="17"/>
  <c r="PVY77" i="17"/>
  <c r="PVX77" i="17"/>
  <c r="PVW77" i="17"/>
  <c r="PVV77" i="17"/>
  <c r="PVU77" i="17"/>
  <c r="PVT77" i="17"/>
  <c r="PVS77" i="17"/>
  <c r="PVR77" i="17"/>
  <c r="PVQ77" i="17"/>
  <c r="PVP77" i="17"/>
  <c r="PVO77" i="17"/>
  <c r="PVN77" i="17"/>
  <c r="PVM77" i="17"/>
  <c r="PVL77" i="17"/>
  <c r="PVK77" i="17"/>
  <c r="PVJ77" i="17"/>
  <c r="PVI77" i="17"/>
  <c r="PVH77" i="17"/>
  <c r="PVG77" i="17"/>
  <c r="PVF77" i="17"/>
  <c r="PVE77" i="17"/>
  <c r="PVD77" i="17"/>
  <c r="PVC77" i="17"/>
  <c r="PVB77" i="17"/>
  <c r="PVA77" i="17"/>
  <c r="PUZ77" i="17"/>
  <c r="PUY77" i="17"/>
  <c r="PUX77" i="17"/>
  <c r="PUW77" i="17"/>
  <c r="PUV77" i="17"/>
  <c r="PUU77" i="17"/>
  <c r="PUT77" i="17"/>
  <c r="PUS77" i="17"/>
  <c r="PUR77" i="17"/>
  <c r="PUQ77" i="17"/>
  <c r="PUP77" i="17"/>
  <c r="PUO77" i="17"/>
  <c r="PUN77" i="17"/>
  <c r="PUM77" i="17"/>
  <c r="PUL77" i="17"/>
  <c r="PUK77" i="17"/>
  <c r="PUJ77" i="17"/>
  <c r="PUI77" i="17"/>
  <c r="PUH77" i="17"/>
  <c r="PUG77" i="17"/>
  <c r="PUF77" i="17"/>
  <c r="PUE77" i="17"/>
  <c r="PUD77" i="17"/>
  <c r="PUC77" i="17"/>
  <c r="PUB77" i="17"/>
  <c r="PUA77" i="17"/>
  <c r="PTZ77" i="17"/>
  <c r="PTY77" i="17"/>
  <c r="PTX77" i="17"/>
  <c r="PTW77" i="17"/>
  <c r="PTV77" i="17"/>
  <c r="PTU77" i="17"/>
  <c r="PTT77" i="17"/>
  <c r="PTS77" i="17"/>
  <c r="PTR77" i="17"/>
  <c r="PTQ77" i="17"/>
  <c r="PTP77" i="17"/>
  <c r="PTO77" i="17"/>
  <c r="PTN77" i="17"/>
  <c r="PTM77" i="17"/>
  <c r="PTL77" i="17"/>
  <c r="PTK77" i="17"/>
  <c r="PTJ77" i="17"/>
  <c r="PTI77" i="17"/>
  <c r="PTH77" i="17"/>
  <c r="PTG77" i="17"/>
  <c r="PTF77" i="17"/>
  <c r="PTE77" i="17"/>
  <c r="PTD77" i="17"/>
  <c r="PTC77" i="17"/>
  <c r="PTB77" i="17"/>
  <c r="PTA77" i="17"/>
  <c r="PSZ77" i="17"/>
  <c r="PSY77" i="17"/>
  <c r="PSX77" i="17"/>
  <c r="PSW77" i="17"/>
  <c r="PSV77" i="17"/>
  <c r="PSU77" i="17"/>
  <c r="PST77" i="17"/>
  <c r="PSS77" i="17"/>
  <c r="PSR77" i="17"/>
  <c r="PSQ77" i="17"/>
  <c r="PSP77" i="17"/>
  <c r="PSO77" i="17"/>
  <c r="PSN77" i="17"/>
  <c r="PSM77" i="17"/>
  <c r="PSL77" i="17"/>
  <c r="PSK77" i="17"/>
  <c r="PSJ77" i="17"/>
  <c r="PSI77" i="17"/>
  <c r="PSH77" i="17"/>
  <c r="PSG77" i="17"/>
  <c r="PSF77" i="17"/>
  <c r="PSE77" i="17"/>
  <c r="PSD77" i="17"/>
  <c r="PSC77" i="17"/>
  <c r="PSB77" i="17"/>
  <c r="PSA77" i="17"/>
  <c r="PRZ77" i="17"/>
  <c r="PRY77" i="17"/>
  <c r="PRX77" i="17"/>
  <c r="PRW77" i="17"/>
  <c r="PRV77" i="17"/>
  <c r="PRU77" i="17"/>
  <c r="PRT77" i="17"/>
  <c r="PRS77" i="17"/>
  <c r="PRR77" i="17"/>
  <c r="PRQ77" i="17"/>
  <c r="PRP77" i="17"/>
  <c r="PRO77" i="17"/>
  <c r="PRN77" i="17"/>
  <c r="PRM77" i="17"/>
  <c r="PRL77" i="17"/>
  <c r="PRK77" i="17"/>
  <c r="PRJ77" i="17"/>
  <c r="PRI77" i="17"/>
  <c r="PRH77" i="17"/>
  <c r="PRG77" i="17"/>
  <c r="PRF77" i="17"/>
  <c r="PRE77" i="17"/>
  <c r="PRD77" i="17"/>
  <c r="PRC77" i="17"/>
  <c r="PRB77" i="17"/>
  <c r="PRA77" i="17"/>
  <c r="PQZ77" i="17"/>
  <c r="PQY77" i="17"/>
  <c r="PQX77" i="17"/>
  <c r="PQW77" i="17"/>
  <c r="PQV77" i="17"/>
  <c r="PQU77" i="17"/>
  <c r="PQT77" i="17"/>
  <c r="PQS77" i="17"/>
  <c r="PQR77" i="17"/>
  <c r="PQQ77" i="17"/>
  <c r="PQP77" i="17"/>
  <c r="PQO77" i="17"/>
  <c r="PQN77" i="17"/>
  <c r="PQM77" i="17"/>
  <c r="PQL77" i="17"/>
  <c r="PQK77" i="17"/>
  <c r="PQJ77" i="17"/>
  <c r="PQI77" i="17"/>
  <c r="PQH77" i="17"/>
  <c r="PQG77" i="17"/>
  <c r="PQF77" i="17"/>
  <c r="PQE77" i="17"/>
  <c r="PQD77" i="17"/>
  <c r="PQC77" i="17"/>
  <c r="PQB77" i="17"/>
  <c r="PQA77" i="17"/>
  <c r="PPZ77" i="17"/>
  <c r="PPY77" i="17"/>
  <c r="PPX77" i="17"/>
  <c r="PPW77" i="17"/>
  <c r="PPV77" i="17"/>
  <c r="PPU77" i="17"/>
  <c r="PPT77" i="17"/>
  <c r="PPS77" i="17"/>
  <c r="PPR77" i="17"/>
  <c r="PPQ77" i="17"/>
  <c r="PPP77" i="17"/>
  <c r="PPO77" i="17"/>
  <c r="PPN77" i="17"/>
  <c r="PPM77" i="17"/>
  <c r="PPL77" i="17"/>
  <c r="PPK77" i="17"/>
  <c r="PPJ77" i="17"/>
  <c r="PPI77" i="17"/>
  <c r="PPH77" i="17"/>
  <c r="PPG77" i="17"/>
  <c r="PPF77" i="17"/>
  <c r="PPE77" i="17"/>
  <c r="PPD77" i="17"/>
  <c r="PPC77" i="17"/>
  <c r="PPB77" i="17"/>
  <c r="PPA77" i="17"/>
  <c r="POZ77" i="17"/>
  <c r="POY77" i="17"/>
  <c r="POX77" i="17"/>
  <c r="POW77" i="17"/>
  <c r="POV77" i="17"/>
  <c r="POU77" i="17"/>
  <c r="POT77" i="17"/>
  <c r="POS77" i="17"/>
  <c r="POR77" i="17"/>
  <c r="POQ77" i="17"/>
  <c r="POP77" i="17"/>
  <c r="POO77" i="17"/>
  <c r="PON77" i="17"/>
  <c r="POM77" i="17"/>
  <c r="POL77" i="17"/>
  <c r="POK77" i="17"/>
  <c r="POJ77" i="17"/>
  <c r="POI77" i="17"/>
  <c r="POH77" i="17"/>
  <c r="POG77" i="17"/>
  <c r="POF77" i="17"/>
  <c r="POE77" i="17"/>
  <c r="POD77" i="17"/>
  <c r="POC77" i="17"/>
  <c r="POB77" i="17"/>
  <c r="POA77" i="17"/>
  <c r="PNZ77" i="17"/>
  <c r="PNY77" i="17"/>
  <c r="PNX77" i="17"/>
  <c r="PNW77" i="17"/>
  <c r="PNV77" i="17"/>
  <c r="PNU77" i="17"/>
  <c r="PNT77" i="17"/>
  <c r="PNS77" i="17"/>
  <c r="PNR77" i="17"/>
  <c r="PNQ77" i="17"/>
  <c r="PNP77" i="17"/>
  <c r="PNO77" i="17"/>
  <c r="PNN77" i="17"/>
  <c r="PNM77" i="17"/>
  <c r="PNL77" i="17"/>
  <c r="PNK77" i="17"/>
  <c r="PNJ77" i="17"/>
  <c r="PNI77" i="17"/>
  <c r="PNH77" i="17"/>
  <c r="PNG77" i="17"/>
  <c r="PNF77" i="17"/>
  <c r="PNE77" i="17"/>
  <c r="PND77" i="17"/>
  <c r="PNC77" i="17"/>
  <c r="PNB77" i="17"/>
  <c r="PNA77" i="17"/>
  <c r="PMZ77" i="17"/>
  <c r="PMY77" i="17"/>
  <c r="PMX77" i="17"/>
  <c r="PMW77" i="17"/>
  <c r="PMV77" i="17"/>
  <c r="PMU77" i="17"/>
  <c r="PMT77" i="17"/>
  <c r="PMS77" i="17"/>
  <c r="PMR77" i="17"/>
  <c r="PMQ77" i="17"/>
  <c r="PMP77" i="17"/>
  <c r="PMO77" i="17"/>
  <c r="PMN77" i="17"/>
  <c r="PMM77" i="17"/>
  <c r="PML77" i="17"/>
  <c r="PMK77" i="17"/>
  <c r="PMJ77" i="17"/>
  <c r="PMI77" i="17"/>
  <c r="PMH77" i="17"/>
  <c r="PMG77" i="17"/>
  <c r="PMF77" i="17"/>
  <c r="PME77" i="17"/>
  <c r="PMD77" i="17"/>
  <c r="PMC77" i="17"/>
  <c r="PMB77" i="17"/>
  <c r="PMA77" i="17"/>
  <c r="PLZ77" i="17"/>
  <c r="PLY77" i="17"/>
  <c r="PLX77" i="17"/>
  <c r="PLW77" i="17"/>
  <c r="PLV77" i="17"/>
  <c r="PLU77" i="17"/>
  <c r="PLT77" i="17"/>
  <c r="PLS77" i="17"/>
  <c r="PLR77" i="17"/>
  <c r="PLQ77" i="17"/>
  <c r="PLP77" i="17"/>
  <c r="PLO77" i="17"/>
  <c r="PLN77" i="17"/>
  <c r="PLM77" i="17"/>
  <c r="PLL77" i="17"/>
  <c r="PLK77" i="17"/>
  <c r="PLJ77" i="17"/>
  <c r="PLI77" i="17"/>
  <c r="PLH77" i="17"/>
  <c r="PLG77" i="17"/>
  <c r="PLF77" i="17"/>
  <c r="PLE77" i="17"/>
  <c r="PLD77" i="17"/>
  <c r="PLC77" i="17"/>
  <c r="PLB77" i="17"/>
  <c r="PLA77" i="17"/>
  <c r="PKZ77" i="17"/>
  <c r="PKY77" i="17"/>
  <c r="PKX77" i="17"/>
  <c r="PKW77" i="17"/>
  <c r="PKV77" i="17"/>
  <c r="PKU77" i="17"/>
  <c r="PKT77" i="17"/>
  <c r="PKS77" i="17"/>
  <c r="PKR77" i="17"/>
  <c r="PKQ77" i="17"/>
  <c r="PKP77" i="17"/>
  <c r="PKO77" i="17"/>
  <c r="PKN77" i="17"/>
  <c r="PKM77" i="17"/>
  <c r="PKL77" i="17"/>
  <c r="PKK77" i="17"/>
  <c r="PKJ77" i="17"/>
  <c r="PKI77" i="17"/>
  <c r="PKH77" i="17"/>
  <c r="PKG77" i="17"/>
  <c r="PKF77" i="17"/>
  <c r="PKE77" i="17"/>
  <c r="PKD77" i="17"/>
  <c r="PKC77" i="17"/>
  <c r="PKB77" i="17"/>
  <c r="PKA77" i="17"/>
  <c r="PJZ77" i="17"/>
  <c r="PJY77" i="17"/>
  <c r="PJX77" i="17"/>
  <c r="PJW77" i="17"/>
  <c r="PJV77" i="17"/>
  <c r="PJU77" i="17"/>
  <c r="PJT77" i="17"/>
  <c r="PJS77" i="17"/>
  <c r="PJR77" i="17"/>
  <c r="PJQ77" i="17"/>
  <c r="PJP77" i="17"/>
  <c r="PJO77" i="17"/>
  <c r="PJN77" i="17"/>
  <c r="PJM77" i="17"/>
  <c r="PJL77" i="17"/>
  <c r="PJK77" i="17"/>
  <c r="PJJ77" i="17"/>
  <c r="PJI77" i="17"/>
  <c r="PJH77" i="17"/>
  <c r="PJG77" i="17"/>
  <c r="PJF77" i="17"/>
  <c r="PJE77" i="17"/>
  <c r="PJD77" i="17"/>
  <c r="PJC77" i="17"/>
  <c r="PJB77" i="17"/>
  <c r="PJA77" i="17"/>
  <c r="PIZ77" i="17"/>
  <c r="PIY77" i="17"/>
  <c r="PIX77" i="17"/>
  <c r="PIW77" i="17"/>
  <c r="PIV77" i="17"/>
  <c r="PIU77" i="17"/>
  <c r="PIT77" i="17"/>
  <c r="PIS77" i="17"/>
  <c r="PIR77" i="17"/>
  <c r="PIQ77" i="17"/>
  <c r="PIP77" i="17"/>
  <c r="PIO77" i="17"/>
  <c r="PIN77" i="17"/>
  <c r="PIM77" i="17"/>
  <c r="PIL77" i="17"/>
  <c r="PIK77" i="17"/>
  <c r="PIJ77" i="17"/>
  <c r="PII77" i="17"/>
  <c r="PIH77" i="17"/>
  <c r="PIG77" i="17"/>
  <c r="PIF77" i="17"/>
  <c r="PIE77" i="17"/>
  <c r="PID77" i="17"/>
  <c r="PIC77" i="17"/>
  <c r="PIB77" i="17"/>
  <c r="PIA77" i="17"/>
  <c r="PHZ77" i="17"/>
  <c r="PHY77" i="17"/>
  <c r="PHX77" i="17"/>
  <c r="PHW77" i="17"/>
  <c r="PHV77" i="17"/>
  <c r="PHU77" i="17"/>
  <c r="PHT77" i="17"/>
  <c r="PHS77" i="17"/>
  <c r="PHR77" i="17"/>
  <c r="PHQ77" i="17"/>
  <c r="PHP77" i="17"/>
  <c r="PHO77" i="17"/>
  <c r="PHN77" i="17"/>
  <c r="PHM77" i="17"/>
  <c r="PHL77" i="17"/>
  <c r="PHK77" i="17"/>
  <c r="PHJ77" i="17"/>
  <c r="PHI77" i="17"/>
  <c r="PHH77" i="17"/>
  <c r="PHG77" i="17"/>
  <c r="PHF77" i="17"/>
  <c r="PHE77" i="17"/>
  <c r="PHD77" i="17"/>
  <c r="PHC77" i="17"/>
  <c r="PHB77" i="17"/>
  <c r="PHA77" i="17"/>
  <c r="PGZ77" i="17"/>
  <c r="PGY77" i="17"/>
  <c r="PGX77" i="17"/>
  <c r="PGW77" i="17"/>
  <c r="PGV77" i="17"/>
  <c r="PGU77" i="17"/>
  <c r="PGT77" i="17"/>
  <c r="PGS77" i="17"/>
  <c r="PGR77" i="17"/>
  <c r="PGQ77" i="17"/>
  <c r="PGP77" i="17"/>
  <c r="PGO77" i="17"/>
  <c r="PGN77" i="17"/>
  <c r="PGM77" i="17"/>
  <c r="PGL77" i="17"/>
  <c r="PGK77" i="17"/>
  <c r="PGJ77" i="17"/>
  <c r="PGI77" i="17"/>
  <c r="PGH77" i="17"/>
  <c r="PGG77" i="17"/>
  <c r="PGF77" i="17"/>
  <c r="PGE77" i="17"/>
  <c r="PGD77" i="17"/>
  <c r="PGC77" i="17"/>
  <c r="PGB77" i="17"/>
  <c r="PGA77" i="17"/>
  <c r="PFZ77" i="17"/>
  <c r="PFY77" i="17"/>
  <c r="PFX77" i="17"/>
  <c r="PFW77" i="17"/>
  <c r="PFV77" i="17"/>
  <c r="PFU77" i="17"/>
  <c r="PFT77" i="17"/>
  <c r="PFS77" i="17"/>
  <c r="PFR77" i="17"/>
  <c r="PFQ77" i="17"/>
  <c r="PFP77" i="17"/>
  <c r="PFO77" i="17"/>
  <c r="PFN77" i="17"/>
  <c r="PFM77" i="17"/>
  <c r="PFL77" i="17"/>
  <c r="PFK77" i="17"/>
  <c r="PFJ77" i="17"/>
  <c r="PFI77" i="17"/>
  <c r="PFH77" i="17"/>
  <c r="PFG77" i="17"/>
  <c r="PFF77" i="17"/>
  <c r="PFE77" i="17"/>
  <c r="PFD77" i="17"/>
  <c r="PFC77" i="17"/>
  <c r="PFB77" i="17"/>
  <c r="PFA77" i="17"/>
  <c r="PEZ77" i="17"/>
  <c r="PEY77" i="17"/>
  <c r="PEX77" i="17"/>
  <c r="PEW77" i="17"/>
  <c r="PEV77" i="17"/>
  <c r="PEU77" i="17"/>
  <c r="PET77" i="17"/>
  <c r="PES77" i="17"/>
  <c r="PER77" i="17"/>
  <c r="PEQ77" i="17"/>
  <c r="PEP77" i="17"/>
  <c r="PEO77" i="17"/>
  <c r="PEN77" i="17"/>
  <c r="PEM77" i="17"/>
  <c r="PEL77" i="17"/>
  <c r="PEK77" i="17"/>
  <c r="PEJ77" i="17"/>
  <c r="PEI77" i="17"/>
  <c r="PEH77" i="17"/>
  <c r="PEG77" i="17"/>
  <c r="PEF77" i="17"/>
  <c r="PEE77" i="17"/>
  <c r="PED77" i="17"/>
  <c r="PEC77" i="17"/>
  <c r="PEB77" i="17"/>
  <c r="PEA77" i="17"/>
  <c r="PDZ77" i="17"/>
  <c r="PDY77" i="17"/>
  <c r="PDX77" i="17"/>
  <c r="PDW77" i="17"/>
  <c r="PDV77" i="17"/>
  <c r="PDU77" i="17"/>
  <c r="PDT77" i="17"/>
  <c r="PDS77" i="17"/>
  <c r="PDR77" i="17"/>
  <c r="PDQ77" i="17"/>
  <c r="PDP77" i="17"/>
  <c r="PDO77" i="17"/>
  <c r="PDN77" i="17"/>
  <c r="PDM77" i="17"/>
  <c r="PDL77" i="17"/>
  <c r="PDK77" i="17"/>
  <c r="PDJ77" i="17"/>
  <c r="PDI77" i="17"/>
  <c r="PDH77" i="17"/>
  <c r="PDG77" i="17"/>
  <c r="PDF77" i="17"/>
  <c r="PDE77" i="17"/>
  <c r="PDD77" i="17"/>
  <c r="PDC77" i="17"/>
  <c r="PDB77" i="17"/>
  <c r="PDA77" i="17"/>
  <c r="PCZ77" i="17"/>
  <c r="PCY77" i="17"/>
  <c r="PCX77" i="17"/>
  <c r="PCW77" i="17"/>
  <c r="PCV77" i="17"/>
  <c r="PCU77" i="17"/>
  <c r="PCT77" i="17"/>
  <c r="PCS77" i="17"/>
  <c r="PCR77" i="17"/>
  <c r="PCQ77" i="17"/>
  <c r="PCP77" i="17"/>
  <c r="PCO77" i="17"/>
  <c r="PCN77" i="17"/>
  <c r="PCM77" i="17"/>
  <c r="PCL77" i="17"/>
  <c r="PCK77" i="17"/>
  <c r="PCJ77" i="17"/>
  <c r="PCI77" i="17"/>
  <c r="PCH77" i="17"/>
  <c r="PCG77" i="17"/>
  <c r="PCF77" i="17"/>
  <c r="PCE77" i="17"/>
  <c r="PCD77" i="17"/>
  <c r="PCC77" i="17"/>
  <c r="PCB77" i="17"/>
  <c r="PCA77" i="17"/>
  <c r="PBZ77" i="17"/>
  <c r="PBY77" i="17"/>
  <c r="PBX77" i="17"/>
  <c r="PBW77" i="17"/>
  <c r="PBV77" i="17"/>
  <c r="PBU77" i="17"/>
  <c r="PBT77" i="17"/>
  <c r="PBS77" i="17"/>
  <c r="PBR77" i="17"/>
  <c r="PBQ77" i="17"/>
  <c r="PBP77" i="17"/>
  <c r="PBO77" i="17"/>
  <c r="PBN77" i="17"/>
  <c r="PBM77" i="17"/>
  <c r="PBL77" i="17"/>
  <c r="PBK77" i="17"/>
  <c r="PBJ77" i="17"/>
  <c r="PBI77" i="17"/>
  <c r="PBH77" i="17"/>
  <c r="PBG77" i="17"/>
  <c r="PBF77" i="17"/>
  <c r="PBE77" i="17"/>
  <c r="PBD77" i="17"/>
  <c r="PBC77" i="17"/>
  <c r="PBB77" i="17"/>
  <c r="PBA77" i="17"/>
  <c r="PAZ77" i="17"/>
  <c r="PAY77" i="17"/>
  <c r="PAX77" i="17"/>
  <c r="PAW77" i="17"/>
  <c r="PAV77" i="17"/>
  <c r="PAU77" i="17"/>
  <c r="PAT77" i="17"/>
  <c r="PAS77" i="17"/>
  <c r="PAR77" i="17"/>
  <c r="PAQ77" i="17"/>
  <c r="PAP77" i="17"/>
  <c r="PAO77" i="17"/>
  <c r="PAN77" i="17"/>
  <c r="PAM77" i="17"/>
  <c r="PAL77" i="17"/>
  <c r="PAK77" i="17"/>
  <c r="PAJ77" i="17"/>
  <c r="PAI77" i="17"/>
  <c r="PAH77" i="17"/>
  <c r="PAG77" i="17"/>
  <c r="PAF77" i="17"/>
  <c r="PAE77" i="17"/>
  <c r="PAD77" i="17"/>
  <c r="PAC77" i="17"/>
  <c r="PAB77" i="17"/>
  <c r="PAA77" i="17"/>
  <c r="OZZ77" i="17"/>
  <c r="OZY77" i="17"/>
  <c r="OZX77" i="17"/>
  <c r="OZW77" i="17"/>
  <c r="OZV77" i="17"/>
  <c r="OZU77" i="17"/>
  <c r="OZT77" i="17"/>
  <c r="OZS77" i="17"/>
  <c r="OZR77" i="17"/>
  <c r="OZQ77" i="17"/>
  <c r="OZP77" i="17"/>
  <c r="OZO77" i="17"/>
  <c r="OZN77" i="17"/>
  <c r="OZM77" i="17"/>
  <c r="OZL77" i="17"/>
  <c r="OZK77" i="17"/>
  <c r="OZJ77" i="17"/>
  <c r="OZI77" i="17"/>
  <c r="OZH77" i="17"/>
  <c r="OZG77" i="17"/>
  <c r="OZF77" i="17"/>
  <c r="OZE77" i="17"/>
  <c r="OZD77" i="17"/>
  <c r="OZC77" i="17"/>
  <c r="OZB77" i="17"/>
  <c r="OZA77" i="17"/>
  <c r="OYZ77" i="17"/>
  <c r="OYY77" i="17"/>
  <c r="OYX77" i="17"/>
  <c r="OYW77" i="17"/>
  <c r="OYV77" i="17"/>
  <c r="OYU77" i="17"/>
  <c r="OYT77" i="17"/>
  <c r="OYS77" i="17"/>
  <c r="OYR77" i="17"/>
  <c r="OYQ77" i="17"/>
  <c r="OYP77" i="17"/>
  <c r="OYO77" i="17"/>
  <c r="OYN77" i="17"/>
  <c r="OYM77" i="17"/>
  <c r="OYL77" i="17"/>
  <c r="OYK77" i="17"/>
  <c r="OYJ77" i="17"/>
  <c r="OYI77" i="17"/>
  <c r="OYH77" i="17"/>
  <c r="OYG77" i="17"/>
  <c r="OYF77" i="17"/>
  <c r="OYE77" i="17"/>
  <c r="OYD77" i="17"/>
  <c r="OYC77" i="17"/>
  <c r="OYB77" i="17"/>
  <c r="OYA77" i="17"/>
  <c r="OXZ77" i="17"/>
  <c r="OXY77" i="17"/>
  <c r="OXX77" i="17"/>
  <c r="OXW77" i="17"/>
  <c r="OXV77" i="17"/>
  <c r="OXU77" i="17"/>
  <c r="OXT77" i="17"/>
  <c r="OXS77" i="17"/>
  <c r="OXR77" i="17"/>
  <c r="OXQ77" i="17"/>
  <c r="OXP77" i="17"/>
  <c r="OXO77" i="17"/>
  <c r="OXN77" i="17"/>
  <c r="OXM77" i="17"/>
  <c r="OXL77" i="17"/>
  <c r="OXK77" i="17"/>
  <c r="OXJ77" i="17"/>
  <c r="OXI77" i="17"/>
  <c r="OXH77" i="17"/>
  <c r="OXG77" i="17"/>
  <c r="OXF77" i="17"/>
  <c r="OXE77" i="17"/>
  <c r="OXD77" i="17"/>
  <c r="OXC77" i="17"/>
  <c r="OXB77" i="17"/>
  <c r="OXA77" i="17"/>
  <c r="OWZ77" i="17"/>
  <c r="OWY77" i="17"/>
  <c r="OWX77" i="17"/>
  <c r="OWW77" i="17"/>
  <c r="OWV77" i="17"/>
  <c r="OWU77" i="17"/>
  <c r="OWT77" i="17"/>
  <c r="OWS77" i="17"/>
  <c r="OWR77" i="17"/>
  <c r="OWQ77" i="17"/>
  <c r="OWP77" i="17"/>
  <c r="OWO77" i="17"/>
  <c r="OWN77" i="17"/>
  <c r="OWM77" i="17"/>
  <c r="OWL77" i="17"/>
  <c r="OWK77" i="17"/>
  <c r="OWJ77" i="17"/>
  <c r="OWI77" i="17"/>
  <c r="OWH77" i="17"/>
  <c r="OWG77" i="17"/>
  <c r="OWF77" i="17"/>
  <c r="OWE77" i="17"/>
  <c r="OWD77" i="17"/>
  <c r="OWC77" i="17"/>
  <c r="OWB77" i="17"/>
  <c r="OWA77" i="17"/>
  <c r="OVZ77" i="17"/>
  <c r="OVY77" i="17"/>
  <c r="OVX77" i="17"/>
  <c r="OVW77" i="17"/>
  <c r="OVV77" i="17"/>
  <c r="OVU77" i="17"/>
  <c r="OVT77" i="17"/>
  <c r="OVS77" i="17"/>
  <c r="OVR77" i="17"/>
  <c r="OVQ77" i="17"/>
  <c r="OVP77" i="17"/>
  <c r="OVO77" i="17"/>
  <c r="OVN77" i="17"/>
  <c r="OVM77" i="17"/>
  <c r="OVL77" i="17"/>
  <c r="OVK77" i="17"/>
  <c r="OVJ77" i="17"/>
  <c r="OVI77" i="17"/>
  <c r="OVH77" i="17"/>
  <c r="OVG77" i="17"/>
  <c r="OVF77" i="17"/>
  <c r="OVE77" i="17"/>
  <c r="OVD77" i="17"/>
  <c r="OVC77" i="17"/>
  <c r="OVB77" i="17"/>
  <c r="OVA77" i="17"/>
  <c r="OUZ77" i="17"/>
  <c r="OUY77" i="17"/>
  <c r="OUX77" i="17"/>
  <c r="OUW77" i="17"/>
  <c r="OUV77" i="17"/>
  <c r="OUU77" i="17"/>
  <c r="OUT77" i="17"/>
  <c r="OUS77" i="17"/>
  <c r="OUR77" i="17"/>
  <c r="OUQ77" i="17"/>
  <c r="OUP77" i="17"/>
  <c r="OUO77" i="17"/>
  <c r="OUN77" i="17"/>
  <c r="OUM77" i="17"/>
  <c r="OUL77" i="17"/>
  <c r="OUK77" i="17"/>
  <c r="OUJ77" i="17"/>
  <c r="OUI77" i="17"/>
  <c r="OUH77" i="17"/>
  <c r="OUG77" i="17"/>
  <c r="OUF77" i="17"/>
  <c r="OUE77" i="17"/>
  <c r="OUD77" i="17"/>
  <c r="OUC77" i="17"/>
  <c r="OUB77" i="17"/>
  <c r="OUA77" i="17"/>
  <c r="OTZ77" i="17"/>
  <c r="OTY77" i="17"/>
  <c r="OTX77" i="17"/>
  <c r="OTW77" i="17"/>
  <c r="OTV77" i="17"/>
  <c r="OTU77" i="17"/>
  <c r="OTT77" i="17"/>
  <c r="OTS77" i="17"/>
  <c r="OTR77" i="17"/>
  <c r="OTQ77" i="17"/>
  <c r="OTP77" i="17"/>
  <c r="OTO77" i="17"/>
  <c r="OTN77" i="17"/>
  <c r="OTM77" i="17"/>
  <c r="OTL77" i="17"/>
  <c r="OTK77" i="17"/>
  <c r="OTJ77" i="17"/>
  <c r="OTI77" i="17"/>
  <c r="OTH77" i="17"/>
  <c r="OTG77" i="17"/>
  <c r="OTF77" i="17"/>
  <c r="OTE77" i="17"/>
  <c r="OTD77" i="17"/>
  <c r="OTC77" i="17"/>
  <c r="OTB77" i="17"/>
  <c r="OTA77" i="17"/>
  <c r="OSZ77" i="17"/>
  <c r="OSY77" i="17"/>
  <c r="OSX77" i="17"/>
  <c r="OSW77" i="17"/>
  <c r="OSV77" i="17"/>
  <c r="OSU77" i="17"/>
  <c r="OST77" i="17"/>
  <c r="OSS77" i="17"/>
  <c r="OSR77" i="17"/>
  <c r="OSQ77" i="17"/>
  <c r="OSP77" i="17"/>
  <c r="OSO77" i="17"/>
  <c r="OSN77" i="17"/>
  <c r="OSM77" i="17"/>
  <c r="OSL77" i="17"/>
  <c r="OSK77" i="17"/>
  <c r="OSJ77" i="17"/>
  <c r="OSI77" i="17"/>
  <c r="OSH77" i="17"/>
  <c r="OSG77" i="17"/>
  <c r="OSF77" i="17"/>
  <c r="OSE77" i="17"/>
  <c r="OSD77" i="17"/>
  <c r="OSC77" i="17"/>
  <c r="OSB77" i="17"/>
  <c r="OSA77" i="17"/>
  <c r="ORZ77" i="17"/>
  <c r="ORY77" i="17"/>
  <c r="ORX77" i="17"/>
  <c r="ORW77" i="17"/>
  <c r="ORV77" i="17"/>
  <c r="ORU77" i="17"/>
  <c r="ORT77" i="17"/>
  <c r="ORS77" i="17"/>
  <c r="ORR77" i="17"/>
  <c r="ORQ77" i="17"/>
  <c r="ORP77" i="17"/>
  <c r="ORO77" i="17"/>
  <c r="ORN77" i="17"/>
  <c r="ORM77" i="17"/>
  <c r="ORL77" i="17"/>
  <c r="ORK77" i="17"/>
  <c r="ORJ77" i="17"/>
  <c r="ORI77" i="17"/>
  <c r="ORH77" i="17"/>
  <c r="ORG77" i="17"/>
  <c r="ORF77" i="17"/>
  <c r="ORE77" i="17"/>
  <c r="ORD77" i="17"/>
  <c r="ORC77" i="17"/>
  <c r="ORB77" i="17"/>
  <c r="ORA77" i="17"/>
  <c r="OQZ77" i="17"/>
  <c r="OQY77" i="17"/>
  <c r="OQX77" i="17"/>
  <c r="OQW77" i="17"/>
  <c r="OQV77" i="17"/>
  <c r="OQU77" i="17"/>
  <c r="OQT77" i="17"/>
  <c r="OQS77" i="17"/>
  <c r="OQR77" i="17"/>
  <c r="OQQ77" i="17"/>
  <c r="OQP77" i="17"/>
  <c r="OQO77" i="17"/>
  <c r="OQN77" i="17"/>
  <c r="OQM77" i="17"/>
  <c r="OQL77" i="17"/>
  <c r="OQK77" i="17"/>
  <c r="OQJ77" i="17"/>
  <c r="OQI77" i="17"/>
  <c r="OQH77" i="17"/>
  <c r="OQG77" i="17"/>
  <c r="OQF77" i="17"/>
  <c r="OQE77" i="17"/>
  <c r="OQD77" i="17"/>
  <c r="OQC77" i="17"/>
  <c r="OQB77" i="17"/>
  <c r="OQA77" i="17"/>
  <c r="OPZ77" i="17"/>
  <c r="OPY77" i="17"/>
  <c r="OPX77" i="17"/>
  <c r="OPW77" i="17"/>
  <c r="OPV77" i="17"/>
  <c r="OPU77" i="17"/>
  <c r="OPT77" i="17"/>
  <c r="OPS77" i="17"/>
  <c r="OPR77" i="17"/>
  <c r="OPQ77" i="17"/>
  <c r="OPP77" i="17"/>
  <c r="OPO77" i="17"/>
  <c r="OPN77" i="17"/>
  <c r="OPM77" i="17"/>
  <c r="OPL77" i="17"/>
  <c r="OPK77" i="17"/>
  <c r="OPJ77" i="17"/>
  <c r="OPI77" i="17"/>
  <c r="OPH77" i="17"/>
  <c r="OPG77" i="17"/>
  <c r="OPF77" i="17"/>
  <c r="OPE77" i="17"/>
  <c r="OPD77" i="17"/>
  <c r="OPC77" i="17"/>
  <c r="OPB77" i="17"/>
  <c r="OPA77" i="17"/>
  <c r="OOZ77" i="17"/>
  <c r="OOY77" i="17"/>
  <c r="OOX77" i="17"/>
  <c r="OOW77" i="17"/>
  <c r="OOV77" i="17"/>
  <c r="OOU77" i="17"/>
  <c r="OOT77" i="17"/>
  <c r="OOS77" i="17"/>
  <c r="OOR77" i="17"/>
  <c r="OOQ77" i="17"/>
  <c r="OOP77" i="17"/>
  <c r="OOO77" i="17"/>
  <c r="OON77" i="17"/>
  <c r="OOM77" i="17"/>
  <c r="OOL77" i="17"/>
  <c r="OOK77" i="17"/>
  <c r="OOJ77" i="17"/>
  <c r="OOI77" i="17"/>
  <c r="OOH77" i="17"/>
  <c r="OOG77" i="17"/>
  <c r="OOF77" i="17"/>
  <c r="OOE77" i="17"/>
  <c r="OOD77" i="17"/>
  <c r="OOC77" i="17"/>
  <c r="OOB77" i="17"/>
  <c r="OOA77" i="17"/>
  <c r="ONZ77" i="17"/>
  <c r="ONY77" i="17"/>
  <c r="ONX77" i="17"/>
  <c r="ONW77" i="17"/>
  <c r="ONV77" i="17"/>
  <c r="ONU77" i="17"/>
  <c r="ONT77" i="17"/>
  <c r="ONS77" i="17"/>
  <c r="ONR77" i="17"/>
  <c r="ONQ77" i="17"/>
  <c r="ONP77" i="17"/>
  <c r="ONO77" i="17"/>
  <c r="ONN77" i="17"/>
  <c r="ONM77" i="17"/>
  <c r="ONL77" i="17"/>
  <c r="ONK77" i="17"/>
  <c r="ONJ77" i="17"/>
  <c r="ONI77" i="17"/>
  <c r="ONH77" i="17"/>
  <c r="ONG77" i="17"/>
  <c r="ONF77" i="17"/>
  <c r="ONE77" i="17"/>
  <c r="OND77" i="17"/>
  <c r="ONC77" i="17"/>
  <c r="ONB77" i="17"/>
  <c r="ONA77" i="17"/>
  <c r="OMZ77" i="17"/>
  <c r="OMY77" i="17"/>
  <c r="OMX77" i="17"/>
  <c r="OMW77" i="17"/>
  <c r="OMV77" i="17"/>
  <c r="OMU77" i="17"/>
  <c r="OMT77" i="17"/>
  <c r="OMS77" i="17"/>
  <c r="OMR77" i="17"/>
  <c r="OMQ77" i="17"/>
  <c r="OMP77" i="17"/>
  <c r="OMO77" i="17"/>
  <c r="OMN77" i="17"/>
  <c r="OMM77" i="17"/>
  <c r="OML77" i="17"/>
  <c r="OMK77" i="17"/>
  <c r="OMJ77" i="17"/>
  <c r="OMI77" i="17"/>
  <c r="OMH77" i="17"/>
  <c r="OMG77" i="17"/>
  <c r="OMF77" i="17"/>
  <c r="OME77" i="17"/>
  <c r="OMD77" i="17"/>
  <c r="OMC77" i="17"/>
  <c r="OMB77" i="17"/>
  <c r="OMA77" i="17"/>
  <c r="OLZ77" i="17"/>
  <c r="OLY77" i="17"/>
  <c r="OLX77" i="17"/>
  <c r="OLW77" i="17"/>
  <c r="OLV77" i="17"/>
  <c r="OLU77" i="17"/>
  <c r="OLT77" i="17"/>
  <c r="OLS77" i="17"/>
  <c r="OLR77" i="17"/>
  <c r="OLQ77" i="17"/>
  <c r="OLP77" i="17"/>
  <c r="OLO77" i="17"/>
  <c r="OLN77" i="17"/>
  <c r="OLM77" i="17"/>
  <c r="OLL77" i="17"/>
  <c r="OLK77" i="17"/>
  <c r="OLJ77" i="17"/>
  <c r="OLI77" i="17"/>
  <c r="OLH77" i="17"/>
  <c r="OLG77" i="17"/>
  <c r="OLF77" i="17"/>
  <c r="OLE77" i="17"/>
  <c r="OLD77" i="17"/>
  <c r="OLC77" i="17"/>
  <c r="OLB77" i="17"/>
  <c r="OLA77" i="17"/>
  <c r="OKZ77" i="17"/>
  <c r="OKY77" i="17"/>
  <c r="OKX77" i="17"/>
  <c r="OKW77" i="17"/>
  <c r="OKV77" i="17"/>
  <c r="OKU77" i="17"/>
  <c r="OKT77" i="17"/>
  <c r="OKS77" i="17"/>
  <c r="OKR77" i="17"/>
  <c r="OKQ77" i="17"/>
  <c r="OKP77" i="17"/>
  <c r="OKO77" i="17"/>
  <c r="OKN77" i="17"/>
  <c r="OKM77" i="17"/>
  <c r="OKL77" i="17"/>
  <c r="OKK77" i="17"/>
  <c r="OKJ77" i="17"/>
  <c r="OKI77" i="17"/>
  <c r="OKH77" i="17"/>
  <c r="OKG77" i="17"/>
  <c r="OKF77" i="17"/>
  <c r="OKE77" i="17"/>
  <c r="OKD77" i="17"/>
  <c r="OKC77" i="17"/>
  <c r="OKB77" i="17"/>
  <c r="OKA77" i="17"/>
  <c r="OJZ77" i="17"/>
  <c r="OJY77" i="17"/>
  <c r="OJX77" i="17"/>
  <c r="OJW77" i="17"/>
  <c r="OJV77" i="17"/>
  <c r="OJU77" i="17"/>
  <c r="OJT77" i="17"/>
  <c r="OJS77" i="17"/>
  <c r="OJR77" i="17"/>
  <c r="OJQ77" i="17"/>
  <c r="OJP77" i="17"/>
  <c r="OJO77" i="17"/>
  <c r="OJN77" i="17"/>
  <c r="OJM77" i="17"/>
  <c r="OJL77" i="17"/>
  <c r="OJK77" i="17"/>
  <c r="OJJ77" i="17"/>
  <c r="OJI77" i="17"/>
  <c r="OJH77" i="17"/>
  <c r="OJG77" i="17"/>
  <c r="OJF77" i="17"/>
  <c r="OJE77" i="17"/>
  <c r="OJD77" i="17"/>
  <c r="OJC77" i="17"/>
  <c r="OJB77" i="17"/>
  <c r="OJA77" i="17"/>
  <c r="OIZ77" i="17"/>
  <c r="OIY77" i="17"/>
  <c r="OIX77" i="17"/>
  <c r="OIW77" i="17"/>
  <c r="OIV77" i="17"/>
  <c r="OIU77" i="17"/>
  <c r="OIT77" i="17"/>
  <c r="OIS77" i="17"/>
  <c r="OIR77" i="17"/>
  <c r="OIQ77" i="17"/>
  <c r="OIP77" i="17"/>
  <c r="OIO77" i="17"/>
  <c r="OIN77" i="17"/>
  <c r="OIM77" i="17"/>
  <c r="OIL77" i="17"/>
  <c r="OIK77" i="17"/>
  <c r="OIJ77" i="17"/>
  <c r="OII77" i="17"/>
  <c r="OIH77" i="17"/>
  <c r="OIG77" i="17"/>
  <c r="OIF77" i="17"/>
  <c r="OIE77" i="17"/>
  <c r="OID77" i="17"/>
  <c r="OIC77" i="17"/>
  <c r="OIB77" i="17"/>
  <c r="OIA77" i="17"/>
  <c r="OHZ77" i="17"/>
  <c r="OHY77" i="17"/>
  <c r="OHX77" i="17"/>
  <c r="OHW77" i="17"/>
  <c r="OHV77" i="17"/>
  <c r="OHU77" i="17"/>
  <c r="OHT77" i="17"/>
  <c r="OHS77" i="17"/>
  <c r="OHR77" i="17"/>
  <c r="OHQ77" i="17"/>
  <c r="OHP77" i="17"/>
  <c r="OHO77" i="17"/>
  <c r="OHN77" i="17"/>
  <c r="OHM77" i="17"/>
  <c r="OHL77" i="17"/>
  <c r="OHK77" i="17"/>
  <c r="OHJ77" i="17"/>
  <c r="OHI77" i="17"/>
  <c r="OHH77" i="17"/>
  <c r="OHG77" i="17"/>
  <c r="OHF77" i="17"/>
  <c r="OHE77" i="17"/>
  <c r="OHD77" i="17"/>
  <c r="OHC77" i="17"/>
  <c r="OHB77" i="17"/>
  <c r="OHA77" i="17"/>
  <c r="OGZ77" i="17"/>
  <c r="OGY77" i="17"/>
  <c r="OGX77" i="17"/>
  <c r="OGW77" i="17"/>
  <c r="OGV77" i="17"/>
  <c r="OGU77" i="17"/>
  <c r="OGT77" i="17"/>
  <c r="OGS77" i="17"/>
  <c r="OGR77" i="17"/>
  <c r="OGQ77" i="17"/>
  <c r="OGP77" i="17"/>
  <c r="OGO77" i="17"/>
  <c r="OGN77" i="17"/>
  <c r="OGM77" i="17"/>
  <c r="OGL77" i="17"/>
  <c r="OGK77" i="17"/>
  <c r="OGJ77" i="17"/>
  <c r="OGI77" i="17"/>
  <c r="OGH77" i="17"/>
  <c r="OGG77" i="17"/>
  <c r="OGF77" i="17"/>
  <c r="OGE77" i="17"/>
  <c r="OGD77" i="17"/>
  <c r="OGC77" i="17"/>
  <c r="OGB77" i="17"/>
  <c r="OGA77" i="17"/>
  <c r="OFZ77" i="17"/>
  <c r="OFY77" i="17"/>
  <c r="OFX77" i="17"/>
  <c r="OFW77" i="17"/>
  <c r="OFV77" i="17"/>
  <c r="OFU77" i="17"/>
  <c r="OFT77" i="17"/>
  <c r="OFS77" i="17"/>
  <c r="OFR77" i="17"/>
  <c r="OFQ77" i="17"/>
  <c r="OFP77" i="17"/>
  <c r="OFO77" i="17"/>
  <c r="OFN77" i="17"/>
  <c r="OFM77" i="17"/>
  <c r="OFL77" i="17"/>
  <c r="OFK77" i="17"/>
  <c r="OFJ77" i="17"/>
  <c r="OFI77" i="17"/>
  <c r="OFH77" i="17"/>
  <c r="OFG77" i="17"/>
  <c r="OFF77" i="17"/>
  <c r="OFE77" i="17"/>
  <c r="OFD77" i="17"/>
  <c r="OFC77" i="17"/>
  <c r="OFB77" i="17"/>
  <c r="OFA77" i="17"/>
  <c r="OEZ77" i="17"/>
  <c r="OEY77" i="17"/>
  <c r="OEX77" i="17"/>
  <c r="OEW77" i="17"/>
  <c r="OEV77" i="17"/>
  <c r="OEU77" i="17"/>
  <c r="OET77" i="17"/>
  <c r="OES77" i="17"/>
  <c r="OER77" i="17"/>
  <c r="OEQ77" i="17"/>
  <c r="OEP77" i="17"/>
  <c r="OEO77" i="17"/>
  <c r="OEN77" i="17"/>
  <c r="OEM77" i="17"/>
  <c r="OEL77" i="17"/>
  <c r="OEK77" i="17"/>
  <c r="OEJ77" i="17"/>
  <c r="OEI77" i="17"/>
  <c r="OEH77" i="17"/>
  <c r="OEG77" i="17"/>
  <c r="OEF77" i="17"/>
  <c r="OEE77" i="17"/>
  <c r="OED77" i="17"/>
  <c r="OEC77" i="17"/>
  <c r="OEB77" i="17"/>
  <c r="OEA77" i="17"/>
  <c r="ODZ77" i="17"/>
  <c r="ODY77" i="17"/>
  <c r="ODX77" i="17"/>
  <c r="ODW77" i="17"/>
  <c r="ODV77" i="17"/>
  <c r="ODU77" i="17"/>
  <c r="ODT77" i="17"/>
  <c r="ODS77" i="17"/>
  <c r="ODR77" i="17"/>
  <c r="ODQ77" i="17"/>
  <c r="ODP77" i="17"/>
  <c r="ODO77" i="17"/>
  <c r="ODN77" i="17"/>
  <c r="ODM77" i="17"/>
  <c r="ODL77" i="17"/>
  <c r="ODK77" i="17"/>
  <c r="ODJ77" i="17"/>
  <c r="ODI77" i="17"/>
  <c r="ODH77" i="17"/>
  <c r="ODG77" i="17"/>
  <c r="ODF77" i="17"/>
  <c r="ODE77" i="17"/>
  <c r="ODD77" i="17"/>
  <c r="ODC77" i="17"/>
  <c r="ODB77" i="17"/>
  <c r="ODA77" i="17"/>
  <c r="OCZ77" i="17"/>
  <c r="OCY77" i="17"/>
  <c r="OCX77" i="17"/>
  <c r="OCW77" i="17"/>
  <c r="OCV77" i="17"/>
  <c r="OCU77" i="17"/>
  <c r="OCT77" i="17"/>
  <c r="OCS77" i="17"/>
  <c r="OCR77" i="17"/>
  <c r="OCQ77" i="17"/>
  <c r="OCP77" i="17"/>
  <c r="OCO77" i="17"/>
  <c r="OCN77" i="17"/>
  <c r="OCM77" i="17"/>
  <c r="OCL77" i="17"/>
  <c r="OCK77" i="17"/>
  <c r="OCJ77" i="17"/>
  <c r="OCI77" i="17"/>
  <c r="OCH77" i="17"/>
  <c r="OCG77" i="17"/>
  <c r="OCF77" i="17"/>
  <c r="OCE77" i="17"/>
  <c r="OCD77" i="17"/>
  <c r="OCC77" i="17"/>
  <c r="OCB77" i="17"/>
  <c r="OCA77" i="17"/>
  <c r="OBZ77" i="17"/>
  <c r="OBY77" i="17"/>
  <c r="OBX77" i="17"/>
  <c r="OBW77" i="17"/>
  <c r="OBV77" i="17"/>
  <c r="OBU77" i="17"/>
  <c r="OBT77" i="17"/>
  <c r="OBS77" i="17"/>
  <c r="OBR77" i="17"/>
  <c r="OBQ77" i="17"/>
  <c r="OBP77" i="17"/>
  <c r="OBO77" i="17"/>
  <c r="OBN77" i="17"/>
  <c r="OBM77" i="17"/>
  <c r="OBL77" i="17"/>
  <c r="OBK77" i="17"/>
  <c r="OBJ77" i="17"/>
  <c r="OBI77" i="17"/>
  <c r="OBH77" i="17"/>
  <c r="OBG77" i="17"/>
  <c r="OBF77" i="17"/>
  <c r="OBE77" i="17"/>
  <c r="OBD77" i="17"/>
  <c r="OBC77" i="17"/>
  <c r="OBB77" i="17"/>
  <c r="OBA77" i="17"/>
  <c r="OAZ77" i="17"/>
  <c r="OAY77" i="17"/>
  <c r="OAX77" i="17"/>
  <c r="OAW77" i="17"/>
  <c r="OAV77" i="17"/>
  <c r="OAU77" i="17"/>
  <c r="OAT77" i="17"/>
  <c r="OAS77" i="17"/>
  <c r="OAR77" i="17"/>
  <c r="OAQ77" i="17"/>
  <c r="OAP77" i="17"/>
  <c r="OAO77" i="17"/>
  <c r="OAN77" i="17"/>
  <c r="OAM77" i="17"/>
  <c r="OAL77" i="17"/>
  <c r="OAK77" i="17"/>
  <c r="OAJ77" i="17"/>
  <c r="OAI77" i="17"/>
  <c r="OAH77" i="17"/>
  <c r="OAG77" i="17"/>
  <c r="OAF77" i="17"/>
  <c r="OAE77" i="17"/>
  <c r="OAD77" i="17"/>
  <c r="OAC77" i="17"/>
  <c r="OAB77" i="17"/>
  <c r="OAA77" i="17"/>
  <c r="NZZ77" i="17"/>
  <c r="NZY77" i="17"/>
  <c r="NZX77" i="17"/>
  <c r="NZW77" i="17"/>
  <c r="NZV77" i="17"/>
  <c r="NZU77" i="17"/>
  <c r="NZT77" i="17"/>
  <c r="NZS77" i="17"/>
  <c r="NZR77" i="17"/>
  <c r="NZQ77" i="17"/>
  <c r="NZP77" i="17"/>
  <c r="NZO77" i="17"/>
  <c r="NZN77" i="17"/>
  <c r="NZM77" i="17"/>
  <c r="NZL77" i="17"/>
  <c r="NZK77" i="17"/>
  <c r="NZJ77" i="17"/>
  <c r="NZI77" i="17"/>
  <c r="NZH77" i="17"/>
  <c r="NZG77" i="17"/>
  <c r="NZF77" i="17"/>
  <c r="NZE77" i="17"/>
  <c r="NZD77" i="17"/>
  <c r="NZC77" i="17"/>
  <c r="NZB77" i="17"/>
  <c r="NZA77" i="17"/>
  <c r="NYZ77" i="17"/>
  <c r="NYY77" i="17"/>
  <c r="NYX77" i="17"/>
  <c r="NYW77" i="17"/>
  <c r="NYV77" i="17"/>
  <c r="NYU77" i="17"/>
  <c r="NYT77" i="17"/>
  <c r="NYS77" i="17"/>
  <c r="NYR77" i="17"/>
  <c r="NYQ77" i="17"/>
  <c r="NYP77" i="17"/>
  <c r="NYO77" i="17"/>
  <c r="NYN77" i="17"/>
  <c r="NYM77" i="17"/>
  <c r="NYL77" i="17"/>
  <c r="NYK77" i="17"/>
  <c r="NYJ77" i="17"/>
  <c r="NYI77" i="17"/>
  <c r="NYH77" i="17"/>
  <c r="NYG77" i="17"/>
  <c r="NYF77" i="17"/>
  <c r="NYE77" i="17"/>
  <c r="NYD77" i="17"/>
  <c r="NYC77" i="17"/>
  <c r="NYB77" i="17"/>
  <c r="NYA77" i="17"/>
  <c r="NXZ77" i="17"/>
  <c r="NXY77" i="17"/>
  <c r="NXX77" i="17"/>
  <c r="NXW77" i="17"/>
  <c r="NXV77" i="17"/>
  <c r="NXU77" i="17"/>
  <c r="NXT77" i="17"/>
  <c r="NXS77" i="17"/>
  <c r="NXR77" i="17"/>
  <c r="NXQ77" i="17"/>
  <c r="NXP77" i="17"/>
  <c r="NXO77" i="17"/>
  <c r="NXN77" i="17"/>
  <c r="NXM77" i="17"/>
  <c r="NXL77" i="17"/>
  <c r="NXK77" i="17"/>
  <c r="NXJ77" i="17"/>
  <c r="NXI77" i="17"/>
  <c r="NXH77" i="17"/>
  <c r="NXG77" i="17"/>
  <c r="NXF77" i="17"/>
  <c r="NXE77" i="17"/>
  <c r="NXD77" i="17"/>
  <c r="NXC77" i="17"/>
  <c r="NXB77" i="17"/>
  <c r="NXA77" i="17"/>
  <c r="NWZ77" i="17"/>
  <c r="NWY77" i="17"/>
  <c r="NWX77" i="17"/>
  <c r="NWW77" i="17"/>
  <c r="NWV77" i="17"/>
  <c r="NWU77" i="17"/>
  <c r="NWT77" i="17"/>
  <c r="NWS77" i="17"/>
  <c r="NWR77" i="17"/>
  <c r="NWQ77" i="17"/>
  <c r="NWP77" i="17"/>
  <c r="NWO77" i="17"/>
  <c r="NWN77" i="17"/>
  <c r="NWM77" i="17"/>
  <c r="NWL77" i="17"/>
  <c r="NWK77" i="17"/>
  <c r="NWJ77" i="17"/>
  <c r="NWI77" i="17"/>
  <c r="NWH77" i="17"/>
  <c r="NWG77" i="17"/>
  <c r="NWF77" i="17"/>
  <c r="NWE77" i="17"/>
  <c r="NWD77" i="17"/>
  <c r="NWC77" i="17"/>
  <c r="NWB77" i="17"/>
  <c r="NWA77" i="17"/>
  <c r="NVZ77" i="17"/>
  <c r="NVY77" i="17"/>
  <c r="NVX77" i="17"/>
  <c r="NVW77" i="17"/>
  <c r="NVV77" i="17"/>
  <c r="NVU77" i="17"/>
  <c r="NVT77" i="17"/>
  <c r="NVS77" i="17"/>
  <c r="NVR77" i="17"/>
  <c r="NVQ77" i="17"/>
  <c r="NVP77" i="17"/>
  <c r="NVO77" i="17"/>
  <c r="NVN77" i="17"/>
  <c r="NVM77" i="17"/>
  <c r="NVL77" i="17"/>
  <c r="NVK77" i="17"/>
  <c r="NVJ77" i="17"/>
  <c r="NVI77" i="17"/>
  <c r="NVH77" i="17"/>
  <c r="NVG77" i="17"/>
  <c r="NVF77" i="17"/>
  <c r="NVE77" i="17"/>
  <c r="NVD77" i="17"/>
  <c r="NVC77" i="17"/>
  <c r="NVB77" i="17"/>
  <c r="NVA77" i="17"/>
  <c r="NUZ77" i="17"/>
  <c r="NUY77" i="17"/>
  <c r="NUX77" i="17"/>
  <c r="NUW77" i="17"/>
  <c r="NUV77" i="17"/>
  <c r="NUU77" i="17"/>
  <c r="NUT77" i="17"/>
  <c r="NUS77" i="17"/>
  <c r="NUR77" i="17"/>
  <c r="NUQ77" i="17"/>
  <c r="NUP77" i="17"/>
  <c r="NUO77" i="17"/>
  <c r="NUN77" i="17"/>
  <c r="NUM77" i="17"/>
  <c r="NUL77" i="17"/>
  <c r="NUK77" i="17"/>
  <c r="NUJ77" i="17"/>
  <c r="NUI77" i="17"/>
  <c r="NUH77" i="17"/>
  <c r="NUG77" i="17"/>
  <c r="NUF77" i="17"/>
  <c r="NUE77" i="17"/>
  <c r="NUD77" i="17"/>
  <c r="NUC77" i="17"/>
  <c r="NUB77" i="17"/>
  <c r="NUA77" i="17"/>
  <c r="NTZ77" i="17"/>
  <c r="NTY77" i="17"/>
  <c r="NTX77" i="17"/>
  <c r="NTW77" i="17"/>
  <c r="NTV77" i="17"/>
  <c r="NTU77" i="17"/>
  <c r="NTT77" i="17"/>
  <c r="NTS77" i="17"/>
  <c r="NTR77" i="17"/>
  <c r="NTQ77" i="17"/>
  <c r="NTP77" i="17"/>
  <c r="NTO77" i="17"/>
  <c r="NTN77" i="17"/>
  <c r="NTM77" i="17"/>
  <c r="NTL77" i="17"/>
  <c r="NTK77" i="17"/>
  <c r="NTJ77" i="17"/>
  <c r="NTI77" i="17"/>
  <c r="NTH77" i="17"/>
  <c r="NTG77" i="17"/>
  <c r="NTF77" i="17"/>
  <c r="NTE77" i="17"/>
  <c r="NTD77" i="17"/>
  <c r="NTC77" i="17"/>
  <c r="NTB77" i="17"/>
  <c r="NTA77" i="17"/>
  <c r="NSZ77" i="17"/>
  <c r="NSY77" i="17"/>
  <c r="NSX77" i="17"/>
  <c r="NSW77" i="17"/>
  <c r="NSV77" i="17"/>
  <c r="NSU77" i="17"/>
  <c r="NST77" i="17"/>
  <c r="NSS77" i="17"/>
  <c r="NSR77" i="17"/>
  <c r="NSQ77" i="17"/>
  <c r="NSP77" i="17"/>
  <c r="NSO77" i="17"/>
  <c r="NSN77" i="17"/>
  <c r="NSM77" i="17"/>
  <c r="NSL77" i="17"/>
  <c r="NSK77" i="17"/>
  <c r="NSJ77" i="17"/>
  <c r="NSI77" i="17"/>
  <c r="NSH77" i="17"/>
  <c r="NSG77" i="17"/>
  <c r="NSF77" i="17"/>
  <c r="NSE77" i="17"/>
  <c r="NSD77" i="17"/>
  <c r="NSC77" i="17"/>
  <c r="NSB77" i="17"/>
  <c r="NSA77" i="17"/>
  <c r="NRZ77" i="17"/>
  <c r="NRY77" i="17"/>
  <c r="NRX77" i="17"/>
  <c r="NRW77" i="17"/>
  <c r="NRV77" i="17"/>
  <c r="NRU77" i="17"/>
  <c r="NRT77" i="17"/>
  <c r="NRS77" i="17"/>
  <c r="NRR77" i="17"/>
  <c r="NRQ77" i="17"/>
  <c r="NRP77" i="17"/>
  <c r="NRO77" i="17"/>
  <c r="NRN77" i="17"/>
  <c r="NRM77" i="17"/>
  <c r="NRL77" i="17"/>
  <c r="NRK77" i="17"/>
  <c r="NRJ77" i="17"/>
  <c r="NRI77" i="17"/>
  <c r="NRH77" i="17"/>
  <c r="NRG77" i="17"/>
  <c r="NRF77" i="17"/>
  <c r="NRE77" i="17"/>
  <c r="NRD77" i="17"/>
  <c r="NRC77" i="17"/>
  <c r="NRB77" i="17"/>
  <c r="NRA77" i="17"/>
  <c r="NQZ77" i="17"/>
  <c r="NQY77" i="17"/>
  <c r="NQX77" i="17"/>
  <c r="NQW77" i="17"/>
  <c r="NQV77" i="17"/>
  <c r="NQU77" i="17"/>
  <c r="NQT77" i="17"/>
  <c r="NQS77" i="17"/>
  <c r="NQR77" i="17"/>
  <c r="NQQ77" i="17"/>
  <c r="NQP77" i="17"/>
  <c r="NQO77" i="17"/>
  <c r="NQN77" i="17"/>
  <c r="NQM77" i="17"/>
  <c r="NQL77" i="17"/>
  <c r="NQK77" i="17"/>
  <c r="NQJ77" i="17"/>
  <c r="NQI77" i="17"/>
  <c r="NQH77" i="17"/>
  <c r="NQG77" i="17"/>
  <c r="NQF77" i="17"/>
  <c r="NQE77" i="17"/>
  <c r="NQD77" i="17"/>
  <c r="NQC77" i="17"/>
  <c r="NQB77" i="17"/>
  <c r="NQA77" i="17"/>
  <c r="NPZ77" i="17"/>
  <c r="NPY77" i="17"/>
  <c r="NPX77" i="17"/>
  <c r="NPW77" i="17"/>
  <c r="NPV77" i="17"/>
  <c r="NPU77" i="17"/>
  <c r="NPT77" i="17"/>
  <c r="NPS77" i="17"/>
  <c r="NPR77" i="17"/>
  <c r="NPQ77" i="17"/>
  <c r="NPP77" i="17"/>
  <c r="NPO77" i="17"/>
  <c r="NPN77" i="17"/>
  <c r="NPM77" i="17"/>
  <c r="NPL77" i="17"/>
  <c r="NPK77" i="17"/>
  <c r="NPJ77" i="17"/>
  <c r="NPI77" i="17"/>
  <c r="NPH77" i="17"/>
  <c r="NPG77" i="17"/>
  <c r="NPF77" i="17"/>
  <c r="NPE77" i="17"/>
  <c r="NPD77" i="17"/>
  <c r="NPC77" i="17"/>
  <c r="NPB77" i="17"/>
  <c r="NPA77" i="17"/>
  <c r="NOZ77" i="17"/>
  <c r="NOY77" i="17"/>
  <c r="NOX77" i="17"/>
  <c r="NOW77" i="17"/>
  <c r="NOV77" i="17"/>
  <c r="NOU77" i="17"/>
  <c r="NOT77" i="17"/>
  <c r="NOS77" i="17"/>
  <c r="NOR77" i="17"/>
  <c r="NOQ77" i="17"/>
  <c r="NOP77" i="17"/>
  <c r="NOO77" i="17"/>
  <c r="NON77" i="17"/>
  <c r="NOM77" i="17"/>
  <c r="NOL77" i="17"/>
  <c r="NOK77" i="17"/>
  <c r="NOJ77" i="17"/>
  <c r="NOI77" i="17"/>
  <c r="NOH77" i="17"/>
  <c r="NOG77" i="17"/>
  <c r="NOF77" i="17"/>
  <c r="NOE77" i="17"/>
  <c r="NOD77" i="17"/>
  <c r="NOC77" i="17"/>
  <c r="NOB77" i="17"/>
  <c r="NOA77" i="17"/>
  <c r="NNZ77" i="17"/>
  <c r="NNY77" i="17"/>
  <c r="NNX77" i="17"/>
  <c r="NNW77" i="17"/>
  <c r="NNV77" i="17"/>
  <c r="NNU77" i="17"/>
  <c r="NNT77" i="17"/>
  <c r="NNS77" i="17"/>
  <c r="NNR77" i="17"/>
  <c r="NNQ77" i="17"/>
  <c r="NNP77" i="17"/>
  <c r="NNO77" i="17"/>
  <c r="NNN77" i="17"/>
  <c r="NNM77" i="17"/>
  <c r="NNL77" i="17"/>
  <c r="NNK77" i="17"/>
  <c r="NNJ77" i="17"/>
  <c r="NNI77" i="17"/>
  <c r="NNH77" i="17"/>
  <c r="NNG77" i="17"/>
  <c r="NNF77" i="17"/>
  <c r="NNE77" i="17"/>
  <c r="NND77" i="17"/>
  <c r="NNC77" i="17"/>
  <c r="NNB77" i="17"/>
  <c r="NNA77" i="17"/>
  <c r="NMZ77" i="17"/>
  <c r="NMY77" i="17"/>
  <c r="NMX77" i="17"/>
  <c r="NMW77" i="17"/>
  <c r="NMV77" i="17"/>
  <c r="NMU77" i="17"/>
  <c r="NMT77" i="17"/>
  <c r="NMS77" i="17"/>
  <c r="NMR77" i="17"/>
  <c r="NMQ77" i="17"/>
  <c r="NMP77" i="17"/>
  <c r="NMO77" i="17"/>
  <c r="NMN77" i="17"/>
  <c r="NMM77" i="17"/>
  <c r="NML77" i="17"/>
  <c r="NMK77" i="17"/>
  <c r="NMJ77" i="17"/>
  <c r="NMI77" i="17"/>
  <c r="NMH77" i="17"/>
  <c r="NMG77" i="17"/>
  <c r="NMF77" i="17"/>
  <c r="NME77" i="17"/>
  <c r="NMD77" i="17"/>
  <c r="NMC77" i="17"/>
  <c r="NMB77" i="17"/>
  <c r="NMA77" i="17"/>
  <c r="NLZ77" i="17"/>
  <c r="NLY77" i="17"/>
  <c r="NLX77" i="17"/>
  <c r="NLW77" i="17"/>
  <c r="NLV77" i="17"/>
  <c r="NLU77" i="17"/>
  <c r="NLT77" i="17"/>
  <c r="NLS77" i="17"/>
  <c r="NLR77" i="17"/>
  <c r="NLQ77" i="17"/>
  <c r="NLP77" i="17"/>
  <c r="NLO77" i="17"/>
  <c r="NLN77" i="17"/>
  <c r="NLM77" i="17"/>
  <c r="NLL77" i="17"/>
  <c r="NLK77" i="17"/>
  <c r="NLJ77" i="17"/>
  <c r="NLI77" i="17"/>
  <c r="NLH77" i="17"/>
  <c r="NLG77" i="17"/>
  <c r="NLF77" i="17"/>
  <c r="NLE77" i="17"/>
  <c r="NLD77" i="17"/>
  <c r="NLC77" i="17"/>
  <c r="NLB77" i="17"/>
  <c r="NLA77" i="17"/>
  <c r="NKZ77" i="17"/>
  <c r="NKY77" i="17"/>
  <c r="NKX77" i="17"/>
  <c r="NKW77" i="17"/>
  <c r="NKV77" i="17"/>
  <c r="NKU77" i="17"/>
  <c r="NKT77" i="17"/>
  <c r="NKS77" i="17"/>
  <c r="NKR77" i="17"/>
  <c r="NKQ77" i="17"/>
  <c r="NKP77" i="17"/>
  <c r="NKO77" i="17"/>
  <c r="NKN77" i="17"/>
  <c r="NKM77" i="17"/>
  <c r="NKL77" i="17"/>
  <c r="NKK77" i="17"/>
  <c r="NKJ77" i="17"/>
  <c r="NKI77" i="17"/>
  <c r="NKH77" i="17"/>
  <c r="NKG77" i="17"/>
  <c r="NKF77" i="17"/>
  <c r="NKE77" i="17"/>
  <c r="NKD77" i="17"/>
  <c r="NKC77" i="17"/>
  <c r="NKB77" i="17"/>
  <c r="NKA77" i="17"/>
  <c r="NJZ77" i="17"/>
  <c r="NJY77" i="17"/>
  <c r="NJX77" i="17"/>
  <c r="NJW77" i="17"/>
  <c r="NJV77" i="17"/>
  <c r="NJU77" i="17"/>
  <c r="NJT77" i="17"/>
  <c r="NJS77" i="17"/>
  <c r="NJR77" i="17"/>
  <c r="NJQ77" i="17"/>
  <c r="NJP77" i="17"/>
  <c r="NJO77" i="17"/>
  <c r="NJN77" i="17"/>
  <c r="NJM77" i="17"/>
  <c r="NJL77" i="17"/>
  <c r="NJK77" i="17"/>
  <c r="NJJ77" i="17"/>
  <c r="NJI77" i="17"/>
  <c r="NJH77" i="17"/>
  <c r="NJG77" i="17"/>
  <c r="NJF77" i="17"/>
  <c r="NJE77" i="17"/>
  <c r="NJD77" i="17"/>
  <c r="NJC77" i="17"/>
  <c r="NJB77" i="17"/>
  <c r="NJA77" i="17"/>
  <c r="NIZ77" i="17"/>
  <c r="NIY77" i="17"/>
  <c r="NIX77" i="17"/>
  <c r="NIW77" i="17"/>
  <c r="NIV77" i="17"/>
  <c r="NIU77" i="17"/>
  <c r="NIT77" i="17"/>
  <c r="NIS77" i="17"/>
  <c r="NIR77" i="17"/>
  <c r="NIQ77" i="17"/>
  <c r="NIP77" i="17"/>
  <c r="NIO77" i="17"/>
  <c r="NIN77" i="17"/>
  <c r="NIM77" i="17"/>
  <c r="NIL77" i="17"/>
  <c r="NIK77" i="17"/>
  <c r="NIJ77" i="17"/>
  <c r="NII77" i="17"/>
  <c r="NIH77" i="17"/>
  <c r="NIG77" i="17"/>
  <c r="NIF77" i="17"/>
  <c r="NIE77" i="17"/>
  <c r="NID77" i="17"/>
  <c r="NIC77" i="17"/>
  <c r="NIB77" i="17"/>
  <c r="NIA77" i="17"/>
  <c r="NHZ77" i="17"/>
  <c r="NHY77" i="17"/>
  <c r="NHX77" i="17"/>
  <c r="NHW77" i="17"/>
  <c r="NHV77" i="17"/>
  <c r="NHU77" i="17"/>
  <c r="NHT77" i="17"/>
  <c r="NHS77" i="17"/>
  <c r="NHR77" i="17"/>
  <c r="NHQ77" i="17"/>
  <c r="NHP77" i="17"/>
  <c r="NHO77" i="17"/>
  <c r="NHN77" i="17"/>
  <c r="NHM77" i="17"/>
  <c r="NHL77" i="17"/>
  <c r="NHK77" i="17"/>
  <c r="NHJ77" i="17"/>
  <c r="NHI77" i="17"/>
  <c r="NHH77" i="17"/>
  <c r="NHG77" i="17"/>
  <c r="NHF77" i="17"/>
  <c r="NHE77" i="17"/>
  <c r="NHD77" i="17"/>
  <c r="NHC77" i="17"/>
  <c r="NHB77" i="17"/>
  <c r="NHA77" i="17"/>
  <c r="NGZ77" i="17"/>
  <c r="NGY77" i="17"/>
  <c r="NGX77" i="17"/>
  <c r="NGW77" i="17"/>
  <c r="NGV77" i="17"/>
  <c r="NGU77" i="17"/>
  <c r="NGT77" i="17"/>
  <c r="NGS77" i="17"/>
  <c r="NGR77" i="17"/>
  <c r="NGQ77" i="17"/>
  <c r="NGP77" i="17"/>
  <c r="NGO77" i="17"/>
  <c r="NGN77" i="17"/>
  <c r="NGM77" i="17"/>
  <c r="NGL77" i="17"/>
  <c r="NGK77" i="17"/>
  <c r="NGJ77" i="17"/>
  <c r="NGI77" i="17"/>
  <c r="NGH77" i="17"/>
  <c r="NGG77" i="17"/>
  <c r="NGF77" i="17"/>
  <c r="NGE77" i="17"/>
  <c r="NGD77" i="17"/>
  <c r="NGC77" i="17"/>
  <c r="NGB77" i="17"/>
  <c r="NGA77" i="17"/>
  <c r="NFZ77" i="17"/>
  <c r="NFY77" i="17"/>
  <c r="NFX77" i="17"/>
  <c r="NFW77" i="17"/>
  <c r="NFV77" i="17"/>
  <c r="NFU77" i="17"/>
  <c r="NFT77" i="17"/>
  <c r="NFS77" i="17"/>
  <c r="NFR77" i="17"/>
  <c r="NFQ77" i="17"/>
  <c r="NFP77" i="17"/>
  <c r="NFO77" i="17"/>
  <c r="NFN77" i="17"/>
  <c r="NFM77" i="17"/>
  <c r="NFL77" i="17"/>
  <c r="NFK77" i="17"/>
  <c r="NFJ77" i="17"/>
  <c r="NFI77" i="17"/>
  <c r="NFH77" i="17"/>
  <c r="NFG77" i="17"/>
  <c r="NFF77" i="17"/>
  <c r="NFE77" i="17"/>
  <c r="NFD77" i="17"/>
  <c r="NFC77" i="17"/>
  <c r="NFB77" i="17"/>
  <c r="NFA77" i="17"/>
  <c r="NEZ77" i="17"/>
  <c r="NEY77" i="17"/>
  <c r="NEX77" i="17"/>
  <c r="NEW77" i="17"/>
  <c r="NEV77" i="17"/>
  <c r="NEU77" i="17"/>
  <c r="NET77" i="17"/>
  <c r="NES77" i="17"/>
  <c r="NER77" i="17"/>
  <c r="NEQ77" i="17"/>
  <c r="NEP77" i="17"/>
  <c r="NEO77" i="17"/>
  <c r="NEN77" i="17"/>
  <c r="NEM77" i="17"/>
  <c r="NEL77" i="17"/>
  <c r="NEK77" i="17"/>
  <c r="NEJ77" i="17"/>
  <c r="NEI77" i="17"/>
  <c r="NEH77" i="17"/>
  <c r="NEG77" i="17"/>
  <c r="NEF77" i="17"/>
  <c r="NEE77" i="17"/>
  <c r="NED77" i="17"/>
  <c r="NEC77" i="17"/>
  <c r="NEB77" i="17"/>
  <c r="NEA77" i="17"/>
  <c r="NDZ77" i="17"/>
  <c r="NDY77" i="17"/>
  <c r="NDX77" i="17"/>
  <c r="NDW77" i="17"/>
  <c r="NDV77" i="17"/>
  <c r="NDU77" i="17"/>
  <c r="NDT77" i="17"/>
  <c r="NDS77" i="17"/>
  <c r="NDR77" i="17"/>
  <c r="NDQ77" i="17"/>
  <c r="NDP77" i="17"/>
  <c r="NDO77" i="17"/>
  <c r="NDN77" i="17"/>
  <c r="NDM77" i="17"/>
  <c r="NDL77" i="17"/>
  <c r="NDK77" i="17"/>
  <c r="NDJ77" i="17"/>
  <c r="NDI77" i="17"/>
  <c r="NDH77" i="17"/>
  <c r="NDG77" i="17"/>
  <c r="NDF77" i="17"/>
  <c r="NDE77" i="17"/>
  <c r="NDD77" i="17"/>
  <c r="NDC77" i="17"/>
  <c r="NDB77" i="17"/>
  <c r="NDA77" i="17"/>
  <c r="NCZ77" i="17"/>
  <c r="NCY77" i="17"/>
  <c r="NCX77" i="17"/>
  <c r="NCW77" i="17"/>
  <c r="NCV77" i="17"/>
  <c r="NCU77" i="17"/>
  <c r="NCT77" i="17"/>
  <c r="NCS77" i="17"/>
  <c r="NCR77" i="17"/>
  <c r="NCQ77" i="17"/>
  <c r="NCP77" i="17"/>
  <c r="NCO77" i="17"/>
  <c r="NCN77" i="17"/>
  <c r="NCM77" i="17"/>
  <c r="NCL77" i="17"/>
  <c r="NCK77" i="17"/>
  <c r="NCJ77" i="17"/>
  <c r="NCI77" i="17"/>
  <c r="NCH77" i="17"/>
  <c r="NCG77" i="17"/>
  <c r="NCF77" i="17"/>
  <c r="NCE77" i="17"/>
  <c r="NCD77" i="17"/>
  <c r="NCC77" i="17"/>
  <c r="NCB77" i="17"/>
  <c r="NCA77" i="17"/>
  <c r="NBZ77" i="17"/>
  <c r="NBY77" i="17"/>
  <c r="NBX77" i="17"/>
  <c r="NBW77" i="17"/>
  <c r="NBV77" i="17"/>
  <c r="NBU77" i="17"/>
  <c r="NBT77" i="17"/>
  <c r="NBS77" i="17"/>
  <c r="NBR77" i="17"/>
  <c r="NBQ77" i="17"/>
  <c r="NBP77" i="17"/>
  <c r="NBO77" i="17"/>
  <c r="NBN77" i="17"/>
  <c r="NBM77" i="17"/>
  <c r="NBL77" i="17"/>
  <c r="NBK77" i="17"/>
  <c r="NBJ77" i="17"/>
  <c r="NBI77" i="17"/>
  <c r="NBH77" i="17"/>
  <c r="NBG77" i="17"/>
  <c r="NBF77" i="17"/>
  <c r="NBE77" i="17"/>
  <c r="NBD77" i="17"/>
  <c r="NBC77" i="17"/>
  <c r="NBB77" i="17"/>
  <c r="NBA77" i="17"/>
  <c r="NAZ77" i="17"/>
  <c r="NAY77" i="17"/>
  <c r="NAX77" i="17"/>
  <c r="NAW77" i="17"/>
  <c r="NAV77" i="17"/>
  <c r="NAU77" i="17"/>
  <c r="NAT77" i="17"/>
  <c r="NAS77" i="17"/>
  <c r="NAR77" i="17"/>
  <c r="NAQ77" i="17"/>
  <c r="NAP77" i="17"/>
  <c r="NAO77" i="17"/>
  <c r="NAN77" i="17"/>
  <c r="NAM77" i="17"/>
  <c r="NAL77" i="17"/>
  <c r="NAK77" i="17"/>
  <c r="NAJ77" i="17"/>
  <c r="NAI77" i="17"/>
  <c r="NAH77" i="17"/>
  <c r="NAG77" i="17"/>
  <c r="NAF77" i="17"/>
  <c r="NAE77" i="17"/>
  <c r="NAD77" i="17"/>
  <c r="NAC77" i="17"/>
  <c r="NAB77" i="17"/>
  <c r="NAA77" i="17"/>
  <c r="MZZ77" i="17"/>
  <c r="MZY77" i="17"/>
  <c r="MZX77" i="17"/>
  <c r="MZW77" i="17"/>
  <c r="MZV77" i="17"/>
  <c r="MZU77" i="17"/>
  <c r="MZT77" i="17"/>
  <c r="MZS77" i="17"/>
  <c r="MZR77" i="17"/>
  <c r="MZQ77" i="17"/>
  <c r="MZP77" i="17"/>
  <c r="MZO77" i="17"/>
  <c r="MZN77" i="17"/>
  <c r="MZM77" i="17"/>
  <c r="MZL77" i="17"/>
  <c r="MZK77" i="17"/>
  <c r="MZJ77" i="17"/>
  <c r="MZI77" i="17"/>
  <c r="MZH77" i="17"/>
  <c r="MZG77" i="17"/>
  <c r="MZF77" i="17"/>
  <c r="MZE77" i="17"/>
  <c r="MZD77" i="17"/>
  <c r="MZC77" i="17"/>
  <c r="MZB77" i="17"/>
  <c r="MZA77" i="17"/>
  <c r="MYZ77" i="17"/>
  <c r="MYY77" i="17"/>
  <c r="MYX77" i="17"/>
  <c r="MYW77" i="17"/>
  <c r="MYV77" i="17"/>
  <c r="MYU77" i="17"/>
  <c r="MYT77" i="17"/>
  <c r="MYS77" i="17"/>
  <c r="MYR77" i="17"/>
  <c r="MYQ77" i="17"/>
  <c r="MYP77" i="17"/>
  <c r="MYO77" i="17"/>
  <c r="MYN77" i="17"/>
  <c r="MYM77" i="17"/>
  <c r="MYL77" i="17"/>
  <c r="MYK77" i="17"/>
  <c r="MYJ77" i="17"/>
  <c r="MYI77" i="17"/>
  <c r="MYH77" i="17"/>
  <c r="MYG77" i="17"/>
  <c r="MYF77" i="17"/>
  <c r="MYE77" i="17"/>
  <c r="MYD77" i="17"/>
  <c r="MYC77" i="17"/>
  <c r="MYB77" i="17"/>
  <c r="MYA77" i="17"/>
  <c r="MXZ77" i="17"/>
  <c r="MXY77" i="17"/>
  <c r="MXX77" i="17"/>
  <c r="MXW77" i="17"/>
  <c r="MXV77" i="17"/>
  <c r="MXU77" i="17"/>
  <c r="MXT77" i="17"/>
  <c r="MXS77" i="17"/>
  <c r="MXR77" i="17"/>
  <c r="MXQ77" i="17"/>
  <c r="MXP77" i="17"/>
  <c r="MXO77" i="17"/>
  <c r="MXN77" i="17"/>
  <c r="MXM77" i="17"/>
  <c r="MXL77" i="17"/>
  <c r="MXK77" i="17"/>
  <c r="MXJ77" i="17"/>
  <c r="MXI77" i="17"/>
  <c r="MXH77" i="17"/>
  <c r="MXG77" i="17"/>
  <c r="MXF77" i="17"/>
  <c r="MXE77" i="17"/>
  <c r="MXD77" i="17"/>
  <c r="MXC77" i="17"/>
  <c r="MXB77" i="17"/>
  <c r="MXA77" i="17"/>
  <c r="MWZ77" i="17"/>
  <c r="MWY77" i="17"/>
  <c r="MWX77" i="17"/>
  <c r="MWW77" i="17"/>
  <c r="MWV77" i="17"/>
  <c r="MWU77" i="17"/>
  <c r="MWT77" i="17"/>
  <c r="MWS77" i="17"/>
  <c r="MWR77" i="17"/>
  <c r="MWQ77" i="17"/>
  <c r="MWP77" i="17"/>
  <c r="MWO77" i="17"/>
  <c r="MWN77" i="17"/>
  <c r="MWM77" i="17"/>
  <c r="MWL77" i="17"/>
  <c r="MWK77" i="17"/>
  <c r="MWJ77" i="17"/>
  <c r="MWI77" i="17"/>
  <c r="MWH77" i="17"/>
  <c r="MWG77" i="17"/>
  <c r="MWF77" i="17"/>
  <c r="MWE77" i="17"/>
  <c r="MWD77" i="17"/>
  <c r="MWC77" i="17"/>
  <c r="MWB77" i="17"/>
  <c r="MWA77" i="17"/>
  <c r="MVZ77" i="17"/>
  <c r="MVY77" i="17"/>
  <c r="MVX77" i="17"/>
  <c r="MVW77" i="17"/>
  <c r="MVV77" i="17"/>
  <c r="MVU77" i="17"/>
  <c r="MVT77" i="17"/>
  <c r="MVS77" i="17"/>
  <c r="MVR77" i="17"/>
  <c r="MVQ77" i="17"/>
  <c r="MVP77" i="17"/>
  <c r="MVO77" i="17"/>
  <c r="MVN77" i="17"/>
  <c r="MVM77" i="17"/>
  <c r="MVL77" i="17"/>
  <c r="MVK77" i="17"/>
  <c r="MVJ77" i="17"/>
  <c r="MVI77" i="17"/>
  <c r="MVH77" i="17"/>
  <c r="MVG77" i="17"/>
  <c r="MVF77" i="17"/>
  <c r="MVE77" i="17"/>
  <c r="MVD77" i="17"/>
  <c r="MVC77" i="17"/>
  <c r="MVB77" i="17"/>
  <c r="MVA77" i="17"/>
  <c r="MUZ77" i="17"/>
  <c r="MUY77" i="17"/>
  <c r="MUX77" i="17"/>
  <c r="MUW77" i="17"/>
  <c r="MUV77" i="17"/>
  <c r="MUU77" i="17"/>
  <c r="MUT77" i="17"/>
  <c r="MUS77" i="17"/>
  <c r="MUR77" i="17"/>
  <c r="MUQ77" i="17"/>
  <c r="MUP77" i="17"/>
  <c r="MUO77" i="17"/>
  <c r="MUN77" i="17"/>
  <c r="MUM77" i="17"/>
  <c r="MUL77" i="17"/>
  <c r="MUK77" i="17"/>
  <c r="MUJ77" i="17"/>
  <c r="MUI77" i="17"/>
  <c r="MUH77" i="17"/>
  <c r="MUG77" i="17"/>
  <c r="MUF77" i="17"/>
  <c r="MUE77" i="17"/>
  <c r="MUD77" i="17"/>
  <c r="MUC77" i="17"/>
  <c r="MUB77" i="17"/>
  <c r="MUA77" i="17"/>
  <c r="MTZ77" i="17"/>
  <c r="MTY77" i="17"/>
  <c r="MTX77" i="17"/>
  <c r="MTW77" i="17"/>
  <c r="MTV77" i="17"/>
  <c r="MTU77" i="17"/>
  <c r="MTT77" i="17"/>
  <c r="MTS77" i="17"/>
  <c r="MTR77" i="17"/>
  <c r="MTQ77" i="17"/>
  <c r="MTP77" i="17"/>
  <c r="MTO77" i="17"/>
  <c r="MTN77" i="17"/>
  <c r="MTM77" i="17"/>
  <c r="MTL77" i="17"/>
  <c r="MTK77" i="17"/>
  <c r="MTJ77" i="17"/>
  <c r="MTI77" i="17"/>
  <c r="MTH77" i="17"/>
  <c r="MTG77" i="17"/>
  <c r="MTF77" i="17"/>
  <c r="MTE77" i="17"/>
  <c r="MTD77" i="17"/>
  <c r="MTC77" i="17"/>
  <c r="MTB77" i="17"/>
  <c r="MTA77" i="17"/>
  <c r="MSZ77" i="17"/>
  <c r="MSY77" i="17"/>
  <c r="MSX77" i="17"/>
  <c r="MSW77" i="17"/>
  <c r="MSV77" i="17"/>
  <c r="MSU77" i="17"/>
  <c r="MST77" i="17"/>
  <c r="MSS77" i="17"/>
  <c r="MSR77" i="17"/>
  <c r="MSQ77" i="17"/>
  <c r="MSP77" i="17"/>
  <c r="MSO77" i="17"/>
  <c r="MSN77" i="17"/>
  <c r="MSM77" i="17"/>
  <c r="MSL77" i="17"/>
  <c r="MSK77" i="17"/>
  <c r="MSJ77" i="17"/>
  <c r="MSI77" i="17"/>
  <c r="MSH77" i="17"/>
  <c r="MSG77" i="17"/>
  <c r="MSF77" i="17"/>
  <c r="MSE77" i="17"/>
  <c r="MSD77" i="17"/>
  <c r="MSC77" i="17"/>
  <c r="MSB77" i="17"/>
  <c r="MSA77" i="17"/>
  <c r="MRZ77" i="17"/>
  <c r="MRY77" i="17"/>
  <c r="MRX77" i="17"/>
  <c r="MRW77" i="17"/>
  <c r="MRV77" i="17"/>
  <c r="MRU77" i="17"/>
  <c r="MRT77" i="17"/>
  <c r="MRS77" i="17"/>
  <c r="MRR77" i="17"/>
  <c r="MRQ77" i="17"/>
  <c r="MRP77" i="17"/>
  <c r="MRO77" i="17"/>
  <c r="MRN77" i="17"/>
  <c r="MRM77" i="17"/>
  <c r="MRL77" i="17"/>
  <c r="MRK77" i="17"/>
  <c r="MRJ77" i="17"/>
  <c r="MRI77" i="17"/>
  <c r="MRH77" i="17"/>
  <c r="MRG77" i="17"/>
  <c r="MRF77" i="17"/>
  <c r="MRE77" i="17"/>
  <c r="MRD77" i="17"/>
  <c r="MRC77" i="17"/>
  <c r="MRB77" i="17"/>
  <c r="MRA77" i="17"/>
  <c r="MQZ77" i="17"/>
  <c r="MQY77" i="17"/>
  <c r="MQX77" i="17"/>
  <c r="MQW77" i="17"/>
  <c r="MQV77" i="17"/>
  <c r="MQU77" i="17"/>
  <c r="MQT77" i="17"/>
  <c r="MQS77" i="17"/>
  <c r="MQR77" i="17"/>
  <c r="MQQ77" i="17"/>
  <c r="MQP77" i="17"/>
  <c r="MQO77" i="17"/>
  <c r="MQN77" i="17"/>
  <c r="MQM77" i="17"/>
  <c r="MQL77" i="17"/>
  <c r="MQK77" i="17"/>
  <c r="MQJ77" i="17"/>
  <c r="MQI77" i="17"/>
  <c r="MQH77" i="17"/>
  <c r="MQG77" i="17"/>
  <c r="MQF77" i="17"/>
  <c r="MQE77" i="17"/>
  <c r="MQD77" i="17"/>
  <c r="MQC77" i="17"/>
  <c r="MQB77" i="17"/>
  <c r="MQA77" i="17"/>
  <c r="MPZ77" i="17"/>
  <c r="MPY77" i="17"/>
  <c r="MPX77" i="17"/>
  <c r="MPW77" i="17"/>
  <c r="MPV77" i="17"/>
  <c r="MPU77" i="17"/>
  <c r="MPT77" i="17"/>
  <c r="MPS77" i="17"/>
  <c r="MPR77" i="17"/>
  <c r="MPQ77" i="17"/>
  <c r="MPP77" i="17"/>
  <c r="MPO77" i="17"/>
  <c r="MPN77" i="17"/>
  <c r="MPM77" i="17"/>
  <c r="MPL77" i="17"/>
  <c r="MPK77" i="17"/>
  <c r="MPJ77" i="17"/>
  <c r="MPI77" i="17"/>
  <c r="MPH77" i="17"/>
  <c r="MPG77" i="17"/>
  <c r="MPF77" i="17"/>
  <c r="MPE77" i="17"/>
  <c r="MPD77" i="17"/>
  <c r="MPC77" i="17"/>
  <c r="MPB77" i="17"/>
  <c r="MPA77" i="17"/>
  <c r="MOZ77" i="17"/>
  <c r="MOY77" i="17"/>
  <c r="MOX77" i="17"/>
  <c r="MOW77" i="17"/>
  <c r="MOV77" i="17"/>
  <c r="MOU77" i="17"/>
  <c r="MOT77" i="17"/>
  <c r="MOS77" i="17"/>
  <c r="MOR77" i="17"/>
  <c r="MOQ77" i="17"/>
  <c r="MOP77" i="17"/>
  <c r="MOO77" i="17"/>
  <c r="MON77" i="17"/>
  <c r="MOM77" i="17"/>
  <c r="MOL77" i="17"/>
  <c r="MOK77" i="17"/>
  <c r="MOJ77" i="17"/>
  <c r="MOI77" i="17"/>
  <c r="MOH77" i="17"/>
  <c r="MOG77" i="17"/>
  <c r="MOF77" i="17"/>
  <c r="MOE77" i="17"/>
  <c r="MOD77" i="17"/>
  <c r="MOC77" i="17"/>
  <c r="MOB77" i="17"/>
  <c r="MOA77" i="17"/>
  <c r="MNZ77" i="17"/>
  <c r="MNY77" i="17"/>
  <c r="MNX77" i="17"/>
  <c r="MNW77" i="17"/>
  <c r="MNV77" i="17"/>
  <c r="MNU77" i="17"/>
  <c r="MNT77" i="17"/>
  <c r="MNS77" i="17"/>
  <c r="MNR77" i="17"/>
  <c r="MNQ77" i="17"/>
  <c r="MNP77" i="17"/>
  <c r="MNO77" i="17"/>
  <c r="MNN77" i="17"/>
  <c r="MNM77" i="17"/>
  <c r="MNL77" i="17"/>
  <c r="MNK77" i="17"/>
  <c r="MNJ77" i="17"/>
  <c r="MNI77" i="17"/>
  <c r="MNH77" i="17"/>
  <c r="MNG77" i="17"/>
  <c r="MNF77" i="17"/>
  <c r="MNE77" i="17"/>
  <c r="MND77" i="17"/>
  <c r="MNC77" i="17"/>
  <c r="MNB77" i="17"/>
  <c r="MNA77" i="17"/>
  <c r="MMZ77" i="17"/>
  <c r="MMY77" i="17"/>
  <c r="MMX77" i="17"/>
  <c r="MMW77" i="17"/>
  <c r="MMV77" i="17"/>
  <c r="MMU77" i="17"/>
  <c r="MMT77" i="17"/>
  <c r="MMS77" i="17"/>
  <c r="MMR77" i="17"/>
  <c r="MMQ77" i="17"/>
  <c r="MMP77" i="17"/>
  <c r="MMO77" i="17"/>
  <c r="MMN77" i="17"/>
  <c r="MMM77" i="17"/>
  <c r="MML77" i="17"/>
  <c r="MMK77" i="17"/>
  <c r="MMJ77" i="17"/>
  <c r="MMI77" i="17"/>
  <c r="MMH77" i="17"/>
  <c r="MMG77" i="17"/>
  <c r="MMF77" i="17"/>
  <c r="MME77" i="17"/>
  <c r="MMD77" i="17"/>
  <c r="MMC77" i="17"/>
  <c r="MMB77" i="17"/>
  <c r="MMA77" i="17"/>
  <c r="MLZ77" i="17"/>
  <c r="MLY77" i="17"/>
  <c r="MLX77" i="17"/>
  <c r="MLW77" i="17"/>
  <c r="MLV77" i="17"/>
  <c r="MLU77" i="17"/>
  <c r="MLT77" i="17"/>
  <c r="MLS77" i="17"/>
  <c r="MLR77" i="17"/>
  <c r="MLQ77" i="17"/>
  <c r="MLP77" i="17"/>
  <c r="MLO77" i="17"/>
  <c r="MLN77" i="17"/>
  <c r="MLM77" i="17"/>
  <c r="MLL77" i="17"/>
  <c r="MLK77" i="17"/>
  <c r="MLJ77" i="17"/>
  <c r="MLI77" i="17"/>
  <c r="MLH77" i="17"/>
  <c r="MLG77" i="17"/>
  <c r="MLF77" i="17"/>
  <c r="MLE77" i="17"/>
  <c r="MLD77" i="17"/>
  <c r="MLC77" i="17"/>
  <c r="MLB77" i="17"/>
  <c r="MLA77" i="17"/>
  <c r="MKZ77" i="17"/>
  <c r="MKY77" i="17"/>
  <c r="MKX77" i="17"/>
  <c r="MKW77" i="17"/>
  <c r="MKV77" i="17"/>
  <c r="MKU77" i="17"/>
  <c r="MKT77" i="17"/>
  <c r="MKS77" i="17"/>
  <c r="MKR77" i="17"/>
  <c r="MKQ77" i="17"/>
  <c r="MKP77" i="17"/>
  <c r="MKO77" i="17"/>
  <c r="MKN77" i="17"/>
  <c r="MKM77" i="17"/>
  <c r="MKL77" i="17"/>
  <c r="MKK77" i="17"/>
  <c r="MKJ77" i="17"/>
  <c r="MKI77" i="17"/>
  <c r="MKH77" i="17"/>
  <c r="MKG77" i="17"/>
  <c r="MKF77" i="17"/>
  <c r="MKE77" i="17"/>
  <c r="MKD77" i="17"/>
  <c r="MKC77" i="17"/>
  <c r="MKB77" i="17"/>
  <c r="MKA77" i="17"/>
  <c r="MJZ77" i="17"/>
  <c r="MJY77" i="17"/>
  <c r="MJX77" i="17"/>
  <c r="MJW77" i="17"/>
  <c r="MJV77" i="17"/>
  <c r="MJU77" i="17"/>
  <c r="MJT77" i="17"/>
  <c r="MJS77" i="17"/>
  <c r="MJR77" i="17"/>
  <c r="MJQ77" i="17"/>
  <c r="MJP77" i="17"/>
  <c r="MJO77" i="17"/>
  <c r="MJN77" i="17"/>
  <c r="MJM77" i="17"/>
  <c r="MJL77" i="17"/>
  <c r="MJK77" i="17"/>
  <c r="MJJ77" i="17"/>
  <c r="MJI77" i="17"/>
  <c r="MJH77" i="17"/>
  <c r="MJG77" i="17"/>
  <c r="MJF77" i="17"/>
  <c r="MJE77" i="17"/>
  <c r="MJD77" i="17"/>
  <c r="MJC77" i="17"/>
  <c r="MJB77" i="17"/>
  <c r="MJA77" i="17"/>
  <c r="MIZ77" i="17"/>
  <c r="MIY77" i="17"/>
  <c r="MIX77" i="17"/>
  <c r="MIW77" i="17"/>
  <c r="MIV77" i="17"/>
  <c r="MIU77" i="17"/>
  <c r="MIT77" i="17"/>
  <c r="MIS77" i="17"/>
  <c r="MIR77" i="17"/>
  <c r="MIQ77" i="17"/>
  <c r="MIP77" i="17"/>
  <c r="MIO77" i="17"/>
  <c r="MIN77" i="17"/>
  <c r="MIM77" i="17"/>
  <c r="MIL77" i="17"/>
  <c r="MIK77" i="17"/>
  <c r="MIJ77" i="17"/>
  <c r="MII77" i="17"/>
  <c r="MIH77" i="17"/>
  <c r="MIG77" i="17"/>
  <c r="MIF77" i="17"/>
  <c r="MIE77" i="17"/>
  <c r="MID77" i="17"/>
  <c r="MIC77" i="17"/>
  <c r="MIB77" i="17"/>
  <c r="MIA77" i="17"/>
  <c r="MHZ77" i="17"/>
  <c r="MHY77" i="17"/>
  <c r="MHX77" i="17"/>
  <c r="MHW77" i="17"/>
  <c r="MHV77" i="17"/>
  <c r="MHU77" i="17"/>
  <c r="MHT77" i="17"/>
  <c r="MHS77" i="17"/>
  <c r="MHR77" i="17"/>
  <c r="MHQ77" i="17"/>
  <c r="MHP77" i="17"/>
  <c r="MHO77" i="17"/>
  <c r="MHN77" i="17"/>
  <c r="MHM77" i="17"/>
  <c r="MHL77" i="17"/>
  <c r="MHK77" i="17"/>
  <c r="MHJ77" i="17"/>
  <c r="MHI77" i="17"/>
  <c r="MHH77" i="17"/>
  <c r="MHG77" i="17"/>
  <c r="MHF77" i="17"/>
  <c r="MHE77" i="17"/>
  <c r="MHD77" i="17"/>
  <c r="MHC77" i="17"/>
  <c r="MHB77" i="17"/>
  <c r="MHA77" i="17"/>
  <c r="MGZ77" i="17"/>
  <c r="MGY77" i="17"/>
  <c r="MGX77" i="17"/>
  <c r="MGW77" i="17"/>
  <c r="MGV77" i="17"/>
  <c r="MGU77" i="17"/>
  <c r="MGT77" i="17"/>
  <c r="MGS77" i="17"/>
  <c r="MGR77" i="17"/>
  <c r="MGQ77" i="17"/>
  <c r="MGP77" i="17"/>
  <c r="MGO77" i="17"/>
  <c r="MGN77" i="17"/>
  <c r="MGM77" i="17"/>
  <c r="MGL77" i="17"/>
  <c r="MGK77" i="17"/>
  <c r="MGJ77" i="17"/>
  <c r="MGI77" i="17"/>
  <c r="MGH77" i="17"/>
  <c r="MGG77" i="17"/>
  <c r="MGF77" i="17"/>
  <c r="MGE77" i="17"/>
  <c r="MGD77" i="17"/>
  <c r="MGC77" i="17"/>
  <c r="MGB77" i="17"/>
  <c r="MGA77" i="17"/>
  <c r="MFZ77" i="17"/>
  <c r="MFY77" i="17"/>
  <c r="MFX77" i="17"/>
  <c r="MFW77" i="17"/>
  <c r="MFV77" i="17"/>
  <c r="MFU77" i="17"/>
  <c r="MFT77" i="17"/>
  <c r="MFS77" i="17"/>
  <c r="MFR77" i="17"/>
  <c r="MFQ77" i="17"/>
  <c r="MFP77" i="17"/>
  <c r="MFO77" i="17"/>
  <c r="MFN77" i="17"/>
  <c r="MFM77" i="17"/>
  <c r="MFL77" i="17"/>
  <c r="MFK77" i="17"/>
  <c r="MFJ77" i="17"/>
  <c r="MFI77" i="17"/>
  <c r="MFH77" i="17"/>
  <c r="MFG77" i="17"/>
  <c r="MFF77" i="17"/>
  <c r="MFE77" i="17"/>
  <c r="MFD77" i="17"/>
  <c r="MFC77" i="17"/>
  <c r="MFB77" i="17"/>
  <c r="MFA77" i="17"/>
  <c r="MEZ77" i="17"/>
  <c r="MEY77" i="17"/>
  <c r="MEX77" i="17"/>
  <c r="MEW77" i="17"/>
  <c r="MEV77" i="17"/>
  <c r="MEU77" i="17"/>
  <c r="MET77" i="17"/>
  <c r="MES77" i="17"/>
  <c r="MER77" i="17"/>
  <c r="MEQ77" i="17"/>
  <c r="MEP77" i="17"/>
  <c r="MEO77" i="17"/>
  <c r="MEN77" i="17"/>
  <c r="MEM77" i="17"/>
  <c r="MEL77" i="17"/>
  <c r="MEK77" i="17"/>
  <c r="MEJ77" i="17"/>
  <c r="MEI77" i="17"/>
  <c r="MEH77" i="17"/>
  <c r="MEG77" i="17"/>
  <c r="MEF77" i="17"/>
  <c r="MEE77" i="17"/>
  <c r="MED77" i="17"/>
  <c r="MEC77" i="17"/>
  <c r="MEB77" i="17"/>
  <c r="MEA77" i="17"/>
  <c r="MDZ77" i="17"/>
  <c r="MDY77" i="17"/>
  <c r="MDX77" i="17"/>
  <c r="MDW77" i="17"/>
  <c r="MDV77" i="17"/>
  <c r="MDU77" i="17"/>
  <c r="MDT77" i="17"/>
  <c r="MDS77" i="17"/>
  <c r="MDR77" i="17"/>
  <c r="MDQ77" i="17"/>
  <c r="MDP77" i="17"/>
  <c r="MDO77" i="17"/>
  <c r="MDN77" i="17"/>
  <c r="MDM77" i="17"/>
  <c r="MDL77" i="17"/>
  <c r="MDK77" i="17"/>
  <c r="MDJ77" i="17"/>
  <c r="MDI77" i="17"/>
  <c r="MDH77" i="17"/>
  <c r="MDG77" i="17"/>
  <c r="MDF77" i="17"/>
  <c r="MDE77" i="17"/>
  <c r="MDD77" i="17"/>
  <c r="MDC77" i="17"/>
  <c r="MDB77" i="17"/>
  <c r="MDA77" i="17"/>
  <c r="MCZ77" i="17"/>
  <c r="MCY77" i="17"/>
  <c r="MCX77" i="17"/>
  <c r="MCW77" i="17"/>
  <c r="MCV77" i="17"/>
  <c r="MCU77" i="17"/>
  <c r="MCT77" i="17"/>
  <c r="MCS77" i="17"/>
  <c r="MCR77" i="17"/>
  <c r="MCQ77" i="17"/>
  <c r="MCP77" i="17"/>
  <c r="MCO77" i="17"/>
  <c r="MCN77" i="17"/>
  <c r="MCM77" i="17"/>
  <c r="MCL77" i="17"/>
  <c r="MCK77" i="17"/>
  <c r="MCJ77" i="17"/>
  <c r="MCI77" i="17"/>
  <c r="MCH77" i="17"/>
  <c r="MCG77" i="17"/>
  <c r="MCF77" i="17"/>
  <c r="MCE77" i="17"/>
  <c r="MCD77" i="17"/>
  <c r="MCC77" i="17"/>
  <c r="MCB77" i="17"/>
  <c r="MCA77" i="17"/>
  <c r="MBZ77" i="17"/>
  <c r="MBY77" i="17"/>
  <c r="MBX77" i="17"/>
  <c r="MBW77" i="17"/>
  <c r="MBV77" i="17"/>
  <c r="MBU77" i="17"/>
  <c r="MBT77" i="17"/>
  <c r="MBS77" i="17"/>
  <c r="MBR77" i="17"/>
  <c r="MBQ77" i="17"/>
  <c r="MBP77" i="17"/>
  <c r="MBO77" i="17"/>
  <c r="MBN77" i="17"/>
  <c r="MBM77" i="17"/>
  <c r="MBL77" i="17"/>
  <c r="MBK77" i="17"/>
  <c r="MBJ77" i="17"/>
  <c r="MBI77" i="17"/>
  <c r="MBH77" i="17"/>
  <c r="MBG77" i="17"/>
  <c r="MBF77" i="17"/>
  <c r="MBE77" i="17"/>
  <c r="MBD77" i="17"/>
  <c r="MBC77" i="17"/>
  <c r="MBB77" i="17"/>
  <c r="MBA77" i="17"/>
  <c r="MAZ77" i="17"/>
  <c r="MAY77" i="17"/>
  <c r="MAX77" i="17"/>
  <c r="MAW77" i="17"/>
  <c r="MAV77" i="17"/>
  <c r="MAU77" i="17"/>
  <c r="MAT77" i="17"/>
  <c r="MAS77" i="17"/>
  <c r="MAR77" i="17"/>
  <c r="MAQ77" i="17"/>
  <c r="MAP77" i="17"/>
  <c r="MAO77" i="17"/>
  <c r="MAN77" i="17"/>
  <c r="MAM77" i="17"/>
  <c r="MAL77" i="17"/>
  <c r="MAK77" i="17"/>
  <c r="MAJ77" i="17"/>
  <c r="MAI77" i="17"/>
  <c r="MAH77" i="17"/>
  <c r="MAG77" i="17"/>
  <c r="MAF77" i="17"/>
  <c r="MAE77" i="17"/>
  <c r="MAD77" i="17"/>
  <c r="MAC77" i="17"/>
  <c r="MAB77" i="17"/>
  <c r="MAA77" i="17"/>
  <c r="LZZ77" i="17"/>
  <c r="LZY77" i="17"/>
  <c r="LZX77" i="17"/>
  <c r="LZW77" i="17"/>
  <c r="LZV77" i="17"/>
  <c r="LZU77" i="17"/>
  <c r="LZT77" i="17"/>
  <c r="LZS77" i="17"/>
  <c r="LZR77" i="17"/>
  <c r="LZQ77" i="17"/>
  <c r="LZP77" i="17"/>
  <c r="LZO77" i="17"/>
  <c r="LZN77" i="17"/>
  <c r="LZM77" i="17"/>
  <c r="LZL77" i="17"/>
  <c r="LZK77" i="17"/>
  <c r="LZJ77" i="17"/>
  <c r="LZI77" i="17"/>
  <c r="LZH77" i="17"/>
  <c r="LZG77" i="17"/>
  <c r="LZF77" i="17"/>
  <c r="LZE77" i="17"/>
  <c r="LZD77" i="17"/>
  <c r="LZC77" i="17"/>
  <c r="LZB77" i="17"/>
  <c r="LZA77" i="17"/>
  <c r="LYZ77" i="17"/>
  <c r="LYY77" i="17"/>
  <c r="LYX77" i="17"/>
  <c r="LYW77" i="17"/>
  <c r="LYV77" i="17"/>
  <c r="LYU77" i="17"/>
  <c r="LYT77" i="17"/>
  <c r="LYS77" i="17"/>
  <c r="LYR77" i="17"/>
  <c r="LYQ77" i="17"/>
  <c r="LYP77" i="17"/>
  <c r="LYO77" i="17"/>
  <c r="LYN77" i="17"/>
  <c r="LYM77" i="17"/>
  <c r="LYL77" i="17"/>
  <c r="LYK77" i="17"/>
  <c r="LYJ77" i="17"/>
  <c r="LYI77" i="17"/>
  <c r="LYH77" i="17"/>
  <c r="LYG77" i="17"/>
  <c r="LYF77" i="17"/>
  <c r="LYE77" i="17"/>
  <c r="LYD77" i="17"/>
  <c r="LYC77" i="17"/>
  <c r="LYB77" i="17"/>
  <c r="LYA77" i="17"/>
  <c r="LXZ77" i="17"/>
  <c r="LXY77" i="17"/>
  <c r="LXX77" i="17"/>
  <c r="LXW77" i="17"/>
  <c r="LXV77" i="17"/>
  <c r="LXU77" i="17"/>
  <c r="LXT77" i="17"/>
  <c r="LXS77" i="17"/>
  <c r="LXR77" i="17"/>
  <c r="LXQ77" i="17"/>
  <c r="LXP77" i="17"/>
  <c r="LXO77" i="17"/>
  <c r="LXN77" i="17"/>
  <c r="LXM77" i="17"/>
  <c r="LXL77" i="17"/>
  <c r="LXK77" i="17"/>
  <c r="LXJ77" i="17"/>
  <c r="LXI77" i="17"/>
  <c r="LXH77" i="17"/>
  <c r="LXG77" i="17"/>
  <c r="LXF77" i="17"/>
  <c r="LXE77" i="17"/>
  <c r="LXD77" i="17"/>
  <c r="LXC77" i="17"/>
  <c r="LXB77" i="17"/>
  <c r="LXA77" i="17"/>
  <c r="LWZ77" i="17"/>
  <c r="LWY77" i="17"/>
  <c r="LWX77" i="17"/>
  <c r="LWW77" i="17"/>
  <c r="LWV77" i="17"/>
  <c r="LWU77" i="17"/>
  <c r="LWT77" i="17"/>
  <c r="LWS77" i="17"/>
  <c r="LWR77" i="17"/>
  <c r="LWQ77" i="17"/>
  <c r="LWP77" i="17"/>
  <c r="LWO77" i="17"/>
  <c r="LWN77" i="17"/>
  <c r="LWM77" i="17"/>
  <c r="LWL77" i="17"/>
  <c r="LWK77" i="17"/>
  <c r="LWJ77" i="17"/>
  <c r="LWI77" i="17"/>
  <c r="LWH77" i="17"/>
  <c r="LWG77" i="17"/>
  <c r="LWF77" i="17"/>
  <c r="LWE77" i="17"/>
  <c r="LWD77" i="17"/>
  <c r="LWC77" i="17"/>
  <c r="LWB77" i="17"/>
  <c r="LWA77" i="17"/>
  <c r="LVZ77" i="17"/>
  <c r="LVY77" i="17"/>
  <c r="LVX77" i="17"/>
  <c r="LVW77" i="17"/>
  <c r="LVV77" i="17"/>
  <c r="LVU77" i="17"/>
  <c r="LVT77" i="17"/>
  <c r="LVS77" i="17"/>
  <c r="LVR77" i="17"/>
  <c r="LVQ77" i="17"/>
  <c r="LVP77" i="17"/>
  <c r="LVO77" i="17"/>
  <c r="LVN77" i="17"/>
  <c r="LVM77" i="17"/>
  <c r="LVL77" i="17"/>
  <c r="LVK77" i="17"/>
  <c r="LVJ77" i="17"/>
  <c r="LVI77" i="17"/>
  <c r="LVH77" i="17"/>
  <c r="LVG77" i="17"/>
  <c r="LVF77" i="17"/>
  <c r="LVE77" i="17"/>
  <c r="LVD77" i="17"/>
  <c r="LVC77" i="17"/>
  <c r="LVB77" i="17"/>
  <c r="LVA77" i="17"/>
  <c r="LUZ77" i="17"/>
  <c r="LUY77" i="17"/>
  <c r="LUX77" i="17"/>
  <c r="LUW77" i="17"/>
  <c r="LUV77" i="17"/>
  <c r="LUU77" i="17"/>
  <c r="LUT77" i="17"/>
  <c r="LUS77" i="17"/>
  <c r="LUR77" i="17"/>
  <c r="LUQ77" i="17"/>
  <c r="LUP77" i="17"/>
  <c r="LUO77" i="17"/>
  <c r="LUN77" i="17"/>
  <c r="LUM77" i="17"/>
  <c r="LUL77" i="17"/>
  <c r="LUK77" i="17"/>
  <c r="LUJ77" i="17"/>
  <c r="LUI77" i="17"/>
  <c r="LUH77" i="17"/>
  <c r="LUG77" i="17"/>
  <c r="LUF77" i="17"/>
  <c r="LUE77" i="17"/>
  <c r="LUD77" i="17"/>
  <c r="LUC77" i="17"/>
  <c r="LUB77" i="17"/>
  <c r="LUA77" i="17"/>
  <c r="LTZ77" i="17"/>
  <c r="LTY77" i="17"/>
  <c r="LTX77" i="17"/>
  <c r="LTW77" i="17"/>
  <c r="LTV77" i="17"/>
  <c r="LTU77" i="17"/>
  <c r="LTT77" i="17"/>
  <c r="LTS77" i="17"/>
  <c r="LTR77" i="17"/>
  <c r="LTQ77" i="17"/>
  <c r="LTP77" i="17"/>
  <c r="LTO77" i="17"/>
  <c r="LTN77" i="17"/>
  <c r="LTM77" i="17"/>
  <c r="LTL77" i="17"/>
  <c r="LTK77" i="17"/>
  <c r="LTJ77" i="17"/>
  <c r="LTI77" i="17"/>
  <c r="LTH77" i="17"/>
  <c r="LTG77" i="17"/>
  <c r="LTF77" i="17"/>
  <c r="LTE77" i="17"/>
  <c r="LTD77" i="17"/>
  <c r="LTC77" i="17"/>
  <c r="LTB77" i="17"/>
  <c r="LTA77" i="17"/>
  <c r="LSZ77" i="17"/>
  <c r="LSY77" i="17"/>
  <c r="LSX77" i="17"/>
  <c r="LSW77" i="17"/>
  <c r="LSV77" i="17"/>
  <c r="LSU77" i="17"/>
  <c r="LST77" i="17"/>
  <c r="LSS77" i="17"/>
  <c r="LSR77" i="17"/>
  <c r="LSQ77" i="17"/>
  <c r="LSP77" i="17"/>
  <c r="LSO77" i="17"/>
  <c r="LSN77" i="17"/>
  <c r="LSM77" i="17"/>
  <c r="LSL77" i="17"/>
  <c r="LSK77" i="17"/>
  <c r="LSJ77" i="17"/>
  <c r="LSI77" i="17"/>
  <c r="LSH77" i="17"/>
  <c r="LSG77" i="17"/>
  <c r="LSF77" i="17"/>
  <c r="LSE77" i="17"/>
  <c r="LSD77" i="17"/>
  <c r="LSC77" i="17"/>
  <c r="LSB77" i="17"/>
  <c r="LSA77" i="17"/>
  <c r="LRZ77" i="17"/>
  <c r="LRY77" i="17"/>
  <c r="LRX77" i="17"/>
  <c r="LRW77" i="17"/>
  <c r="LRV77" i="17"/>
  <c r="LRU77" i="17"/>
  <c r="LRT77" i="17"/>
  <c r="LRS77" i="17"/>
  <c r="LRR77" i="17"/>
  <c r="LRQ77" i="17"/>
  <c r="LRP77" i="17"/>
  <c r="LRO77" i="17"/>
  <c r="LRN77" i="17"/>
  <c r="LRM77" i="17"/>
  <c r="LRL77" i="17"/>
  <c r="LRK77" i="17"/>
  <c r="LRJ77" i="17"/>
  <c r="LRI77" i="17"/>
  <c r="LRH77" i="17"/>
  <c r="LRG77" i="17"/>
  <c r="LRF77" i="17"/>
  <c r="LRE77" i="17"/>
  <c r="LRD77" i="17"/>
  <c r="LRC77" i="17"/>
  <c r="LRB77" i="17"/>
  <c r="LRA77" i="17"/>
  <c r="LQZ77" i="17"/>
  <c r="LQY77" i="17"/>
  <c r="LQX77" i="17"/>
  <c r="LQW77" i="17"/>
  <c r="LQV77" i="17"/>
  <c r="LQU77" i="17"/>
  <c r="LQT77" i="17"/>
  <c r="LQS77" i="17"/>
  <c r="LQR77" i="17"/>
  <c r="LQQ77" i="17"/>
  <c r="LQP77" i="17"/>
  <c r="LQO77" i="17"/>
  <c r="LQN77" i="17"/>
  <c r="LQM77" i="17"/>
  <c r="LQL77" i="17"/>
  <c r="LQK77" i="17"/>
  <c r="LQJ77" i="17"/>
  <c r="LQI77" i="17"/>
  <c r="LQH77" i="17"/>
  <c r="LQG77" i="17"/>
  <c r="LQF77" i="17"/>
  <c r="LQE77" i="17"/>
  <c r="LQD77" i="17"/>
  <c r="LQC77" i="17"/>
  <c r="LQB77" i="17"/>
  <c r="LQA77" i="17"/>
  <c r="LPZ77" i="17"/>
  <c r="LPY77" i="17"/>
  <c r="LPX77" i="17"/>
  <c r="LPW77" i="17"/>
  <c r="LPV77" i="17"/>
  <c r="LPU77" i="17"/>
  <c r="LPT77" i="17"/>
  <c r="LPS77" i="17"/>
  <c r="LPR77" i="17"/>
  <c r="LPQ77" i="17"/>
  <c r="LPP77" i="17"/>
  <c r="LPO77" i="17"/>
  <c r="LPN77" i="17"/>
  <c r="LPM77" i="17"/>
  <c r="LPL77" i="17"/>
  <c r="LPK77" i="17"/>
  <c r="LPJ77" i="17"/>
  <c r="LPI77" i="17"/>
  <c r="LPH77" i="17"/>
  <c r="LPG77" i="17"/>
  <c r="LPF77" i="17"/>
  <c r="LPE77" i="17"/>
  <c r="LPD77" i="17"/>
  <c r="LPC77" i="17"/>
  <c r="LPB77" i="17"/>
  <c r="LPA77" i="17"/>
  <c r="LOZ77" i="17"/>
  <c r="LOY77" i="17"/>
  <c r="LOX77" i="17"/>
  <c r="LOW77" i="17"/>
  <c r="LOV77" i="17"/>
  <c r="LOU77" i="17"/>
  <c r="LOT77" i="17"/>
  <c r="LOS77" i="17"/>
  <c r="LOR77" i="17"/>
  <c r="LOQ77" i="17"/>
  <c r="LOP77" i="17"/>
  <c r="LOO77" i="17"/>
  <c r="LON77" i="17"/>
  <c r="LOM77" i="17"/>
  <c r="LOL77" i="17"/>
  <c r="LOK77" i="17"/>
  <c r="LOJ77" i="17"/>
  <c r="LOI77" i="17"/>
  <c r="LOH77" i="17"/>
  <c r="LOG77" i="17"/>
  <c r="LOF77" i="17"/>
  <c r="LOE77" i="17"/>
  <c r="LOD77" i="17"/>
  <c r="LOC77" i="17"/>
  <c r="LOB77" i="17"/>
  <c r="LOA77" i="17"/>
  <c r="LNZ77" i="17"/>
  <c r="LNY77" i="17"/>
  <c r="LNX77" i="17"/>
  <c r="LNW77" i="17"/>
  <c r="LNV77" i="17"/>
  <c r="LNU77" i="17"/>
  <c r="LNT77" i="17"/>
  <c r="LNS77" i="17"/>
  <c r="LNR77" i="17"/>
  <c r="LNQ77" i="17"/>
  <c r="LNP77" i="17"/>
  <c r="LNO77" i="17"/>
  <c r="LNN77" i="17"/>
  <c r="LNM77" i="17"/>
  <c r="LNL77" i="17"/>
  <c r="LNK77" i="17"/>
  <c r="LNJ77" i="17"/>
  <c r="LNI77" i="17"/>
  <c r="LNH77" i="17"/>
  <c r="LNG77" i="17"/>
  <c r="LNF77" i="17"/>
  <c r="LNE77" i="17"/>
  <c r="LND77" i="17"/>
  <c r="LNC77" i="17"/>
  <c r="LNB77" i="17"/>
  <c r="LNA77" i="17"/>
  <c r="LMZ77" i="17"/>
  <c r="LMY77" i="17"/>
  <c r="LMX77" i="17"/>
  <c r="LMW77" i="17"/>
  <c r="LMV77" i="17"/>
  <c r="LMU77" i="17"/>
  <c r="LMT77" i="17"/>
  <c r="LMS77" i="17"/>
  <c r="LMR77" i="17"/>
  <c r="LMQ77" i="17"/>
  <c r="LMP77" i="17"/>
  <c r="LMO77" i="17"/>
  <c r="LMN77" i="17"/>
  <c r="LMM77" i="17"/>
  <c r="LML77" i="17"/>
  <c r="LMK77" i="17"/>
  <c r="LMJ77" i="17"/>
  <c r="LMI77" i="17"/>
  <c r="LMH77" i="17"/>
  <c r="LMG77" i="17"/>
  <c r="LMF77" i="17"/>
  <c r="LME77" i="17"/>
  <c r="LMD77" i="17"/>
  <c r="LMC77" i="17"/>
  <c r="LMB77" i="17"/>
  <c r="LMA77" i="17"/>
  <c r="LLZ77" i="17"/>
  <c r="LLY77" i="17"/>
  <c r="LLX77" i="17"/>
  <c r="LLW77" i="17"/>
  <c r="LLV77" i="17"/>
  <c r="LLU77" i="17"/>
  <c r="LLT77" i="17"/>
  <c r="LLS77" i="17"/>
  <c r="LLR77" i="17"/>
  <c r="LLQ77" i="17"/>
  <c r="LLP77" i="17"/>
  <c r="LLO77" i="17"/>
  <c r="LLN77" i="17"/>
  <c r="LLM77" i="17"/>
  <c r="LLL77" i="17"/>
  <c r="LLK77" i="17"/>
  <c r="LLJ77" i="17"/>
  <c r="LLI77" i="17"/>
  <c r="LLH77" i="17"/>
  <c r="LLG77" i="17"/>
  <c r="LLF77" i="17"/>
  <c r="LLE77" i="17"/>
  <c r="LLD77" i="17"/>
  <c r="LLC77" i="17"/>
  <c r="LLB77" i="17"/>
  <c r="LLA77" i="17"/>
  <c r="LKZ77" i="17"/>
  <c r="LKY77" i="17"/>
  <c r="LKX77" i="17"/>
  <c r="LKW77" i="17"/>
  <c r="LKV77" i="17"/>
  <c r="LKU77" i="17"/>
  <c r="LKT77" i="17"/>
  <c r="LKS77" i="17"/>
  <c r="LKR77" i="17"/>
  <c r="LKQ77" i="17"/>
  <c r="LKP77" i="17"/>
  <c r="LKO77" i="17"/>
  <c r="LKN77" i="17"/>
  <c r="LKM77" i="17"/>
  <c r="LKL77" i="17"/>
  <c r="LKK77" i="17"/>
  <c r="LKJ77" i="17"/>
  <c r="LKI77" i="17"/>
  <c r="LKH77" i="17"/>
  <c r="LKG77" i="17"/>
  <c r="LKF77" i="17"/>
  <c r="LKE77" i="17"/>
  <c r="LKD77" i="17"/>
  <c r="LKC77" i="17"/>
  <c r="LKB77" i="17"/>
  <c r="LKA77" i="17"/>
  <c r="LJZ77" i="17"/>
  <c r="LJY77" i="17"/>
  <c r="LJX77" i="17"/>
  <c r="LJW77" i="17"/>
  <c r="LJV77" i="17"/>
  <c r="LJU77" i="17"/>
  <c r="LJT77" i="17"/>
  <c r="LJS77" i="17"/>
  <c r="LJR77" i="17"/>
  <c r="LJQ77" i="17"/>
  <c r="LJP77" i="17"/>
  <c r="LJO77" i="17"/>
  <c r="LJN77" i="17"/>
  <c r="LJM77" i="17"/>
  <c r="LJL77" i="17"/>
  <c r="LJK77" i="17"/>
  <c r="LJJ77" i="17"/>
  <c r="LJI77" i="17"/>
  <c r="LJH77" i="17"/>
  <c r="LJG77" i="17"/>
  <c r="LJF77" i="17"/>
  <c r="LJE77" i="17"/>
  <c r="LJD77" i="17"/>
  <c r="LJC77" i="17"/>
  <c r="LJB77" i="17"/>
  <c r="LJA77" i="17"/>
  <c r="LIZ77" i="17"/>
  <c r="LIY77" i="17"/>
  <c r="LIX77" i="17"/>
  <c r="LIW77" i="17"/>
  <c r="LIV77" i="17"/>
  <c r="LIU77" i="17"/>
  <c r="LIT77" i="17"/>
  <c r="LIS77" i="17"/>
  <c r="LIR77" i="17"/>
  <c r="LIQ77" i="17"/>
  <c r="LIP77" i="17"/>
  <c r="LIO77" i="17"/>
  <c r="LIN77" i="17"/>
  <c r="LIM77" i="17"/>
  <c r="LIL77" i="17"/>
  <c r="LIK77" i="17"/>
  <c r="LIJ77" i="17"/>
  <c r="LII77" i="17"/>
  <c r="LIH77" i="17"/>
  <c r="LIG77" i="17"/>
  <c r="LIF77" i="17"/>
  <c r="LIE77" i="17"/>
  <c r="LID77" i="17"/>
  <c r="LIC77" i="17"/>
  <c r="LIB77" i="17"/>
  <c r="LIA77" i="17"/>
  <c r="LHZ77" i="17"/>
  <c r="LHY77" i="17"/>
  <c r="LHX77" i="17"/>
  <c r="LHW77" i="17"/>
  <c r="LHV77" i="17"/>
  <c r="LHU77" i="17"/>
  <c r="LHT77" i="17"/>
  <c r="LHS77" i="17"/>
  <c r="LHR77" i="17"/>
  <c r="LHQ77" i="17"/>
  <c r="LHP77" i="17"/>
  <c r="LHO77" i="17"/>
  <c r="LHN77" i="17"/>
  <c r="LHM77" i="17"/>
  <c r="LHL77" i="17"/>
  <c r="LHK77" i="17"/>
  <c r="LHJ77" i="17"/>
  <c r="LHI77" i="17"/>
  <c r="LHH77" i="17"/>
  <c r="LHG77" i="17"/>
  <c r="LHF77" i="17"/>
  <c r="LHE77" i="17"/>
  <c r="LHD77" i="17"/>
  <c r="LHC77" i="17"/>
  <c r="LHB77" i="17"/>
  <c r="LHA77" i="17"/>
  <c r="LGZ77" i="17"/>
  <c r="LGY77" i="17"/>
  <c r="LGX77" i="17"/>
  <c r="LGW77" i="17"/>
  <c r="LGV77" i="17"/>
  <c r="LGU77" i="17"/>
  <c r="LGT77" i="17"/>
  <c r="LGS77" i="17"/>
  <c r="LGR77" i="17"/>
  <c r="LGQ77" i="17"/>
  <c r="LGP77" i="17"/>
  <c r="LGO77" i="17"/>
  <c r="LGN77" i="17"/>
  <c r="LGM77" i="17"/>
  <c r="LGL77" i="17"/>
  <c r="LGK77" i="17"/>
  <c r="LGJ77" i="17"/>
  <c r="LGI77" i="17"/>
  <c r="LGH77" i="17"/>
  <c r="LGG77" i="17"/>
  <c r="LGF77" i="17"/>
  <c r="LGE77" i="17"/>
  <c r="LGD77" i="17"/>
  <c r="LGC77" i="17"/>
  <c r="LGB77" i="17"/>
  <c r="LGA77" i="17"/>
  <c r="LFZ77" i="17"/>
  <c r="LFY77" i="17"/>
  <c r="LFX77" i="17"/>
  <c r="LFW77" i="17"/>
  <c r="LFV77" i="17"/>
  <c r="LFU77" i="17"/>
  <c r="LFT77" i="17"/>
  <c r="LFS77" i="17"/>
  <c r="LFR77" i="17"/>
  <c r="LFQ77" i="17"/>
  <c r="LFP77" i="17"/>
  <c r="LFO77" i="17"/>
  <c r="LFN77" i="17"/>
  <c r="LFM77" i="17"/>
  <c r="LFL77" i="17"/>
  <c r="LFK77" i="17"/>
  <c r="LFJ77" i="17"/>
  <c r="LFI77" i="17"/>
  <c r="LFH77" i="17"/>
  <c r="LFG77" i="17"/>
  <c r="LFF77" i="17"/>
  <c r="LFE77" i="17"/>
  <c r="LFD77" i="17"/>
  <c r="LFC77" i="17"/>
  <c r="LFB77" i="17"/>
  <c r="LFA77" i="17"/>
  <c r="LEZ77" i="17"/>
  <c r="LEY77" i="17"/>
  <c r="LEX77" i="17"/>
  <c r="LEW77" i="17"/>
  <c r="LEV77" i="17"/>
  <c r="LEU77" i="17"/>
  <c r="LET77" i="17"/>
  <c r="LES77" i="17"/>
  <c r="LER77" i="17"/>
  <c r="LEQ77" i="17"/>
  <c r="LEP77" i="17"/>
  <c r="LEO77" i="17"/>
  <c r="LEN77" i="17"/>
  <c r="LEM77" i="17"/>
  <c r="LEL77" i="17"/>
  <c r="LEK77" i="17"/>
  <c r="LEJ77" i="17"/>
  <c r="LEI77" i="17"/>
  <c r="LEH77" i="17"/>
  <c r="LEG77" i="17"/>
  <c r="LEF77" i="17"/>
  <c r="LEE77" i="17"/>
  <c r="LED77" i="17"/>
  <c r="LEC77" i="17"/>
  <c r="LEB77" i="17"/>
  <c r="LEA77" i="17"/>
  <c r="LDZ77" i="17"/>
  <c r="LDY77" i="17"/>
  <c r="LDX77" i="17"/>
  <c r="LDW77" i="17"/>
  <c r="LDV77" i="17"/>
  <c r="LDU77" i="17"/>
  <c r="LDT77" i="17"/>
  <c r="LDS77" i="17"/>
  <c r="LDR77" i="17"/>
  <c r="LDQ77" i="17"/>
  <c r="LDP77" i="17"/>
  <c r="LDO77" i="17"/>
  <c r="LDN77" i="17"/>
  <c r="LDM77" i="17"/>
  <c r="LDL77" i="17"/>
  <c r="LDK77" i="17"/>
  <c r="LDJ77" i="17"/>
  <c r="LDI77" i="17"/>
  <c r="LDH77" i="17"/>
  <c r="LDG77" i="17"/>
  <c r="LDF77" i="17"/>
  <c r="LDE77" i="17"/>
  <c r="LDD77" i="17"/>
  <c r="LDC77" i="17"/>
  <c r="LDB77" i="17"/>
  <c r="LDA77" i="17"/>
  <c r="LCZ77" i="17"/>
  <c r="LCY77" i="17"/>
  <c r="LCX77" i="17"/>
  <c r="LCW77" i="17"/>
  <c r="LCV77" i="17"/>
  <c r="LCU77" i="17"/>
  <c r="LCT77" i="17"/>
  <c r="LCS77" i="17"/>
  <c r="LCR77" i="17"/>
  <c r="LCQ77" i="17"/>
  <c r="LCP77" i="17"/>
  <c r="LCO77" i="17"/>
  <c r="LCN77" i="17"/>
  <c r="LCM77" i="17"/>
  <c r="LCL77" i="17"/>
  <c r="LCK77" i="17"/>
  <c r="LCJ77" i="17"/>
  <c r="LCI77" i="17"/>
  <c r="LCH77" i="17"/>
  <c r="LCG77" i="17"/>
  <c r="LCF77" i="17"/>
  <c r="LCE77" i="17"/>
  <c r="LCD77" i="17"/>
  <c r="LCC77" i="17"/>
  <c r="LCB77" i="17"/>
  <c r="LCA77" i="17"/>
  <c r="LBZ77" i="17"/>
  <c r="LBY77" i="17"/>
  <c r="LBX77" i="17"/>
  <c r="LBW77" i="17"/>
  <c r="LBV77" i="17"/>
  <c r="LBU77" i="17"/>
  <c r="LBT77" i="17"/>
  <c r="LBS77" i="17"/>
  <c r="LBR77" i="17"/>
  <c r="LBQ77" i="17"/>
  <c r="LBP77" i="17"/>
  <c r="LBO77" i="17"/>
  <c r="LBN77" i="17"/>
  <c r="LBM77" i="17"/>
  <c r="LBL77" i="17"/>
  <c r="LBK77" i="17"/>
  <c r="LBJ77" i="17"/>
  <c r="LBI77" i="17"/>
  <c r="LBH77" i="17"/>
  <c r="LBG77" i="17"/>
  <c r="LBF77" i="17"/>
  <c r="LBE77" i="17"/>
  <c r="LBD77" i="17"/>
  <c r="LBC77" i="17"/>
  <c r="LBB77" i="17"/>
  <c r="LBA77" i="17"/>
  <c r="LAZ77" i="17"/>
  <c r="LAY77" i="17"/>
  <c r="LAX77" i="17"/>
  <c r="LAW77" i="17"/>
  <c r="LAV77" i="17"/>
  <c r="LAU77" i="17"/>
  <c r="LAT77" i="17"/>
  <c r="LAS77" i="17"/>
  <c r="LAR77" i="17"/>
  <c r="LAQ77" i="17"/>
  <c r="LAP77" i="17"/>
  <c r="LAO77" i="17"/>
  <c r="LAN77" i="17"/>
  <c r="LAM77" i="17"/>
  <c r="LAL77" i="17"/>
  <c r="LAK77" i="17"/>
  <c r="LAJ77" i="17"/>
  <c r="LAI77" i="17"/>
  <c r="LAH77" i="17"/>
  <c r="LAG77" i="17"/>
  <c r="LAF77" i="17"/>
  <c r="LAE77" i="17"/>
  <c r="LAD77" i="17"/>
  <c r="LAC77" i="17"/>
  <c r="LAB77" i="17"/>
  <c r="LAA77" i="17"/>
  <c r="KZZ77" i="17"/>
  <c r="KZY77" i="17"/>
  <c r="KZX77" i="17"/>
  <c r="KZW77" i="17"/>
  <c r="KZV77" i="17"/>
  <c r="KZU77" i="17"/>
  <c r="KZT77" i="17"/>
  <c r="KZS77" i="17"/>
  <c r="KZR77" i="17"/>
  <c r="KZQ77" i="17"/>
  <c r="KZP77" i="17"/>
  <c r="KZO77" i="17"/>
  <c r="KZN77" i="17"/>
  <c r="KZM77" i="17"/>
  <c r="KZL77" i="17"/>
  <c r="KZK77" i="17"/>
  <c r="KZJ77" i="17"/>
  <c r="KZI77" i="17"/>
  <c r="KZH77" i="17"/>
  <c r="KZG77" i="17"/>
  <c r="KZF77" i="17"/>
  <c r="KZE77" i="17"/>
  <c r="KZD77" i="17"/>
  <c r="KZC77" i="17"/>
  <c r="KZB77" i="17"/>
  <c r="KZA77" i="17"/>
  <c r="KYZ77" i="17"/>
  <c r="KYY77" i="17"/>
  <c r="KYX77" i="17"/>
  <c r="KYW77" i="17"/>
  <c r="KYV77" i="17"/>
  <c r="KYU77" i="17"/>
  <c r="KYT77" i="17"/>
  <c r="KYS77" i="17"/>
  <c r="KYR77" i="17"/>
  <c r="KYQ77" i="17"/>
  <c r="KYP77" i="17"/>
  <c r="KYO77" i="17"/>
  <c r="KYN77" i="17"/>
  <c r="KYM77" i="17"/>
  <c r="KYL77" i="17"/>
  <c r="KYK77" i="17"/>
  <c r="KYJ77" i="17"/>
  <c r="KYI77" i="17"/>
  <c r="KYH77" i="17"/>
  <c r="KYG77" i="17"/>
  <c r="KYF77" i="17"/>
  <c r="KYE77" i="17"/>
  <c r="KYD77" i="17"/>
  <c r="KYC77" i="17"/>
  <c r="KYB77" i="17"/>
  <c r="KYA77" i="17"/>
  <c r="KXZ77" i="17"/>
  <c r="KXY77" i="17"/>
  <c r="KXX77" i="17"/>
  <c r="KXW77" i="17"/>
  <c r="KXV77" i="17"/>
  <c r="KXU77" i="17"/>
  <c r="KXT77" i="17"/>
  <c r="KXS77" i="17"/>
  <c r="KXR77" i="17"/>
  <c r="KXQ77" i="17"/>
  <c r="KXP77" i="17"/>
  <c r="KXO77" i="17"/>
  <c r="KXN77" i="17"/>
  <c r="KXM77" i="17"/>
  <c r="KXL77" i="17"/>
  <c r="KXK77" i="17"/>
  <c r="KXJ77" i="17"/>
  <c r="KXI77" i="17"/>
  <c r="KXH77" i="17"/>
  <c r="KXG77" i="17"/>
  <c r="KXF77" i="17"/>
  <c r="KXE77" i="17"/>
  <c r="KXD77" i="17"/>
  <c r="KXC77" i="17"/>
  <c r="KXB77" i="17"/>
  <c r="KXA77" i="17"/>
  <c r="KWZ77" i="17"/>
  <c r="KWY77" i="17"/>
  <c r="KWX77" i="17"/>
  <c r="KWW77" i="17"/>
  <c r="KWV77" i="17"/>
  <c r="KWU77" i="17"/>
  <c r="KWT77" i="17"/>
  <c r="KWS77" i="17"/>
  <c r="KWR77" i="17"/>
  <c r="KWQ77" i="17"/>
  <c r="KWP77" i="17"/>
  <c r="KWO77" i="17"/>
  <c r="KWN77" i="17"/>
  <c r="KWM77" i="17"/>
  <c r="KWL77" i="17"/>
  <c r="KWK77" i="17"/>
  <c r="KWJ77" i="17"/>
  <c r="KWI77" i="17"/>
  <c r="KWH77" i="17"/>
  <c r="KWG77" i="17"/>
  <c r="KWF77" i="17"/>
  <c r="KWE77" i="17"/>
  <c r="KWD77" i="17"/>
  <c r="KWC77" i="17"/>
  <c r="KWB77" i="17"/>
  <c r="KWA77" i="17"/>
  <c r="KVZ77" i="17"/>
  <c r="KVY77" i="17"/>
  <c r="KVX77" i="17"/>
  <c r="KVW77" i="17"/>
  <c r="KVV77" i="17"/>
  <c r="KVU77" i="17"/>
  <c r="KVT77" i="17"/>
  <c r="KVS77" i="17"/>
  <c r="KVR77" i="17"/>
  <c r="KVQ77" i="17"/>
  <c r="KVP77" i="17"/>
  <c r="KVO77" i="17"/>
  <c r="KVN77" i="17"/>
  <c r="KVM77" i="17"/>
  <c r="KVL77" i="17"/>
  <c r="KVK77" i="17"/>
  <c r="KVJ77" i="17"/>
  <c r="KVI77" i="17"/>
  <c r="KVH77" i="17"/>
  <c r="KVG77" i="17"/>
  <c r="KVF77" i="17"/>
  <c r="KVE77" i="17"/>
  <c r="KVD77" i="17"/>
  <c r="KVC77" i="17"/>
  <c r="KVB77" i="17"/>
  <c r="KVA77" i="17"/>
  <c r="KUZ77" i="17"/>
  <c r="KUY77" i="17"/>
  <c r="KUX77" i="17"/>
  <c r="KUW77" i="17"/>
  <c r="KUV77" i="17"/>
  <c r="KUU77" i="17"/>
  <c r="KUT77" i="17"/>
  <c r="KUS77" i="17"/>
  <c r="KUR77" i="17"/>
  <c r="KUQ77" i="17"/>
  <c r="KUP77" i="17"/>
  <c r="KUO77" i="17"/>
  <c r="KUN77" i="17"/>
  <c r="KUM77" i="17"/>
  <c r="KUL77" i="17"/>
  <c r="KUK77" i="17"/>
  <c r="KUJ77" i="17"/>
  <c r="KUI77" i="17"/>
  <c r="KUH77" i="17"/>
  <c r="KUG77" i="17"/>
  <c r="KUF77" i="17"/>
  <c r="KUE77" i="17"/>
  <c r="KUD77" i="17"/>
  <c r="KUC77" i="17"/>
  <c r="KUB77" i="17"/>
  <c r="KUA77" i="17"/>
  <c r="KTZ77" i="17"/>
  <c r="KTY77" i="17"/>
  <c r="KTX77" i="17"/>
  <c r="KTW77" i="17"/>
  <c r="KTV77" i="17"/>
  <c r="KTU77" i="17"/>
  <c r="KTT77" i="17"/>
  <c r="KTS77" i="17"/>
  <c r="KTR77" i="17"/>
  <c r="KTQ77" i="17"/>
  <c r="KTP77" i="17"/>
  <c r="KTO77" i="17"/>
  <c r="KTN77" i="17"/>
  <c r="KTM77" i="17"/>
  <c r="KTL77" i="17"/>
  <c r="KTK77" i="17"/>
  <c r="KTJ77" i="17"/>
  <c r="KTI77" i="17"/>
  <c r="KTH77" i="17"/>
  <c r="KTG77" i="17"/>
  <c r="KTF77" i="17"/>
  <c r="KTE77" i="17"/>
  <c r="KTD77" i="17"/>
  <c r="KTC77" i="17"/>
  <c r="KTB77" i="17"/>
  <c r="KTA77" i="17"/>
  <c r="KSZ77" i="17"/>
  <c r="KSY77" i="17"/>
  <c r="KSX77" i="17"/>
  <c r="KSW77" i="17"/>
  <c r="KSV77" i="17"/>
  <c r="KSU77" i="17"/>
  <c r="KST77" i="17"/>
  <c r="KSS77" i="17"/>
  <c r="KSR77" i="17"/>
  <c r="KSQ77" i="17"/>
  <c r="KSP77" i="17"/>
  <c r="KSO77" i="17"/>
  <c r="KSN77" i="17"/>
  <c r="KSM77" i="17"/>
  <c r="KSL77" i="17"/>
  <c r="KSK77" i="17"/>
  <c r="KSJ77" i="17"/>
  <c r="KSI77" i="17"/>
  <c r="KSH77" i="17"/>
  <c r="KSG77" i="17"/>
  <c r="KSF77" i="17"/>
  <c r="KSE77" i="17"/>
  <c r="KSD77" i="17"/>
  <c r="KSC77" i="17"/>
  <c r="KSB77" i="17"/>
  <c r="KSA77" i="17"/>
  <c r="KRZ77" i="17"/>
  <c r="KRY77" i="17"/>
  <c r="KRX77" i="17"/>
  <c r="KRW77" i="17"/>
  <c r="KRV77" i="17"/>
  <c r="KRU77" i="17"/>
  <c r="KRT77" i="17"/>
  <c r="KRS77" i="17"/>
  <c r="KRR77" i="17"/>
  <c r="KRQ77" i="17"/>
  <c r="KRP77" i="17"/>
  <c r="KRO77" i="17"/>
  <c r="KRN77" i="17"/>
  <c r="KRM77" i="17"/>
  <c r="KRL77" i="17"/>
  <c r="KRK77" i="17"/>
  <c r="KRJ77" i="17"/>
  <c r="KRI77" i="17"/>
  <c r="KRH77" i="17"/>
  <c r="KRG77" i="17"/>
  <c r="KRF77" i="17"/>
  <c r="KRE77" i="17"/>
  <c r="KRD77" i="17"/>
  <c r="KRC77" i="17"/>
  <c r="KRB77" i="17"/>
  <c r="KRA77" i="17"/>
  <c r="KQZ77" i="17"/>
  <c r="KQY77" i="17"/>
  <c r="KQX77" i="17"/>
  <c r="KQW77" i="17"/>
  <c r="KQV77" i="17"/>
  <c r="KQU77" i="17"/>
  <c r="KQT77" i="17"/>
  <c r="KQS77" i="17"/>
  <c r="KQR77" i="17"/>
  <c r="KQQ77" i="17"/>
  <c r="KQP77" i="17"/>
  <c r="KQO77" i="17"/>
  <c r="KQN77" i="17"/>
  <c r="KQM77" i="17"/>
  <c r="KQL77" i="17"/>
  <c r="KQK77" i="17"/>
  <c r="KQJ77" i="17"/>
  <c r="KQI77" i="17"/>
  <c r="KQH77" i="17"/>
  <c r="KQG77" i="17"/>
  <c r="KQF77" i="17"/>
  <c r="KQE77" i="17"/>
  <c r="KQD77" i="17"/>
  <c r="KQC77" i="17"/>
  <c r="KQB77" i="17"/>
  <c r="KQA77" i="17"/>
  <c r="KPZ77" i="17"/>
  <c r="KPY77" i="17"/>
  <c r="KPX77" i="17"/>
  <c r="KPW77" i="17"/>
  <c r="KPV77" i="17"/>
  <c r="KPU77" i="17"/>
  <c r="KPT77" i="17"/>
  <c r="KPS77" i="17"/>
  <c r="KPR77" i="17"/>
  <c r="KPQ77" i="17"/>
  <c r="KPP77" i="17"/>
  <c r="KPO77" i="17"/>
  <c r="KPN77" i="17"/>
  <c r="KPM77" i="17"/>
  <c r="KPL77" i="17"/>
  <c r="KPK77" i="17"/>
  <c r="KPJ77" i="17"/>
  <c r="KPI77" i="17"/>
  <c r="KPH77" i="17"/>
  <c r="KPG77" i="17"/>
  <c r="KPF77" i="17"/>
  <c r="KPE77" i="17"/>
  <c r="KPD77" i="17"/>
  <c r="KPC77" i="17"/>
  <c r="KPB77" i="17"/>
  <c r="KPA77" i="17"/>
  <c r="KOZ77" i="17"/>
  <c r="KOY77" i="17"/>
  <c r="KOX77" i="17"/>
  <c r="KOW77" i="17"/>
  <c r="KOV77" i="17"/>
  <c r="KOU77" i="17"/>
  <c r="KOT77" i="17"/>
  <c r="KOS77" i="17"/>
  <c r="KOR77" i="17"/>
  <c r="KOQ77" i="17"/>
  <c r="KOP77" i="17"/>
  <c r="KOO77" i="17"/>
  <c r="KON77" i="17"/>
  <c r="KOM77" i="17"/>
  <c r="KOL77" i="17"/>
  <c r="KOK77" i="17"/>
  <c r="KOJ77" i="17"/>
  <c r="KOI77" i="17"/>
  <c r="KOH77" i="17"/>
  <c r="KOG77" i="17"/>
  <c r="KOF77" i="17"/>
  <c r="KOE77" i="17"/>
  <c r="KOD77" i="17"/>
  <c r="KOC77" i="17"/>
  <c r="KOB77" i="17"/>
  <c r="KOA77" i="17"/>
  <c r="KNZ77" i="17"/>
  <c r="KNY77" i="17"/>
  <c r="KNX77" i="17"/>
  <c r="KNW77" i="17"/>
  <c r="KNV77" i="17"/>
  <c r="KNU77" i="17"/>
  <c r="KNT77" i="17"/>
  <c r="KNS77" i="17"/>
  <c r="KNR77" i="17"/>
  <c r="KNQ77" i="17"/>
  <c r="KNP77" i="17"/>
  <c r="KNO77" i="17"/>
  <c r="KNN77" i="17"/>
  <c r="KNM77" i="17"/>
  <c r="KNL77" i="17"/>
  <c r="KNK77" i="17"/>
  <c r="KNJ77" i="17"/>
  <c r="KNI77" i="17"/>
  <c r="KNH77" i="17"/>
  <c r="KNG77" i="17"/>
  <c r="KNF77" i="17"/>
  <c r="KNE77" i="17"/>
  <c r="KND77" i="17"/>
  <c r="KNC77" i="17"/>
  <c r="KNB77" i="17"/>
  <c r="KNA77" i="17"/>
  <c r="KMZ77" i="17"/>
  <c r="KMY77" i="17"/>
  <c r="KMX77" i="17"/>
  <c r="KMW77" i="17"/>
  <c r="KMV77" i="17"/>
  <c r="KMU77" i="17"/>
  <c r="KMT77" i="17"/>
  <c r="KMS77" i="17"/>
  <c r="KMR77" i="17"/>
  <c r="KMQ77" i="17"/>
  <c r="KMP77" i="17"/>
  <c r="KMO77" i="17"/>
  <c r="KMN77" i="17"/>
  <c r="KMM77" i="17"/>
  <c r="KML77" i="17"/>
  <c r="KMK77" i="17"/>
  <c r="KMJ77" i="17"/>
  <c r="KMI77" i="17"/>
  <c r="KMH77" i="17"/>
  <c r="KMG77" i="17"/>
  <c r="KMF77" i="17"/>
  <c r="KME77" i="17"/>
  <c r="KMD77" i="17"/>
  <c r="KMC77" i="17"/>
  <c r="KMB77" i="17"/>
  <c r="KMA77" i="17"/>
  <c r="KLZ77" i="17"/>
  <c r="KLY77" i="17"/>
  <c r="KLX77" i="17"/>
  <c r="KLW77" i="17"/>
  <c r="KLV77" i="17"/>
  <c r="KLU77" i="17"/>
  <c r="KLT77" i="17"/>
  <c r="KLS77" i="17"/>
  <c r="KLR77" i="17"/>
  <c r="KLQ77" i="17"/>
  <c r="KLP77" i="17"/>
  <c r="KLO77" i="17"/>
  <c r="KLN77" i="17"/>
  <c r="KLM77" i="17"/>
  <c r="KLL77" i="17"/>
  <c r="KLK77" i="17"/>
  <c r="KLJ77" i="17"/>
  <c r="KLI77" i="17"/>
  <c r="KLH77" i="17"/>
  <c r="KLG77" i="17"/>
  <c r="KLF77" i="17"/>
  <c r="KLE77" i="17"/>
  <c r="KLD77" i="17"/>
  <c r="KLC77" i="17"/>
  <c r="KLB77" i="17"/>
  <c r="KLA77" i="17"/>
  <c r="KKZ77" i="17"/>
  <c r="KKY77" i="17"/>
  <c r="KKX77" i="17"/>
  <c r="KKW77" i="17"/>
  <c r="KKV77" i="17"/>
  <c r="KKU77" i="17"/>
  <c r="KKT77" i="17"/>
  <c r="KKS77" i="17"/>
  <c r="KKR77" i="17"/>
  <c r="KKQ77" i="17"/>
  <c r="KKP77" i="17"/>
  <c r="KKO77" i="17"/>
  <c r="KKN77" i="17"/>
  <c r="KKM77" i="17"/>
  <c r="KKL77" i="17"/>
  <c r="KKK77" i="17"/>
  <c r="KKJ77" i="17"/>
  <c r="KKI77" i="17"/>
  <c r="KKH77" i="17"/>
  <c r="KKG77" i="17"/>
  <c r="KKF77" i="17"/>
  <c r="KKE77" i="17"/>
  <c r="KKD77" i="17"/>
  <c r="KKC77" i="17"/>
  <c r="KKB77" i="17"/>
  <c r="KKA77" i="17"/>
  <c r="KJZ77" i="17"/>
  <c r="KJY77" i="17"/>
  <c r="KJX77" i="17"/>
  <c r="KJW77" i="17"/>
  <c r="KJV77" i="17"/>
  <c r="KJU77" i="17"/>
  <c r="KJT77" i="17"/>
  <c r="KJS77" i="17"/>
  <c r="KJR77" i="17"/>
  <c r="KJQ77" i="17"/>
  <c r="KJP77" i="17"/>
  <c r="KJO77" i="17"/>
  <c r="KJN77" i="17"/>
  <c r="KJM77" i="17"/>
  <c r="KJL77" i="17"/>
  <c r="KJK77" i="17"/>
  <c r="KJJ77" i="17"/>
  <c r="KJI77" i="17"/>
  <c r="KJH77" i="17"/>
  <c r="KJG77" i="17"/>
  <c r="KJF77" i="17"/>
  <c r="KJE77" i="17"/>
  <c r="KJD77" i="17"/>
  <c r="KJC77" i="17"/>
  <c r="KJB77" i="17"/>
  <c r="KJA77" i="17"/>
  <c r="KIZ77" i="17"/>
  <c r="KIY77" i="17"/>
  <c r="KIX77" i="17"/>
  <c r="KIW77" i="17"/>
  <c r="KIV77" i="17"/>
  <c r="KIU77" i="17"/>
  <c r="KIT77" i="17"/>
  <c r="KIS77" i="17"/>
  <c r="KIR77" i="17"/>
  <c r="KIQ77" i="17"/>
  <c r="KIP77" i="17"/>
  <c r="KIO77" i="17"/>
  <c r="KIN77" i="17"/>
  <c r="KIM77" i="17"/>
  <c r="KIL77" i="17"/>
  <c r="KIK77" i="17"/>
  <c r="KIJ77" i="17"/>
  <c r="KII77" i="17"/>
  <c r="KIH77" i="17"/>
  <c r="KIG77" i="17"/>
  <c r="KIF77" i="17"/>
  <c r="KIE77" i="17"/>
  <c r="KID77" i="17"/>
  <c r="KIC77" i="17"/>
  <c r="KIB77" i="17"/>
  <c r="KIA77" i="17"/>
  <c r="KHZ77" i="17"/>
  <c r="KHY77" i="17"/>
  <c r="KHX77" i="17"/>
  <c r="KHW77" i="17"/>
  <c r="KHV77" i="17"/>
  <c r="KHU77" i="17"/>
  <c r="KHT77" i="17"/>
  <c r="KHS77" i="17"/>
  <c r="KHR77" i="17"/>
  <c r="KHQ77" i="17"/>
  <c r="KHP77" i="17"/>
  <c r="KHO77" i="17"/>
  <c r="KHN77" i="17"/>
  <c r="KHM77" i="17"/>
  <c r="KHL77" i="17"/>
  <c r="KHK77" i="17"/>
  <c r="KHJ77" i="17"/>
  <c r="KHI77" i="17"/>
  <c r="KHH77" i="17"/>
  <c r="KHG77" i="17"/>
  <c r="KHF77" i="17"/>
  <c r="KHE77" i="17"/>
  <c r="KHD77" i="17"/>
  <c r="KHC77" i="17"/>
  <c r="KHB77" i="17"/>
  <c r="KHA77" i="17"/>
  <c r="KGZ77" i="17"/>
  <c r="KGY77" i="17"/>
  <c r="KGX77" i="17"/>
  <c r="KGW77" i="17"/>
  <c r="KGV77" i="17"/>
  <c r="KGU77" i="17"/>
  <c r="KGT77" i="17"/>
  <c r="KGS77" i="17"/>
  <c r="KGR77" i="17"/>
  <c r="KGQ77" i="17"/>
  <c r="KGP77" i="17"/>
  <c r="KGO77" i="17"/>
  <c r="KGN77" i="17"/>
  <c r="KGM77" i="17"/>
  <c r="KGL77" i="17"/>
  <c r="KGK77" i="17"/>
  <c r="KGJ77" i="17"/>
  <c r="KGI77" i="17"/>
  <c r="KGH77" i="17"/>
  <c r="KGG77" i="17"/>
  <c r="KGF77" i="17"/>
  <c r="KGE77" i="17"/>
  <c r="KGD77" i="17"/>
  <c r="KGC77" i="17"/>
  <c r="KGB77" i="17"/>
  <c r="KGA77" i="17"/>
  <c r="KFZ77" i="17"/>
  <c r="KFY77" i="17"/>
  <c r="KFX77" i="17"/>
  <c r="KFW77" i="17"/>
  <c r="KFV77" i="17"/>
  <c r="KFU77" i="17"/>
  <c r="KFT77" i="17"/>
  <c r="KFS77" i="17"/>
  <c r="KFR77" i="17"/>
  <c r="KFQ77" i="17"/>
  <c r="KFP77" i="17"/>
  <c r="KFO77" i="17"/>
  <c r="KFN77" i="17"/>
  <c r="KFM77" i="17"/>
  <c r="KFL77" i="17"/>
  <c r="KFK77" i="17"/>
  <c r="KFJ77" i="17"/>
  <c r="KFI77" i="17"/>
  <c r="KFH77" i="17"/>
  <c r="KFG77" i="17"/>
  <c r="KFF77" i="17"/>
  <c r="KFE77" i="17"/>
  <c r="KFD77" i="17"/>
  <c r="KFC77" i="17"/>
  <c r="KFB77" i="17"/>
  <c r="KFA77" i="17"/>
  <c r="KEZ77" i="17"/>
  <c r="KEY77" i="17"/>
  <c r="KEX77" i="17"/>
  <c r="KEW77" i="17"/>
  <c r="KEV77" i="17"/>
  <c r="KEU77" i="17"/>
  <c r="KET77" i="17"/>
  <c r="KES77" i="17"/>
  <c r="KER77" i="17"/>
  <c r="KEQ77" i="17"/>
  <c r="KEP77" i="17"/>
  <c r="KEO77" i="17"/>
  <c r="KEN77" i="17"/>
  <c r="KEM77" i="17"/>
  <c r="KEL77" i="17"/>
  <c r="KEK77" i="17"/>
  <c r="KEJ77" i="17"/>
  <c r="KEI77" i="17"/>
  <c r="KEH77" i="17"/>
  <c r="KEG77" i="17"/>
  <c r="KEF77" i="17"/>
  <c r="KEE77" i="17"/>
  <c r="KED77" i="17"/>
  <c r="KEC77" i="17"/>
  <c r="KEB77" i="17"/>
  <c r="KEA77" i="17"/>
  <c r="KDZ77" i="17"/>
  <c r="KDY77" i="17"/>
  <c r="KDX77" i="17"/>
  <c r="KDW77" i="17"/>
  <c r="KDV77" i="17"/>
  <c r="KDU77" i="17"/>
  <c r="KDT77" i="17"/>
  <c r="KDS77" i="17"/>
  <c r="KDR77" i="17"/>
  <c r="KDQ77" i="17"/>
  <c r="KDP77" i="17"/>
  <c r="KDO77" i="17"/>
  <c r="KDN77" i="17"/>
  <c r="KDM77" i="17"/>
  <c r="KDL77" i="17"/>
  <c r="KDK77" i="17"/>
  <c r="KDJ77" i="17"/>
  <c r="KDI77" i="17"/>
  <c r="KDH77" i="17"/>
  <c r="KDG77" i="17"/>
  <c r="KDF77" i="17"/>
  <c r="KDE77" i="17"/>
  <c r="KDD77" i="17"/>
  <c r="KDC77" i="17"/>
  <c r="KDB77" i="17"/>
  <c r="KDA77" i="17"/>
  <c r="KCZ77" i="17"/>
  <c r="KCY77" i="17"/>
  <c r="KCX77" i="17"/>
  <c r="KCW77" i="17"/>
  <c r="KCV77" i="17"/>
  <c r="KCU77" i="17"/>
  <c r="KCT77" i="17"/>
  <c r="KCS77" i="17"/>
  <c r="KCR77" i="17"/>
  <c r="KCQ77" i="17"/>
  <c r="KCP77" i="17"/>
  <c r="KCO77" i="17"/>
  <c r="KCN77" i="17"/>
  <c r="KCM77" i="17"/>
  <c r="KCL77" i="17"/>
  <c r="KCK77" i="17"/>
  <c r="KCJ77" i="17"/>
  <c r="KCI77" i="17"/>
  <c r="KCH77" i="17"/>
  <c r="KCG77" i="17"/>
  <c r="KCF77" i="17"/>
  <c r="KCE77" i="17"/>
  <c r="KCD77" i="17"/>
  <c r="KCC77" i="17"/>
  <c r="KCB77" i="17"/>
  <c r="KCA77" i="17"/>
  <c r="KBZ77" i="17"/>
  <c r="KBY77" i="17"/>
  <c r="KBX77" i="17"/>
  <c r="KBW77" i="17"/>
  <c r="KBV77" i="17"/>
  <c r="KBU77" i="17"/>
  <c r="KBT77" i="17"/>
  <c r="KBS77" i="17"/>
  <c r="KBR77" i="17"/>
  <c r="KBQ77" i="17"/>
  <c r="KBP77" i="17"/>
  <c r="KBO77" i="17"/>
  <c r="KBN77" i="17"/>
  <c r="KBM77" i="17"/>
  <c r="KBL77" i="17"/>
  <c r="KBK77" i="17"/>
  <c r="KBJ77" i="17"/>
  <c r="KBI77" i="17"/>
  <c r="KBH77" i="17"/>
  <c r="KBG77" i="17"/>
  <c r="KBF77" i="17"/>
  <c r="KBE77" i="17"/>
  <c r="KBD77" i="17"/>
  <c r="KBC77" i="17"/>
  <c r="KBB77" i="17"/>
  <c r="KBA77" i="17"/>
  <c r="KAZ77" i="17"/>
  <c r="KAY77" i="17"/>
  <c r="KAX77" i="17"/>
  <c r="KAW77" i="17"/>
  <c r="KAV77" i="17"/>
  <c r="KAU77" i="17"/>
  <c r="KAT77" i="17"/>
  <c r="KAS77" i="17"/>
  <c r="KAR77" i="17"/>
  <c r="KAQ77" i="17"/>
  <c r="KAP77" i="17"/>
  <c r="KAO77" i="17"/>
  <c r="KAN77" i="17"/>
  <c r="KAM77" i="17"/>
  <c r="KAL77" i="17"/>
  <c r="KAK77" i="17"/>
  <c r="KAJ77" i="17"/>
  <c r="KAI77" i="17"/>
  <c r="KAH77" i="17"/>
  <c r="KAG77" i="17"/>
  <c r="KAF77" i="17"/>
  <c r="KAE77" i="17"/>
  <c r="KAD77" i="17"/>
  <c r="KAC77" i="17"/>
  <c r="KAB77" i="17"/>
  <c r="KAA77" i="17"/>
  <c r="JZZ77" i="17"/>
  <c r="JZY77" i="17"/>
  <c r="JZX77" i="17"/>
  <c r="JZW77" i="17"/>
  <c r="JZV77" i="17"/>
  <c r="JZU77" i="17"/>
  <c r="JZT77" i="17"/>
  <c r="JZS77" i="17"/>
  <c r="JZR77" i="17"/>
  <c r="JZQ77" i="17"/>
  <c r="JZP77" i="17"/>
  <c r="JZO77" i="17"/>
  <c r="JZN77" i="17"/>
  <c r="JZM77" i="17"/>
  <c r="JZL77" i="17"/>
  <c r="JZK77" i="17"/>
  <c r="JZJ77" i="17"/>
  <c r="JZI77" i="17"/>
  <c r="JZH77" i="17"/>
  <c r="JZG77" i="17"/>
  <c r="JZF77" i="17"/>
  <c r="JZE77" i="17"/>
  <c r="JZD77" i="17"/>
  <c r="JZC77" i="17"/>
  <c r="JZB77" i="17"/>
  <c r="JZA77" i="17"/>
  <c r="JYZ77" i="17"/>
  <c r="JYY77" i="17"/>
  <c r="JYX77" i="17"/>
  <c r="JYW77" i="17"/>
  <c r="JYV77" i="17"/>
  <c r="JYU77" i="17"/>
  <c r="JYT77" i="17"/>
  <c r="JYS77" i="17"/>
  <c r="JYR77" i="17"/>
  <c r="JYQ77" i="17"/>
  <c r="JYP77" i="17"/>
  <c r="JYO77" i="17"/>
  <c r="JYN77" i="17"/>
  <c r="JYM77" i="17"/>
  <c r="JYL77" i="17"/>
  <c r="JYK77" i="17"/>
  <c r="JYJ77" i="17"/>
  <c r="JYI77" i="17"/>
  <c r="JYH77" i="17"/>
  <c r="JYG77" i="17"/>
  <c r="JYF77" i="17"/>
  <c r="JYE77" i="17"/>
  <c r="JYD77" i="17"/>
  <c r="JYC77" i="17"/>
  <c r="JYB77" i="17"/>
  <c r="JYA77" i="17"/>
  <c r="JXZ77" i="17"/>
  <c r="JXY77" i="17"/>
  <c r="JXX77" i="17"/>
  <c r="JXW77" i="17"/>
  <c r="JXV77" i="17"/>
  <c r="JXU77" i="17"/>
  <c r="JXT77" i="17"/>
  <c r="JXS77" i="17"/>
  <c r="JXR77" i="17"/>
  <c r="JXQ77" i="17"/>
  <c r="JXP77" i="17"/>
  <c r="JXO77" i="17"/>
  <c r="JXN77" i="17"/>
  <c r="JXM77" i="17"/>
  <c r="JXL77" i="17"/>
  <c r="JXK77" i="17"/>
  <c r="JXJ77" i="17"/>
  <c r="JXI77" i="17"/>
  <c r="JXH77" i="17"/>
  <c r="JXG77" i="17"/>
  <c r="JXF77" i="17"/>
  <c r="JXE77" i="17"/>
  <c r="JXD77" i="17"/>
  <c r="JXC77" i="17"/>
  <c r="JXB77" i="17"/>
  <c r="JXA77" i="17"/>
  <c r="JWZ77" i="17"/>
  <c r="JWY77" i="17"/>
  <c r="JWX77" i="17"/>
  <c r="JWW77" i="17"/>
  <c r="JWV77" i="17"/>
  <c r="JWU77" i="17"/>
  <c r="JWT77" i="17"/>
  <c r="JWS77" i="17"/>
  <c r="JWR77" i="17"/>
  <c r="JWQ77" i="17"/>
  <c r="JWP77" i="17"/>
  <c r="JWO77" i="17"/>
  <c r="JWN77" i="17"/>
  <c r="JWM77" i="17"/>
  <c r="JWL77" i="17"/>
  <c r="JWK77" i="17"/>
  <c r="JWJ77" i="17"/>
  <c r="JWI77" i="17"/>
  <c r="JWH77" i="17"/>
  <c r="JWG77" i="17"/>
  <c r="JWF77" i="17"/>
  <c r="JWE77" i="17"/>
  <c r="JWD77" i="17"/>
  <c r="JWC77" i="17"/>
  <c r="JWB77" i="17"/>
  <c r="JWA77" i="17"/>
  <c r="JVZ77" i="17"/>
  <c r="JVY77" i="17"/>
  <c r="JVX77" i="17"/>
  <c r="JVW77" i="17"/>
  <c r="JVV77" i="17"/>
  <c r="JVU77" i="17"/>
  <c r="JVT77" i="17"/>
  <c r="JVS77" i="17"/>
  <c r="JVR77" i="17"/>
  <c r="JVQ77" i="17"/>
  <c r="JVP77" i="17"/>
  <c r="JVO77" i="17"/>
  <c r="JVN77" i="17"/>
  <c r="JVM77" i="17"/>
  <c r="JVL77" i="17"/>
  <c r="JVK77" i="17"/>
  <c r="JVJ77" i="17"/>
  <c r="JVI77" i="17"/>
  <c r="JVH77" i="17"/>
  <c r="JVG77" i="17"/>
  <c r="JVF77" i="17"/>
  <c r="JVE77" i="17"/>
  <c r="JVD77" i="17"/>
  <c r="JVC77" i="17"/>
  <c r="JVB77" i="17"/>
  <c r="JVA77" i="17"/>
  <c r="JUZ77" i="17"/>
  <c r="JUY77" i="17"/>
  <c r="JUX77" i="17"/>
  <c r="JUW77" i="17"/>
  <c r="JUV77" i="17"/>
  <c r="JUU77" i="17"/>
  <c r="JUT77" i="17"/>
  <c r="JUS77" i="17"/>
  <c r="JUR77" i="17"/>
  <c r="JUQ77" i="17"/>
  <c r="JUP77" i="17"/>
  <c r="JUO77" i="17"/>
  <c r="JUN77" i="17"/>
  <c r="JUM77" i="17"/>
  <c r="JUL77" i="17"/>
  <c r="JUK77" i="17"/>
  <c r="JUJ77" i="17"/>
  <c r="JUI77" i="17"/>
  <c r="JUH77" i="17"/>
  <c r="JUG77" i="17"/>
  <c r="JUF77" i="17"/>
  <c r="JUE77" i="17"/>
  <c r="JUD77" i="17"/>
  <c r="JUC77" i="17"/>
  <c r="JUB77" i="17"/>
  <c r="JUA77" i="17"/>
  <c r="JTZ77" i="17"/>
  <c r="JTY77" i="17"/>
  <c r="JTX77" i="17"/>
  <c r="JTW77" i="17"/>
  <c r="JTV77" i="17"/>
  <c r="JTU77" i="17"/>
  <c r="JTT77" i="17"/>
  <c r="JTS77" i="17"/>
  <c r="JTR77" i="17"/>
  <c r="JTQ77" i="17"/>
  <c r="JTP77" i="17"/>
  <c r="JTO77" i="17"/>
  <c r="JTN77" i="17"/>
  <c r="JTM77" i="17"/>
  <c r="JTL77" i="17"/>
  <c r="JTK77" i="17"/>
  <c r="JTJ77" i="17"/>
  <c r="JTI77" i="17"/>
  <c r="JTH77" i="17"/>
  <c r="JTG77" i="17"/>
  <c r="JTF77" i="17"/>
  <c r="JTE77" i="17"/>
  <c r="JTD77" i="17"/>
  <c r="JTC77" i="17"/>
  <c r="JTB77" i="17"/>
  <c r="JTA77" i="17"/>
  <c r="JSZ77" i="17"/>
  <c r="JSY77" i="17"/>
  <c r="JSX77" i="17"/>
  <c r="JSW77" i="17"/>
  <c r="JSV77" i="17"/>
  <c r="JSU77" i="17"/>
  <c r="JST77" i="17"/>
  <c r="JSS77" i="17"/>
  <c r="JSR77" i="17"/>
  <c r="JSQ77" i="17"/>
  <c r="JSP77" i="17"/>
  <c r="JSO77" i="17"/>
  <c r="JSN77" i="17"/>
  <c r="JSM77" i="17"/>
  <c r="JSL77" i="17"/>
  <c r="JSK77" i="17"/>
  <c r="JSJ77" i="17"/>
  <c r="JSI77" i="17"/>
  <c r="JSH77" i="17"/>
  <c r="JSG77" i="17"/>
  <c r="JSF77" i="17"/>
  <c r="JSE77" i="17"/>
  <c r="JSD77" i="17"/>
  <c r="JSC77" i="17"/>
  <c r="JSB77" i="17"/>
  <c r="JSA77" i="17"/>
  <c r="JRZ77" i="17"/>
  <c r="JRY77" i="17"/>
  <c r="JRX77" i="17"/>
  <c r="JRW77" i="17"/>
  <c r="JRV77" i="17"/>
  <c r="JRU77" i="17"/>
  <c r="JRT77" i="17"/>
  <c r="JRS77" i="17"/>
  <c r="JRR77" i="17"/>
  <c r="JRQ77" i="17"/>
  <c r="JRP77" i="17"/>
  <c r="JRO77" i="17"/>
  <c r="JRN77" i="17"/>
  <c r="JRM77" i="17"/>
  <c r="JRL77" i="17"/>
  <c r="JRK77" i="17"/>
  <c r="JRJ77" i="17"/>
  <c r="JRI77" i="17"/>
  <c r="JRH77" i="17"/>
  <c r="JRG77" i="17"/>
  <c r="JRF77" i="17"/>
  <c r="JRE77" i="17"/>
  <c r="JRD77" i="17"/>
  <c r="JRC77" i="17"/>
  <c r="JRB77" i="17"/>
  <c r="JRA77" i="17"/>
  <c r="JQZ77" i="17"/>
  <c r="JQY77" i="17"/>
  <c r="JQX77" i="17"/>
  <c r="JQW77" i="17"/>
  <c r="JQV77" i="17"/>
  <c r="JQU77" i="17"/>
  <c r="JQT77" i="17"/>
  <c r="JQS77" i="17"/>
  <c r="JQR77" i="17"/>
  <c r="JQQ77" i="17"/>
  <c r="JQP77" i="17"/>
  <c r="JQO77" i="17"/>
  <c r="JQN77" i="17"/>
  <c r="JQM77" i="17"/>
  <c r="JQL77" i="17"/>
  <c r="JQK77" i="17"/>
  <c r="JQJ77" i="17"/>
  <c r="JQI77" i="17"/>
  <c r="JQH77" i="17"/>
  <c r="JQG77" i="17"/>
  <c r="JQF77" i="17"/>
  <c r="JQE77" i="17"/>
  <c r="JQD77" i="17"/>
  <c r="JQC77" i="17"/>
  <c r="JQB77" i="17"/>
  <c r="JQA77" i="17"/>
  <c r="JPZ77" i="17"/>
  <c r="JPY77" i="17"/>
  <c r="JPX77" i="17"/>
  <c r="JPW77" i="17"/>
  <c r="JPV77" i="17"/>
  <c r="JPU77" i="17"/>
  <c r="JPT77" i="17"/>
  <c r="JPS77" i="17"/>
  <c r="JPR77" i="17"/>
  <c r="JPQ77" i="17"/>
  <c r="JPP77" i="17"/>
  <c r="JPO77" i="17"/>
  <c r="JPN77" i="17"/>
  <c r="JPM77" i="17"/>
  <c r="JPL77" i="17"/>
  <c r="JPK77" i="17"/>
  <c r="JPJ77" i="17"/>
  <c r="JPI77" i="17"/>
  <c r="JPH77" i="17"/>
  <c r="JPG77" i="17"/>
  <c r="JPF77" i="17"/>
  <c r="JPE77" i="17"/>
  <c r="JPD77" i="17"/>
  <c r="JPC77" i="17"/>
  <c r="JPB77" i="17"/>
  <c r="JPA77" i="17"/>
  <c r="JOZ77" i="17"/>
  <c r="JOY77" i="17"/>
  <c r="JOX77" i="17"/>
  <c r="JOW77" i="17"/>
  <c r="JOV77" i="17"/>
  <c r="JOU77" i="17"/>
  <c r="JOT77" i="17"/>
  <c r="JOS77" i="17"/>
  <c r="JOR77" i="17"/>
  <c r="JOQ77" i="17"/>
  <c r="JOP77" i="17"/>
  <c r="JOO77" i="17"/>
  <c r="JON77" i="17"/>
  <c r="JOM77" i="17"/>
  <c r="JOL77" i="17"/>
  <c r="JOK77" i="17"/>
  <c r="JOJ77" i="17"/>
  <c r="JOI77" i="17"/>
  <c r="JOH77" i="17"/>
  <c r="JOG77" i="17"/>
  <c r="JOF77" i="17"/>
  <c r="JOE77" i="17"/>
  <c r="JOD77" i="17"/>
  <c r="JOC77" i="17"/>
  <c r="JOB77" i="17"/>
  <c r="JOA77" i="17"/>
  <c r="JNZ77" i="17"/>
  <c r="JNY77" i="17"/>
  <c r="JNX77" i="17"/>
  <c r="JNW77" i="17"/>
  <c r="JNV77" i="17"/>
  <c r="JNU77" i="17"/>
  <c r="JNT77" i="17"/>
  <c r="JNS77" i="17"/>
  <c r="JNR77" i="17"/>
  <c r="JNQ77" i="17"/>
  <c r="JNP77" i="17"/>
  <c r="JNO77" i="17"/>
  <c r="JNN77" i="17"/>
  <c r="JNM77" i="17"/>
  <c r="JNL77" i="17"/>
  <c r="JNK77" i="17"/>
  <c r="JNJ77" i="17"/>
  <c r="JNI77" i="17"/>
  <c r="JNH77" i="17"/>
  <c r="JNG77" i="17"/>
  <c r="JNF77" i="17"/>
  <c r="JNE77" i="17"/>
  <c r="JND77" i="17"/>
  <c r="JNC77" i="17"/>
  <c r="JNB77" i="17"/>
  <c r="JNA77" i="17"/>
  <c r="JMZ77" i="17"/>
  <c r="JMY77" i="17"/>
  <c r="JMX77" i="17"/>
  <c r="JMW77" i="17"/>
  <c r="JMV77" i="17"/>
  <c r="JMU77" i="17"/>
  <c r="JMT77" i="17"/>
  <c r="JMS77" i="17"/>
  <c r="JMR77" i="17"/>
  <c r="JMQ77" i="17"/>
  <c r="JMP77" i="17"/>
  <c r="JMO77" i="17"/>
  <c r="JMN77" i="17"/>
  <c r="JMM77" i="17"/>
  <c r="JML77" i="17"/>
  <c r="JMK77" i="17"/>
  <c r="JMJ77" i="17"/>
  <c r="JMI77" i="17"/>
  <c r="JMH77" i="17"/>
  <c r="JMG77" i="17"/>
  <c r="JMF77" i="17"/>
  <c r="JME77" i="17"/>
  <c r="JMD77" i="17"/>
  <c r="JMC77" i="17"/>
  <c r="JMB77" i="17"/>
  <c r="JMA77" i="17"/>
  <c r="JLZ77" i="17"/>
  <c r="JLY77" i="17"/>
  <c r="JLX77" i="17"/>
  <c r="JLW77" i="17"/>
  <c r="JLV77" i="17"/>
  <c r="JLU77" i="17"/>
  <c r="JLT77" i="17"/>
  <c r="JLS77" i="17"/>
  <c r="JLR77" i="17"/>
  <c r="JLQ77" i="17"/>
  <c r="JLP77" i="17"/>
  <c r="JLO77" i="17"/>
  <c r="JLN77" i="17"/>
  <c r="JLM77" i="17"/>
  <c r="JLL77" i="17"/>
  <c r="JLK77" i="17"/>
  <c r="JLJ77" i="17"/>
  <c r="JLI77" i="17"/>
  <c r="JLH77" i="17"/>
  <c r="JLG77" i="17"/>
  <c r="JLF77" i="17"/>
  <c r="JLE77" i="17"/>
  <c r="JLD77" i="17"/>
  <c r="JLC77" i="17"/>
  <c r="JLB77" i="17"/>
  <c r="JLA77" i="17"/>
  <c r="JKZ77" i="17"/>
  <c r="JKY77" i="17"/>
  <c r="JKX77" i="17"/>
  <c r="JKW77" i="17"/>
  <c r="JKV77" i="17"/>
  <c r="JKU77" i="17"/>
  <c r="JKT77" i="17"/>
  <c r="JKS77" i="17"/>
  <c r="JKR77" i="17"/>
  <c r="JKQ77" i="17"/>
  <c r="JKP77" i="17"/>
  <c r="JKO77" i="17"/>
  <c r="JKN77" i="17"/>
  <c r="JKM77" i="17"/>
  <c r="JKL77" i="17"/>
  <c r="JKK77" i="17"/>
  <c r="JKJ77" i="17"/>
  <c r="JKI77" i="17"/>
  <c r="JKH77" i="17"/>
  <c r="JKG77" i="17"/>
  <c r="JKF77" i="17"/>
  <c r="JKE77" i="17"/>
  <c r="JKD77" i="17"/>
  <c r="JKC77" i="17"/>
  <c r="JKB77" i="17"/>
  <c r="JKA77" i="17"/>
  <c r="JJZ77" i="17"/>
  <c r="JJY77" i="17"/>
  <c r="JJX77" i="17"/>
  <c r="JJW77" i="17"/>
  <c r="JJV77" i="17"/>
  <c r="JJU77" i="17"/>
  <c r="JJT77" i="17"/>
  <c r="JJS77" i="17"/>
  <c r="JJR77" i="17"/>
  <c r="JJQ77" i="17"/>
  <c r="JJP77" i="17"/>
  <c r="JJO77" i="17"/>
  <c r="JJN77" i="17"/>
  <c r="JJM77" i="17"/>
  <c r="JJL77" i="17"/>
  <c r="JJK77" i="17"/>
  <c r="JJJ77" i="17"/>
  <c r="JJI77" i="17"/>
  <c r="JJH77" i="17"/>
  <c r="JJG77" i="17"/>
  <c r="JJF77" i="17"/>
  <c r="JJE77" i="17"/>
  <c r="JJD77" i="17"/>
  <c r="JJC77" i="17"/>
  <c r="JJB77" i="17"/>
  <c r="JJA77" i="17"/>
  <c r="JIZ77" i="17"/>
  <c r="JIY77" i="17"/>
  <c r="JIX77" i="17"/>
  <c r="JIW77" i="17"/>
  <c r="JIV77" i="17"/>
  <c r="JIU77" i="17"/>
  <c r="JIT77" i="17"/>
  <c r="JIS77" i="17"/>
  <c r="JIR77" i="17"/>
  <c r="JIQ77" i="17"/>
  <c r="JIP77" i="17"/>
  <c r="JIO77" i="17"/>
  <c r="JIN77" i="17"/>
  <c r="JIM77" i="17"/>
  <c r="JIL77" i="17"/>
  <c r="JIK77" i="17"/>
  <c r="JIJ77" i="17"/>
  <c r="JII77" i="17"/>
  <c r="JIH77" i="17"/>
  <c r="JIG77" i="17"/>
  <c r="JIF77" i="17"/>
  <c r="JIE77" i="17"/>
  <c r="JID77" i="17"/>
  <c r="JIC77" i="17"/>
  <c r="JIB77" i="17"/>
  <c r="JIA77" i="17"/>
  <c r="JHZ77" i="17"/>
  <c r="JHY77" i="17"/>
  <c r="JHX77" i="17"/>
  <c r="JHW77" i="17"/>
  <c r="JHV77" i="17"/>
  <c r="JHU77" i="17"/>
  <c r="JHT77" i="17"/>
  <c r="JHS77" i="17"/>
  <c r="JHR77" i="17"/>
  <c r="JHQ77" i="17"/>
  <c r="JHP77" i="17"/>
  <c r="JHO77" i="17"/>
  <c r="JHN77" i="17"/>
  <c r="JHM77" i="17"/>
  <c r="JHL77" i="17"/>
  <c r="JHK77" i="17"/>
  <c r="JHJ77" i="17"/>
  <c r="JHI77" i="17"/>
  <c r="JHH77" i="17"/>
  <c r="JHG77" i="17"/>
  <c r="JHF77" i="17"/>
  <c r="JHE77" i="17"/>
  <c r="JHD77" i="17"/>
  <c r="JHC77" i="17"/>
  <c r="JHB77" i="17"/>
  <c r="JHA77" i="17"/>
  <c r="JGZ77" i="17"/>
  <c r="JGY77" i="17"/>
  <c r="JGX77" i="17"/>
  <c r="JGW77" i="17"/>
  <c r="JGV77" i="17"/>
  <c r="JGU77" i="17"/>
  <c r="JGT77" i="17"/>
  <c r="JGS77" i="17"/>
  <c r="JGR77" i="17"/>
  <c r="JGQ77" i="17"/>
  <c r="JGP77" i="17"/>
  <c r="JGO77" i="17"/>
  <c r="JGN77" i="17"/>
  <c r="JGM77" i="17"/>
  <c r="JGL77" i="17"/>
  <c r="JGK77" i="17"/>
  <c r="JGJ77" i="17"/>
  <c r="JGI77" i="17"/>
  <c r="JGH77" i="17"/>
  <c r="JGG77" i="17"/>
  <c r="JGF77" i="17"/>
  <c r="JGE77" i="17"/>
  <c r="JGD77" i="17"/>
  <c r="JGC77" i="17"/>
  <c r="JGB77" i="17"/>
  <c r="JGA77" i="17"/>
  <c r="JFZ77" i="17"/>
  <c r="JFY77" i="17"/>
  <c r="JFX77" i="17"/>
  <c r="JFW77" i="17"/>
  <c r="JFV77" i="17"/>
  <c r="JFU77" i="17"/>
  <c r="JFT77" i="17"/>
  <c r="JFS77" i="17"/>
  <c r="JFR77" i="17"/>
  <c r="JFQ77" i="17"/>
  <c r="JFP77" i="17"/>
  <c r="JFO77" i="17"/>
  <c r="JFN77" i="17"/>
  <c r="JFM77" i="17"/>
  <c r="JFL77" i="17"/>
  <c r="JFK77" i="17"/>
  <c r="JFJ77" i="17"/>
  <c r="JFI77" i="17"/>
  <c r="JFH77" i="17"/>
  <c r="JFG77" i="17"/>
  <c r="JFF77" i="17"/>
  <c r="JFE77" i="17"/>
  <c r="JFD77" i="17"/>
  <c r="JFC77" i="17"/>
  <c r="JFB77" i="17"/>
  <c r="JFA77" i="17"/>
  <c r="JEZ77" i="17"/>
  <c r="JEY77" i="17"/>
  <c r="JEX77" i="17"/>
  <c r="JEW77" i="17"/>
  <c r="JEV77" i="17"/>
  <c r="JEU77" i="17"/>
  <c r="JET77" i="17"/>
  <c r="JES77" i="17"/>
  <c r="JER77" i="17"/>
  <c r="JEQ77" i="17"/>
  <c r="JEP77" i="17"/>
  <c r="JEO77" i="17"/>
  <c r="JEN77" i="17"/>
  <c r="JEM77" i="17"/>
  <c r="JEL77" i="17"/>
  <c r="JEK77" i="17"/>
  <c r="JEJ77" i="17"/>
  <c r="JEI77" i="17"/>
  <c r="JEH77" i="17"/>
  <c r="JEG77" i="17"/>
  <c r="JEF77" i="17"/>
  <c r="JEE77" i="17"/>
  <c r="JED77" i="17"/>
  <c r="JEC77" i="17"/>
  <c r="JEB77" i="17"/>
  <c r="JEA77" i="17"/>
  <c r="JDZ77" i="17"/>
  <c r="JDY77" i="17"/>
  <c r="JDX77" i="17"/>
  <c r="JDW77" i="17"/>
  <c r="JDV77" i="17"/>
  <c r="JDU77" i="17"/>
  <c r="JDT77" i="17"/>
  <c r="JDS77" i="17"/>
  <c r="JDR77" i="17"/>
  <c r="JDQ77" i="17"/>
  <c r="JDP77" i="17"/>
  <c r="JDO77" i="17"/>
  <c r="JDN77" i="17"/>
  <c r="JDM77" i="17"/>
  <c r="JDL77" i="17"/>
  <c r="JDK77" i="17"/>
  <c r="JDJ77" i="17"/>
  <c r="JDI77" i="17"/>
  <c r="JDH77" i="17"/>
  <c r="JDG77" i="17"/>
  <c r="JDF77" i="17"/>
  <c r="JDE77" i="17"/>
  <c r="JDD77" i="17"/>
  <c r="JDC77" i="17"/>
  <c r="JDB77" i="17"/>
  <c r="JDA77" i="17"/>
  <c r="JCZ77" i="17"/>
  <c r="JCY77" i="17"/>
  <c r="JCX77" i="17"/>
  <c r="JCW77" i="17"/>
  <c r="JCV77" i="17"/>
  <c r="JCU77" i="17"/>
  <c r="JCT77" i="17"/>
  <c r="JCS77" i="17"/>
  <c r="JCR77" i="17"/>
  <c r="JCQ77" i="17"/>
  <c r="JCP77" i="17"/>
  <c r="JCO77" i="17"/>
  <c r="JCN77" i="17"/>
  <c r="JCM77" i="17"/>
  <c r="JCL77" i="17"/>
  <c r="JCK77" i="17"/>
  <c r="JCJ77" i="17"/>
  <c r="JCI77" i="17"/>
  <c r="JCH77" i="17"/>
  <c r="JCG77" i="17"/>
  <c r="JCF77" i="17"/>
  <c r="JCE77" i="17"/>
  <c r="JCD77" i="17"/>
  <c r="JCC77" i="17"/>
  <c r="JCB77" i="17"/>
  <c r="JCA77" i="17"/>
  <c r="JBZ77" i="17"/>
  <c r="JBY77" i="17"/>
  <c r="JBX77" i="17"/>
  <c r="JBW77" i="17"/>
  <c r="JBV77" i="17"/>
  <c r="JBU77" i="17"/>
  <c r="JBT77" i="17"/>
  <c r="JBS77" i="17"/>
  <c r="JBR77" i="17"/>
  <c r="JBQ77" i="17"/>
  <c r="JBP77" i="17"/>
  <c r="JBO77" i="17"/>
  <c r="JBN77" i="17"/>
  <c r="JBM77" i="17"/>
  <c r="JBL77" i="17"/>
  <c r="JBK77" i="17"/>
  <c r="JBJ77" i="17"/>
  <c r="JBI77" i="17"/>
  <c r="JBH77" i="17"/>
  <c r="JBG77" i="17"/>
  <c r="JBF77" i="17"/>
  <c r="JBE77" i="17"/>
  <c r="JBD77" i="17"/>
  <c r="JBC77" i="17"/>
  <c r="JBB77" i="17"/>
  <c r="JBA77" i="17"/>
  <c r="JAZ77" i="17"/>
  <c r="JAY77" i="17"/>
  <c r="JAX77" i="17"/>
  <c r="JAW77" i="17"/>
  <c r="JAV77" i="17"/>
  <c r="JAU77" i="17"/>
  <c r="JAT77" i="17"/>
  <c r="JAS77" i="17"/>
  <c r="JAR77" i="17"/>
  <c r="JAQ77" i="17"/>
  <c r="JAP77" i="17"/>
  <c r="JAO77" i="17"/>
  <c r="JAN77" i="17"/>
  <c r="JAM77" i="17"/>
  <c r="JAL77" i="17"/>
  <c r="JAK77" i="17"/>
  <c r="JAJ77" i="17"/>
  <c r="JAI77" i="17"/>
  <c r="JAH77" i="17"/>
  <c r="JAG77" i="17"/>
  <c r="JAF77" i="17"/>
  <c r="JAE77" i="17"/>
  <c r="JAD77" i="17"/>
  <c r="JAC77" i="17"/>
  <c r="JAB77" i="17"/>
  <c r="JAA77" i="17"/>
  <c r="IZZ77" i="17"/>
  <c r="IZY77" i="17"/>
  <c r="IZX77" i="17"/>
  <c r="IZW77" i="17"/>
  <c r="IZV77" i="17"/>
  <c r="IZU77" i="17"/>
  <c r="IZT77" i="17"/>
  <c r="IZS77" i="17"/>
  <c r="IZR77" i="17"/>
  <c r="IZQ77" i="17"/>
  <c r="IZP77" i="17"/>
  <c r="IZO77" i="17"/>
  <c r="IZN77" i="17"/>
  <c r="IZM77" i="17"/>
  <c r="IZL77" i="17"/>
  <c r="IZK77" i="17"/>
  <c r="IZJ77" i="17"/>
  <c r="IZI77" i="17"/>
  <c r="IZH77" i="17"/>
  <c r="IZG77" i="17"/>
  <c r="IZF77" i="17"/>
  <c r="IZE77" i="17"/>
  <c r="IZD77" i="17"/>
  <c r="IZC77" i="17"/>
  <c r="IZB77" i="17"/>
  <c r="IZA77" i="17"/>
  <c r="IYZ77" i="17"/>
  <c r="IYY77" i="17"/>
  <c r="IYX77" i="17"/>
  <c r="IYW77" i="17"/>
  <c r="IYV77" i="17"/>
  <c r="IYU77" i="17"/>
  <c r="IYT77" i="17"/>
  <c r="IYS77" i="17"/>
  <c r="IYR77" i="17"/>
  <c r="IYQ77" i="17"/>
  <c r="IYP77" i="17"/>
  <c r="IYO77" i="17"/>
  <c r="IYN77" i="17"/>
  <c r="IYM77" i="17"/>
  <c r="IYL77" i="17"/>
  <c r="IYK77" i="17"/>
  <c r="IYJ77" i="17"/>
  <c r="IYI77" i="17"/>
  <c r="IYH77" i="17"/>
  <c r="IYG77" i="17"/>
  <c r="IYF77" i="17"/>
  <c r="IYE77" i="17"/>
  <c r="IYD77" i="17"/>
  <c r="IYC77" i="17"/>
  <c r="IYB77" i="17"/>
  <c r="IYA77" i="17"/>
  <c r="IXZ77" i="17"/>
  <c r="IXY77" i="17"/>
  <c r="IXX77" i="17"/>
  <c r="IXW77" i="17"/>
  <c r="IXV77" i="17"/>
  <c r="IXU77" i="17"/>
  <c r="IXT77" i="17"/>
  <c r="IXS77" i="17"/>
  <c r="IXR77" i="17"/>
  <c r="IXQ77" i="17"/>
  <c r="IXP77" i="17"/>
  <c r="IXO77" i="17"/>
  <c r="IXN77" i="17"/>
  <c r="IXM77" i="17"/>
  <c r="IXL77" i="17"/>
  <c r="IXK77" i="17"/>
  <c r="IXJ77" i="17"/>
  <c r="IXI77" i="17"/>
  <c r="IXH77" i="17"/>
  <c r="IXG77" i="17"/>
  <c r="IXF77" i="17"/>
  <c r="IXE77" i="17"/>
  <c r="IXD77" i="17"/>
  <c r="IXC77" i="17"/>
  <c r="IXB77" i="17"/>
  <c r="IXA77" i="17"/>
  <c r="IWZ77" i="17"/>
  <c r="IWY77" i="17"/>
  <c r="IWX77" i="17"/>
  <c r="IWW77" i="17"/>
  <c r="IWV77" i="17"/>
  <c r="IWU77" i="17"/>
  <c r="IWT77" i="17"/>
  <c r="IWS77" i="17"/>
  <c r="IWR77" i="17"/>
  <c r="IWQ77" i="17"/>
  <c r="IWP77" i="17"/>
  <c r="IWO77" i="17"/>
  <c r="IWN77" i="17"/>
  <c r="IWM77" i="17"/>
  <c r="IWL77" i="17"/>
  <c r="IWK77" i="17"/>
  <c r="IWJ77" i="17"/>
  <c r="IWI77" i="17"/>
  <c r="IWH77" i="17"/>
  <c r="IWG77" i="17"/>
  <c r="IWF77" i="17"/>
  <c r="IWE77" i="17"/>
  <c r="IWD77" i="17"/>
  <c r="IWC77" i="17"/>
  <c r="IWB77" i="17"/>
  <c r="IWA77" i="17"/>
  <c r="IVZ77" i="17"/>
  <c r="IVY77" i="17"/>
  <c r="IVX77" i="17"/>
  <c r="IVW77" i="17"/>
  <c r="IVV77" i="17"/>
  <c r="IVU77" i="17"/>
  <c r="IVT77" i="17"/>
  <c r="IVS77" i="17"/>
  <c r="IVR77" i="17"/>
  <c r="IVQ77" i="17"/>
  <c r="IVP77" i="17"/>
  <c r="IVO77" i="17"/>
  <c r="IVN77" i="17"/>
  <c r="IVM77" i="17"/>
  <c r="IVL77" i="17"/>
  <c r="IVK77" i="17"/>
  <c r="IVJ77" i="17"/>
  <c r="IVI77" i="17"/>
  <c r="IVH77" i="17"/>
  <c r="IVG77" i="17"/>
  <c r="IVF77" i="17"/>
  <c r="IVE77" i="17"/>
  <c r="IVD77" i="17"/>
  <c r="IVC77" i="17"/>
  <c r="IVB77" i="17"/>
  <c r="IVA77" i="17"/>
  <c r="IUZ77" i="17"/>
  <c r="IUY77" i="17"/>
  <c r="IUX77" i="17"/>
  <c r="IUW77" i="17"/>
  <c r="IUV77" i="17"/>
  <c r="IUU77" i="17"/>
  <c r="IUT77" i="17"/>
  <c r="IUS77" i="17"/>
  <c r="IUR77" i="17"/>
  <c r="IUQ77" i="17"/>
  <c r="IUP77" i="17"/>
  <c r="IUO77" i="17"/>
  <c r="IUN77" i="17"/>
  <c r="IUM77" i="17"/>
  <c r="IUL77" i="17"/>
  <c r="IUK77" i="17"/>
  <c r="IUJ77" i="17"/>
  <c r="IUI77" i="17"/>
  <c r="IUH77" i="17"/>
  <c r="IUG77" i="17"/>
  <c r="IUF77" i="17"/>
  <c r="IUE77" i="17"/>
  <c r="IUD77" i="17"/>
  <c r="IUC77" i="17"/>
  <c r="IUB77" i="17"/>
  <c r="IUA77" i="17"/>
  <c r="ITZ77" i="17"/>
  <c r="ITY77" i="17"/>
  <c r="ITX77" i="17"/>
  <c r="ITW77" i="17"/>
  <c r="ITV77" i="17"/>
  <c r="ITU77" i="17"/>
  <c r="ITT77" i="17"/>
  <c r="ITS77" i="17"/>
  <c r="ITR77" i="17"/>
  <c r="ITQ77" i="17"/>
  <c r="ITP77" i="17"/>
  <c r="ITO77" i="17"/>
  <c r="ITN77" i="17"/>
  <c r="ITM77" i="17"/>
  <c r="ITL77" i="17"/>
  <c r="ITK77" i="17"/>
  <c r="ITJ77" i="17"/>
  <c r="ITI77" i="17"/>
  <c r="ITH77" i="17"/>
  <c r="ITG77" i="17"/>
  <c r="ITF77" i="17"/>
  <c r="ITE77" i="17"/>
  <c r="ITD77" i="17"/>
  <c r="ITC77" i="17"/>
  <c r="ITB77" i="17"/>
  <c r="ITA77" i="17"/>
  <c r="ISZ77" i="17"/>
  <c r="ISY77" i="17"/>
  <c r="ISX77" i="17"/>
  <c r="ISW77" i="17"/>
  <c r="ISV77" i="17"/>
  <c r="ISU77" i="17"/>
  <c r="IST77" i="17"/>
  <c r="ISS77" i="17"/>
  <c r="ISR77" i="17"/>
  <c r="ISQ77" i="17"/>
  <c r="ISP77" i="17"/>
  <c r="ISO77" i="17"/>
  <c r="ISN77" i="17"/>
  <c r="ISM77" i="17"/>
  <c r="ISL77" i="17"/>
  <c r="ISK77" i="17"/>
  <c r="ISJ77" i="17"/>
  <c r="ISI77" i="17"/>
  <c r="ISH77" i="17"/>
  <c r="ISG77" i="17"/>
  <c r="ISF77" i="17"/>
  <c r="ISE77" i="17"/>
  <c r="ISD77" i="17"/>
  <c r="ISC77" i="17"/>
  <c r="ISB77" i="17"/>
  <c r="ISA77" i="17"/>
  <c r="IRZ77" i="17"/>
  <c r="IRY77" i="17"/>
  <c r="IRX77" i="17"/>
  <c r="IRW77" i="17"/>
  <c r="IRV77" i="17"/>
  <c r="IRU77" i="17"/>
  <c r="IRT77" i="17"/>
  <c r="IRS77" i="17"/>
  <c r="IRR77" i="17"/>
  <c r="IRQ77" i="17"/>
  <c r="IRP77" i="17"/>
  <c r="IRO77" i="17"/>
  <c r="IRN77" i="17"/>
  <c r="IRM77" i="17"/>
  <c r="IRL77" i="17"/>
  <c r="IRK77" i="17"/>
  <c r="IRJ77" i="17"/>
  <c r="IRI77" i="17"/>
  <c r="IRH77" i="17"/>
  <c r="IRG77" i="17"/>
  <c r="IRF77" i="17"/>
  <c r="IRE77" i="17"/>
  <c r="IRD77" i="17"/>
  <c r="IRC77" i="17"/>
  <c r="IRB77" i="17"/>
  <c r="IRA77" i="17"/>
  <c r="IQZ77" i="17"/>
  <c r="IQY77" i="17"/>
  <c r="IQX77" i="17"/>
  <c r="IQW77" i="17"/>
  <c r="IQV77" i="17"/>
  <c r="IQU77" i="17"/>
  <c r="IQT77" i="17"/>
  <c r="IQS77" i="17"/>
  <c r="IQR77" i="17"/>
  <c r="IQQ77" i="17"/>
  <c r="IQP77" i="17"/>
  <c r="IQO77" i="17"/>
  <c r="IQN77" i="17"/>
  <c r="IQM77" i="17"/>
  <c r="IQL77" i="17"/>
  <c r="IQK77" i="17"/>
  <c r="IQJ77" i="17"/>
  <c r="IQI77" i="17"/>
  <c r="IQH77" i="17"/>
  <c r="IQG77" i="17"/>
  <c r="IQF77" i="17"/>
  <c r="IQE77" i="17"/>
  <c r="IQD77" i="17"/>
  <c r="IQC77" i="17"/>
  <c r="IQB77" i="17"/>
  <c r="IQA77" i="17"/>
  <c r="IPZ77" i="17"/>
  <c r="IPY77" i="17"/>
  <c r="IPX77" i="17"/>
  <c r="IPW77" i="17"/>
  <c r="IPV77" i="17"/>
  <c r="IPU77" i="17"/>
  <c r="IPT77" i="17"/>
  <c r="IPS77" i="17"/>
  <c r="IPR77" i="17"/>
  <c r="IPQ77" i="17"/>
  <c r="IPP77" i="17"/>
  <c r="IPO77" i="17"/>
  <c r="IPN77" i="17"/>
  <c r="IPM77" i="17"/>
  <c r="IPL77" i="17"/>
  <c r="IPK77" i="17"/>
  <c r="IPJ77" i="17"/>
  <c r="IPI77" i="17"/>
  <c r="IPH77" i="17"/>
  <c r="IPG77" i="17"/>
  <c r="IPF77" i="17"/>
  <c r="IPE77" i="17"/>
  <c r="IPD77" i="17"/>
  <c r="IPC77" i="17"/>
  <c r="IPB77" i="17"/>
  <c r="IPA77" i="17"/>
  <c r="IOZ77" i="17"/>
  <c r="IOY77" i="17"/>
  <c r="IOX77" i="17"/>
  <c r="IOW77" i="17"/>
  <c r="IOV77" i="17"/>
  <c r="IOU77" i="17"/>
  <c r="IOT77" i="17"/>
  <c r="IOS77" i="17"/>
  <c r="IOR77" i="17"/>
  <c r="IOQ77" i="17"/>
  <c r="IOP77" i="17"/>
  <c r="IOO77" i="17"/>
  <c r="ION77" i="17"/>
  <c r="IOM77" i="17"/>
  <c r="IOL77" i="17"/>
  <c r="IOK77" i="17"/>
  <c r="IOJ77" i="17"/>
  <c r="IOI77" i="17"/>
  <c r="IOH77" i="17"/>
  <c r="IOG77" i="17"/>
  <c r="IOF77" i="17"/>
  <c r="IOE77" i="17"/>
  <c r="IOD77" i="17"/>
  <c r="IOC77" i="17"/>
  <c r="IOB77" i="17"/>
  <c r="IOA77" i="17"/>
  <c r="INZ77" i="17"/>
  <c r="INY77" i="17"/>
  <c r="INX77" i="17"/>
  <c r="INW77" i="17"/>
  <c r="INV77" i="17"/>
  <c r="INU77" i="17"/>
  <c r="INT77" i="17"/>
  <c r="INS77" i="17"/>
  <c r="INR77" i="17"/>
  <c r="INQ77" i="17"/>
  <c r="INP77" i="17"/>
  <c r="INO77" i="17"/>
  <c r="INN77" i="17"/>
  <c r="INM77" i="17"/>
  <c r="INL77" i="17"/>
  <c r="INK77" i="17"/>
  <c r="INJ77" i="17"/>
  <c r="INI77" i="17"/>
  <c r="INH77" i="17"/>
  <c r="ING77" i="17"/>
  <c r="INF77" i="17"/>
  <c r="INE77" i="17"/>
  <c r="IND77" i="17"/>
  <c r="INC77" i="17"/>
  <c r="INB77" i="17"/>
  <c r="INA77" i="17"/>
  <c r="IMZ77" i="17"/>
  <c r="IMY77" i="17"/>
  <c r="IMX77" i="17"/>
  <c r="IMW77" i="17"/>
  <c r="IMV77" i="17"/>
  <c r="IMU77" i="17"/>
  <c r="IMT77" i="17"/>
  <c r="IMS77" i="17"/>
  <c r="IMR77" i="17"/>
  <c r="IMQ77" i="17"/>
  <c r="IMP77" i="17"/>
  <c r="IMO77" i="17"/>
  <c r="IMN77" i="17"/>
  <c r="IMM77" i="17"/>
  <c r="IML77" i="17"/>
  <c r="IMK77" i="17"/>
  <c r="IMJ77" i="17"/>
  <c r="IMI77" i="17"/>
  <c r="IMH77" i="17"/>
  <c r="IMG77" i="17"/>
  <c r="IMF77" i="17"/>
  <c r="IME77" i="17"/>
  <c r="IMD77" i="17"/>
  <c r="IMC77" i="17"/>
  <c r="IMB77" i="17"/>
  <c r="IMA77" i="17"/>
  <c r="ILZ77" i="17"/>
  <c r="ILY77" i="17"/>
  <c r="ILX77" i="17"/>
  <c r="ILW77" i="17"/>
  <c r="ILV77" i="17"/>
  <c r="ILU77" i="17"/>
  <c r="ILT77" i="17"/>
  <c r="ILS77" i="17"/>
  <c r="ILR77" i="17"/>
  <c r="ILQ77" i="17"/>
  <c r="ILP77" i="17"/>
  <c r="ILO77" i="17"/>
  <c r="ILN77" i="17"/>
  <c r="ILM77" i="17"/>
  <c r="ILL77" i="17"/>
  <c r="ILK77" i="17"/>
  <c r="ILJ77" i="17"/>
  <c r="ILI77" i="17"/>
  <c r="ILH77" i="17"/>
  <c r="ILG77" i="17"/>
  <c r="ILF77" i="17"/>
  <c r="ILE77" i="17"/>
  <c r="ILD77" i="17"/>
  <c r="ILC77" i="17"/>
  <c r="ILB77" i="17"/>
  <c r="ILA77" i="17"/>
  <c r="IKZ77" i="17"/>
  <c r="IKY77" i="17"/>
  <c r="IKX77" i="17"/>
  <c r="IKW77" i="17"/>
  <c r="IKV77" i="17"/>
  <c r="IKU77" i="17"/>
  <c r="IKT77" i="17"/>
  <c r="IKS77" i="17"/>
  <c r="IKR77" i="17"/>
  <c r="IKQ77" i="17"/>
  <c r="IKP77" i="17"/>
  <c r="IKO77" i="17"/>
  <c r="IKN77" i="17"/>
  <c r="IKM77" i="17"/>
  <c r="IKL77" i="17"/>
  <c r="IKK77" i="17"/>
  <c r="IKJ77" i="17"/>
  <c r="IKI77" i="17"/>
  <c r="IKH77" i="17"/>
  <c r="IKG77" i="17"/>
  <c r="IKF77" i="17"/>
  <c r="IKE77" i="17"/>
  <c r="IKD77" i="17"/>
  <c r="IKC77" i="17"/>
  <c r="IKB77" i="17"/>
  <c r="IKA77" i="17"/>
  <c r="IJZ77" i="17"/>
  <c r="IJY77" i="17"/>
  <c r="IJX77" i="17"/>
  <c r="IJW77" i="17"/>
  <c r="IJV77" i="17"/>
  <c r="IJU77" i="17"/>
  <c r="IJT77" i="17"/>
  <c r="IJS77" i="17"/>
  <c r="IJR77" i="17"/>
  <c r="IJQ77" i="17"/>
  <c r="IJP77" i="17"/>
  <c r="IJO77" i="17"/>
  <c r="IJN77" i="17"/>
  <c r="IJM77" i="17"/>
  <c r="IJL77" i="17"/>
  <c r="IJK77" i="17"/>
  <c r="IJJ77" i="17"/>
  <c r="IJI77" i="17"/>
  <c r="IJH77" i="17"/>
  <c r="IJG77" i="17"/>
  <c r="IJF77" i="17"/>
  <c r="IJE77" i="17"/>
  <c r="IJD77" i="17"/>
  <c r="IJC77" i="17"/>
  <c r="IJB77" i="17"/>
  <c r="IJA77" i="17"/>
  <c r="IIZ77" i="17"/>
  <c r="IIY77" i="17"/>
  <c r="IIX77" i="17"/>
  <c r="IIW77" i="17"/>
  <c r="IIV77" i="17"/>
  <c r="IIU77" i="17"/>
  <c r="IIT77" i="17"/>
  <c r="IIS77" i="17"/>
  <c r="IIR77" i="17"/>
  <c r="IIQ77" i="17"/>
  <c r="IIP77" i="17"/>
  <c r="IIO77" i="17"/>
  <c r="IIN77" i="17"/>
  <c r="IIM77" i="17"/>
  <c r="IIL77" i="17"/>
  <c r="IIK77" i="17"/>
  <c r="IIJ77" i="17"/>
  <c r="III77" i="17"/>
  <c r="IIH77" i="17"/>
  <c r="IIG77" i="17"/>
  <c r="IIF77" i="17"/>
  <c r="IIE77" i="17"/>
  <c r="IID77" i="17"/>
  <c r="IIC77" i="17"/>
  <c r="IIB77" i="17"/>
  <c r="IIA77" i="17"/>
  <c r="IHZ77" i="17"/>
  <c r="IHY77" i="17"/>
  <c r="IHX77" i="17"/>
  <c r="IHW77" i="17"/>
  <c r="IHV77" i="17"/>
  <c r="IHU77" i="17"/>
  <c r="IHT77" i="17"/>
  <c r="IHS77" i="17"/>
  <c r="IHR77" i="17"/>
  <c r="IHQ77" i="17"/>
  <c r="IHP77" i="17"/>
  <c r="IHO77" i="17"/>
  <c r="IHN77" i="17"/>
  <c r="IHM77" i="17"/>
  <c r="IHL77" i="17"/>
  <c r="IHK77" i="17"/>
  <c r="IHJ77" i="17"/>
  <c r="IHI77" i="17"/>
  <c r="IHH77" i="17"/>
  <c r="IHG77" i="17"/>
  <c r="IHF77" i="17"/>
  <c r="IHE77" i="17"/>
  <c r="IHD77" i="17"/>
  <c r="IHC77" i="17"/>
  <c r="IHB77" i="17"/>
  <c r="IHA77" i="17"/>
  <c r="IGZ77" i="17"/>
  <c r="IGY77" i="17"/>
  <c r="IGX77" i="17"/>
  <c r="IGW77" i="17"/>
  <c r="IGV77" i="17"/>
  <c r="IGU77" i="17"/>
  <c r="IGT77" i="17"/>
  <c r="IGS77" i="17"/>
  <c r="IGR77" i="17"/>
  <c r="IGQ77" i="17"/>
  <c r="IGP77" i="17"/>
  <c r="IGO77" i="17"/>
  <c r="IGN77" i="17"/>
  <c r="IGM77" i="17"/>
  <c r="IGL77" i="17"/>
  <c r="IGK77" i="17"/>
  <c r="IGJ77" i="17"/>
  <c r="IGI77" i="17"/>
  <c r="IGH77" i="17"/>
  <c r="IGG77" i="17"/>
  <c r="IGF77" i="17"/>
  <c r="IGE77" i="17"/>
  <c r="IGD77" i="17"/>
  <c r="IGC77" i="17"/>
  <c r="IGB77" i="17"/>
  <c r="IGA77" i="17"/>
  <c r="IFZ77" i="17"/>
  <c r="IFY77" i="17"/>
  <c r="IFX77" i="17"/>
  <c r="IFW77" i="17"/>
  <c r="IFV77" i="17"/>
  <c r="IFU77" i="17"/>
  <c r="IFT77" i="17"/>
  <c r="IFS77" i="17"/>
  <c r="IFR77" i="17"/>
  <c r="IFQ77" i="17"/>
  <c r="IFP77" i="17"/>
  <c r="IFO77" i="17"/>
  <c r="IFN77" i="17"/>
  <c r="IFM77" i="17"/>
  <c r="IFL77" i="17"/>
  <c r="IFK77" i="17"/>
  <c r="IFJ77" i="17"/>
  <c r="IFI77" i="17"/>
  <c r="IFH77" i="17"/>
  <c r="IFG77" i="17"/>
  <c r="IFF77" i="17"/>
  <c r="IFE77" i="17"/>
  <c r="IFD77" i="17"/>
  <c r="IFC77" i="17"/>
  <c r="IFB77" i="17"/>
  <c r="IFA77" i="17"/>
  <c r="IEZ77" i="17"/>
  <c r="IEY77" i="17"/>
  <c r="IEX77" i="17"/>
  <c r="IEW77" i="17"/>
  <c r="IEV77" i="17"/>
  <c r="IEU77" i="17"/>
  <c r="IET77" i="17"/>
  <c r="IES77" i="17"/>
  <c r="IER77" i="17"/>
  <c r="IEQ77" i="17"/>
  <c r="IEP77" i="17"/>
  <c r="IEO77" i="17"/>
  <c r="IEN77" i="17"/>
  <c r="IEM77" i="17"/>
  <c r="IEL77" i="17"/>
  <c r="IEK77" i="17"/>
  <c r="IEJ77" i="17"/>
  <c r="IEI77" i="17"/>
  <c r="IEH77" i="17"/>
  <c r="IEG77" i="17"/>
  <c r="IEF77" i="17"/>
  <c r="IEE77" i="17"/>
  <c r="IED77" i="17"/>
  <c r="IEC77" i="17"/>
  <c r="IEB77" i="17"/>
  <c r="IEA77" i="17"/>
  <c r="IDZ77" i="17"/>
  <c r="IDY77" i="17"/>
  <c r="IDX77" i="17"/>
  <c r="IDW77" i="17"/>
  <c r="IDV77" i="17"/>
  <c r="IDU77" i="17"/>
  <c r="IDT77" i="17"/>
  <c r="IDS77" i="17"/>
  <c r="IDR77" i="17"/>
  <c r="IDQ77" i="17"/>
  <c r="IDP77" i="17"/>
  <c r="IDO77" i="17"/>
  <c r="IDN77" i="17"/>
  <c r="IDM77" i="17"/>
  <c r="IDL77" i="17"/>
  <c r="IDK77" i="17"/>
  <c r="IDJ77" i="17"/>
  <c r="IDI77" i="17"/>
  <c r="IDH77" i="17"/>
  <c r="IDG77" i="17"/>
  <c r="IDF77" i="17"/>
  <c r="IDE77" i="17"/>
  <c r="IDD77" i="17"/>
  <c r="IDC77" i="17"/>
  <c r="IDB77" i="17"/>
  <c r="IDA77" i="17"/>
  <c r="ICZ77" i="17"/>
  <c r="ICY77" i="17"/>
  <c r="ICX77" i="17"/>
  <c r="ICW77" i="17"/>
  <c r="ICV77" i="17"/>
  <c r="ICU77" i="17"/>
  <c r="ICT77" i="17"/>
  <c r="ICS77" i="17"/>
  <c r="ICR77" i="17"/>
  <c r="ICQ77" i="17"/>
  <c r="ICP77" i="17"/>
  <c r="ICO77" i="17"/>
  <c r="ICN77" i="17"/>
  <c r="ICM77" i="17"/>
  <c r="ICL77" i="17"/>
  <c r="ICK77" i="17"/>
  <c r="ICJ77" i="17"/>
  <c r="ICI77" i="17"/>
  <c r="ICH77" i="17"/>
  <c r="ICG77" i="17"/>
  <c r="ICF77" i="17"/>
  <c r="ICE77" i="17"/>
  <c r="ICD77" i="17"/>
  <c r="ICC77" i="17"/>
  <c r="ICB77" i="17"/>
  <c r="ICA77" i="17"/>
  <c r="IBZ77" i="17"/>
  <c r="IBY77" i="17"/>
  <c r="IBX77" i="17"/>
  <c r="IBW77" i="17"/>
  <c r="IBV77" i="17"/>
  <c r="IBU77" i="17"/>
  <c r="IBT77" i="17"/>
  <c r="IBS77" i="17"/>
  <c r="IBR77" i="17"/>
  <c r="IBQ77" i="17"/>
  <c r="IBP77" i="17"/>
  <c r="IBO77" i="17"/>
  <c r="IBN77" i="17"/>
  <c r="IBM77" i="17"/>
  <c r="IBL77" i="17"/>
  <c r="IBK77" i="17"/>
  <c r="IBJ77" i="17"/>
  <c r="IBI77" i="17"/>
  <c r="IBH77" i="17"/>
  <c r="IBG77" i="17"/>
  <c r="IBF77" i="17"/>
  <c r="IBE77" i="17"/>
  <c r="IBD77" i="17"/>
  <c r="IBC77" i="17"/>
  <c r="IBB77" i="17"/>
  <c r="IBA77" i="17"/>
  <c r="IAZ77" i="17"/>
  <c r="IAY77" i="17"/>
  <c r="IAX77" i="17"/>
  <c r="IAW77" i="17"/>
  <c r="IAV77" i="17"/>
  <c r="IAU77" i="17"/>
  <c r="IAT77" i="17"/>
  <c r="IAS77" i="17"/>
  <c r="IAR77" i="17"/>
  <c r="IAQ77" i="17"/>
  <c r="IAP77" i="17"/>
  <c r="IAO77" i="17"/>
  <c r="IAN77" i="17"/>
  <c r="IAM77" i="17"/>
  <c r="IAL77" i="17"/>
  <c r="IAK77" i="17"/>
  <c r="IAJ77" i="17"/>
  <c r="IAI77" i="17"/>
  <c r="IAH77" i="17"/>
  <c r="IAG77" i="17"/>
  <c r="IAF77" i="17"/>
  <c r="IAE77" i="17"/>
  <c r="IAD77" i="17"/>
  <c r="IAC77" i="17"/>
  <c r="IAB77" i="17"/>
  <c r="IAA77" i="17"/>
  <c r="HZZ77" i="17"/>
  <c r="HZY77" i="17"/>
  <c r="HZX77" i="17"/>
  <c r="HZW77" i="17"/>
  <c r="HZV77" i="17"/>
  <c r="HZU77" i="17"/>
  <c r="HZT77" i="17"/>
  <c r="HZS77" i="17"/>
  <c r="HZR77" i="17"/>
  <c r="HZQ77" i="17"/>
  <c r="HZP77" i="17"/>
  <c r="HZO77" i="17"/>
  <c r="HZN77" i="17"/>
  <c r="HZM77" i="17"/>
  <c r="HZL77" i="17"/>
  <c r="HZK77" i="17"/>
  <c r="HZJ77" i="17"/>
  <c r="HZI77" i="17"/>
  <c r="HZH77" i="17"/>
  <c r="HZG77" i="17"/>
  <c r="HZF77" i="17"/>
  <c r="HZE77" i="17"/>
  <c r="HZD77" i="17"/>
  <c r="HZC77" i="17"/>
  <c r="HZB77" i="17"/>
  <c r="HZA77" i="17"/>
  <c r="HYZ77" i="17"/>
  <c r="HYY77" i="17"/>
  <c r="HYX77" i="17"/>
  <c r="HYW77" i="17"/>
  <c r="HYV77" i="17"/>
  <c r="HYU77" i="17"/>
  <c r="HYT77" i="17"/>
  <c r="HYS77" i="17"/>
  <c r="HYR77" i="17"/>
  <c r="HYQ77" i="17"/>
  <c r="HYP77" i="17"/>
  <c r="HYO77" i="17"/>
  <c r="HYN77" i="17"/>
  <c r="HYM77" i="17"/>
  <c r="HYL77" i="17"/>
  <c r="HYK77" i="17"/>
  <c r="HYJ77" i="17"/>
  <c r="HYI77" i="17"/>
  <c r="HYH77" i="17"/>
  <c r="HYG77" i="17"/>
  <c r="HYF77" i="17"/>
  <c r="HYE77" i="17"/>
  <c r="HYD77" i="17"/>
  <c r="HYC77" i="17"/>
  <c r="HYB77" i="17"/>
  <c r="HYA77" i="17"/>
  <c r="HXZ77" i="17"/>
  <c r="HXY77" i="17"/>
  <c r="HXX77" i="17"/>
  <c r="HXW77" i="17"/>
  <c r="HXV77" i="17"/>
  <c r="HXU77" i="17"/>
  <c r="HXT77" i="17"/>
  <c r="HXS77" i="17"/>
  <c r="HXR77" i="17"/>
  <c r="HXQ77" i="17"/>
  <c r="HXP77" i="17"/>
  <c r="HXO77" i="17"/>
  <c r="HXN77" i="17"/>
  <c r="HXM77" i="17"/>
  <c r="HXL77" i="17"/>
  <c r="HXK77" i="17"/>
  <c r="HXJ77" i="17"/>
  <c r="HXI77" i="17"/>
  <c r="HXH77" i="17"/>
  <c r="HXG77" i="17"/>
  <c r="HXF77" i="17"/>
  <c r="HXE77" i="17"/>
  <c r="HXD77" i="17"/>
  <c r="HXC77" i="17"/>
  <c r="HXB77" i="17"/>
  <c r="HXA77" i="17"/>
  <c r="HWZ77" i="17"/>
  <c r="HWY77" i="17"/>
  <c r="HWX77" i="17"/>
  <c r="HWW77" i="17"/>
  <c r="HWV77" i="17"/>
  <c r="HWU77" i="17"/>
  <c r="HWT77" i="17"/>
  <c r="HWS77" i="17"/>
  <c r="HWR77" i="17"/>
  <c r="HWQ77" i="17"/>
  <c r="HWP77" i="17"/>
  <c r="HWO77" i="17"/>
  <c r="HWN77" i="17"/>
  <c r="HWM77" i="17"/>
  <c r="HWL77" i="17"/>
  <c r="HWK77" i="17"/>
  <c r="HWJ77" i="17"/>
  <c r="HWI77" i="17"/>
  <c r="HWH77" i="17"/>
  <c r="HWG77" i="17"/>
  <c r="HWF77" i="17"/>
  <c r="HWE77" i="17"/>
  <c r="HWD77" i="17"/>
  <c r="HWC77" i="17"/>
  <c r="HWB77" i="17"/>
  <c r="HWA77" i="17"/>
  <c r="HVZ77" i="17"/>
  <c r="HVY77" i="17"/>
  <c r="HVX77" i="17"/>
  <c r="HVW77" i="17"/>
  <c r="HVV77" i="17"/>
  <c r="HVU77" i="17"/>
  <c r="HVT77" i="17"/>
  <c r="HVS77" i="17"/>
  <c r="HVR77" i="17"/>
  <c r="HVQ77" i="17"/>
  <c r="HVP77" i="17"/>
  <c r="HVO77" i="17"/>
  <c r="HVN77" i="17"/>
  <c r="HVM77" i="17"/>
  <c r="HVL77" i="17"/>
  <c r="HVK77" i="17"/>
  <c r="HVJ77" i="17"/>
  <c r="HVI77" i="17"/>
  <c r="HVH77" i="17"/>
  <c r="HVG77" i="17"/>
  <c r="HVF77" i="17"/>
  <c r="HVE77" i="17"/>
  <c r="HVD77" i="17"/>
  <c r="HVC77" i="17"/>
  <c r="HVB77" i="17"/>
  <c r="HVA77" i="17"/>
  <c r="HUZ77" i="17"/>
  <c r="HUY77" i="17"/>
  <c r="HUX77" i="17"/>
  <c r="HUW77" i="17"/>
  <c r="HUV77" i="17"/>
  <c r="HUU77" i="17"/>
  <c r="HUT77" i="17"/>
  <c r="HUS77" i="17"/>
  <c r="HUR77" i="17"/>
  <c r="HUQ77" i="17"/>
  <c r="HUP77" i="17"/>
  <c r="HUO77" i="17"/>
  <c r="HUN77" i="17"/>
  <c r="HUM77" i="17"/>
  <c r="HUL77" i="17"/>
  <c r="HUK77" i="17"/>
  <c r="HUJ77" i="17"/>
  <c r="HUI77" i="17"/>
  <c r="HUH77" i="17"/>
  <c r="HUG77" i="17"/>
  <c r="HUF77" i="17"/>
  <c r="HUE77" i="17"/>
  <c r="HUD77" i="17"/>
  <c r="HUC77" i="17"/>
  <c r="HUB77" i="17"/>
  <c r="HUA77" i="17"/>
  <c r="HTZ77" i="17"/>
  <c r="HTY77" i="17"/>
  <c r="HTX77" i="17"/>
  <c r="HTW77" i="17"/>
  <c r="HTV77" i="17"/>
  <c r="HTU77" i="17"/>
  <c r="HTT77" i="17"/>
  <c r="HTS77" i="17"/>
  <c r="HTR77" i="17"/>
  <c r="HTQ77" i="17"/>
  <c r="HTP77" i="17"/>
  <c r="HTO77" i="17"/>
  <c r="HTN77" i="17"/>
  <c r="HTM77" i="17"/>
  <c r="HTL77" i="17"/>
  <c r="HTK77" i="17"/>
  <c r="HTJ77" i="17"/>
  <c r="HTI77" i="17"/>
  <c r="HTH77" i="17"/>
  <c r="HTG77" i="17"/>
  <c r="HTF77" i="17"/>
  <c r="HTE77" i="17"/>
  <c r="HTD77" i="17"/>
  <c r="HTC77" i="17"/>
  <c r="HTB77" i="17"/>
  <c r="HTA77" i="17"/>
  <c r="HSZ77" i="17"/>
  <c r="HSY77" i="17"/>
  <c r="HSX77" i="17"/>
  <c r="HSW77" i="17"/>
  <c r="HSV77" i="17"/>
  <c r="HSU77" i="17"/>
  <c r="HST77" i="17"/>
  <c r="HSS77" i="17"/>
  <c r="HSR77" i="17"/>
  <c r="HSQ77" i="17"/>
  <c r="HSP77" i="17"/>
  <c r="HSO77" i="17"/>
  <c r="HSN77" i="17"/>
  <c r="HSM77" i="17"/>
  <c r="HSL77" i="17"/>
  <c r="HSK77" i="17"/>
  <c r="HSJ77" i="17"/>
  <c r="HSI77" i="17"/>
  <c r="HSH77" i="17"/>
  <c r="HSG77" i="17"/>
  <c r="HSF77" i="17"/>
  <c r="HSE77" i="17"/>
  <c r="HSD77" i="17"/>
  <c r="HSC77" i="17"/>
  <c r="HSB77" i="17"/>
  <c r="HSA77" i="17"/>
  <c r="HRZ77" i="17"/>
  <c r="HRY77" i="17"/>
  <c r="HRX77" i="17"/>
  <c r="HRW77" i="17"/>
  <c r="HRV77" i="17"/>
  <c r="HRU77" i="17"/>
  <c r="HRT77" i="17"/>
  <c r="HRS77" i="17"/>
  <c r="HRR77" i="17"/>
  <c r="HRQ77" i="17"/>
  <c r="HRP77" i="17"/>
  <c r="HRO77" i="17"/>
  <c r="HRN77" i="17"/>
  <c r="HRM77" i="17"/>
  <c r="HRL77" i="17"/>
  <c r="HRK77" i="17"/>
  <c r="HRJ77" i="17"/>
  <c r="HRI77" i="17"/>
  <c r="HRH77" i="17"/>
  <c r="HRG77" i="17"/>
  <c r="HRF77" i="17"/>
  <c r="HRE77" i="17"/>
  <c r="HRD77" i="17"/>
  <c r="HRC77" i="17"/>
  <c r="HRB77" i="17"/>
  <c r="HRA77" i="17"/>
  <c r="HQZ77" i="17"/>
  <c r="HQY77" i="17"/>
  <c r="HQX77" i="17"/>
  <c r="HQW77" i="17"/>
  <c r="HQV77" i="17"/>
  <c r="HQU77" i="17"/>
  <c r="HQT77" i="17"/>
  <c r="HQS77" i="17"/>
  <c r="HQR77" i="17"/>
  <c r="HQQ77" i="17"/>
  <c r="HQP77" i="17"/>
  <c r="HQO77" i="17"/>
  <c r="HQN77" i="17"/>
  <c r="HQM77" i="17"/>
  <c r="HQL77" i="17"/>
  <c r="HQK77" i="17"/>
  <c r="HQJ77" i="17"/>
  <c r="HQI77" i="17"/>
  <c r="HQH77" i="17"/>
  <c r="HQG77" i="17"/>
  <c r="HQF77" i="17"/>
  <c r="HQE77" i="17"/>
  <c r="HQD77" i="17"/>
  <c r="HQC77" i="17"/>
  <c r="HQB77" i="17"/>
  <c r="HQA77" i="17"/>
  <c r="HPZ77" i="17"/>
  <c r="HPY77" i="17"/>
  <c r="HPX77" i="17"/>
  <c r="HPW77" i="17"/>
  <c r="HPV77" i="17"/>
  <c r="HPU77" i="17"/>
  <c r="HPT77" i="17"/>
  <c r="HPS77" i="17"/>
  <c r="HPR77" i="17"/>
  <c r="HPQ77" i="17"/>
  <c r="HPP77" i="17"/>
  <c r="HPO77" i="17"/>
  <c r="HPN77" i="17"/>
  <c r="HPM77" i="17"/>
  <c r="HPL77" i="17"/>
  <c r="HPK77" i="17"/>
  <c r="HPJ77" i="17"/>
  <c r="HPI77" i="17"/>
  <c r="HPH77" i="17"/>
  <c r="HPG77" i="17"/>
  <c r="HPF77" i="17"/>
  <c r="HPE77" i="17"/>
  <c r="HPD77" i="17"/>
  <c r="HPC77" i="17"/>
  <c r="HPB77" i="17"/>
  <c r="HPA77" i="17"/>
  <c r="HOZ77" i="17"/>
  <c r="HOY77" i="17"/>
  <c r="HOX77" i="17"/>
  <c r="HOW77" i="17"/>
  <c r="HOV77" i="17"/>
  <c r="HOU77" i="17"/>
  <c r="HOT77" i="17"/>
  <c r="HOS77" i="17"/>
  <c r="HOR77" i="17"/>
  <c r="HOQ77" i="17"/>
  <c r="HOP77" i="17"/>
  <c r="HOO77" i="17"/>
  <c r="HON77" i="17"/>
  <c r="HOM77" i="17"/>
  <c r="HOL77" i="17"/>
  <c r="HOK77" i="17"/>
  <c r="HOJ77" i="17"/>
  <c r="HOI77" i="17"/>
  <c r="HOH77" i="17"/>
  <c r="HOG77" i="17"/>
  <c r="HOF77" i="17"/>
  <c r="HOE77" i="17"/>
  <c r="HOD77" i="17"/>
  <c r="HOC77" i="17"/>
  <c r="HOB77" i="17"/>
  <c r="HOA77" i="17"/>
  <c r="HNZ77" i="17"/>
  <c r="HNY77" i="17"/>
  <c r="HNX77" i="17"/>
  <c r="HNW77" i="17"/>
  <c r="HNV77" i="17"/>
  <c r="HNU77" i="17"/>
  <c r="HNT77" i="17"/>
  <c r="HNS77" i="17"/>
  <c r="HNR77" i="17"/>
  <c r="HNQ77" i="17"/>
  <c r="HNP77" i="17"/>
  <c r="HNO77" i="17"/>
  <c r="HNN77" i="17"/>
  <c r="HNM77" i="17"/>
  <c r="HNL77" i="17"/>
  <c r="HNK77" i="17"/>
  <c r="HNJ77" i="17"/>
  <c r="HNI77" i="17"/>
  <c r="HNH77" i="17"/>
  <c r="HNG77" i="17"/>
  <c r="HNF77" i="17"/>
  <c r="HNE77" i="17"/>
  <c r="HND77" i="17"/>
  <c r="HNC77" i="17"/>
  <c r="HNB77" i="17"/>
  <c r="HNA77" i="17"/>
  <c r="HMZ77" i="17"/>
  <c r="HMY77" i="17"/>
  <c r="HMX77" i="17"/>
  <c r="HMW77" i="17"/>
  <c r="HMV77" i="17"/>
  <c r="HMU77" i="17"/>
  <c r="HMT77" i="17"/>
  <c r="HMS77" i="17"/>
  <c r="HMR77" i="17"/>
  <c r="HMQ77" i="17"/>
  <c r="HMP77" i="17"/>
  <c r="HMO77" i="17"/>
  <c r="HMN77" i="17"/>
  <c r="HMM77" i="17"/>
  <c r="HML77" i="17"/>
  <c r="HMK77" i="17"/>
  <c r="HMJ77" i="17"/>
  <c r="HMI77" i="17"/>
  <c r="HMH77" i="17"/>
  <c r="HMG77" i="17"/>
  <c r="HMF77" i="17"/>
  <c r="HME77" i="17"/>
  <c r="HMD77" i="17"/>
  <c r="HMC77" i="17"/>
  <c r="HMB77" i="17"/>
  <c r="HMA77" i="17"/>
  <c r="HLZ77" i="17"/>
  <c r="HLY77" i="17"/>
  <c r="HLX77" i="17"/>
  <c r="HLW77" i="17"/>
  <c r="HLV77" i="17"/>
  <c r="HLU77" i="17"/>
  <c r="HLT77" i="17"/>
  <c r="HLS77" i="17"/>
  <c r="HLR77" i="17"/>
  <c r="HLQ77" i="17"/>
  <c r="HLP77" i="17"/>
  <c r="HLO77" i="17"/>
  <c r="HLN77" i="17"/>
  <c r="HLM77" i="17"/>
  <c r="HLL77" i="17"/>
  <c r="HLK77" i="17"/>
  <c r="HLJ77" i="17"/>
  <c r="HLI77" i="17"/>
  <c r="HLH77" i="17"/>
  <c r="HLG77" i="17"/>
  <c r="HLF77" i="17"/>
  <c r="HLE77" i="17"/>
  <c r="HLD77" i="17"/>
  <c r="HLC77" i="17"/>
  <c r="HLB77" i="17"/>
  <c r="HLA77" i="17"/>
  <c r="HKZ77" i="17"/>
  <c r="HKY77" i="17"/>
  <c r="HKX77" i="17"/>
  <c r="HKW77" i="17"/>
  <c r="HKV77" i="17"/>
  <c r="HKU77" i="17"/>
  <c r="HKT77" i="17"/>
  <c r="HKS77" i="17"/>
  <c r="HKR77" i="17"/>
  <c r="HKQ77" i="17"/>
  <c r="HKP77" i="17"/>
  <c r="HKO77" i="17"/>
  <c r="HKN77" i="17"/>
  <c r="HKM77" i="17"/>
  <c r="HKL77" i="17"/>
  <c r="HKK77" i="17"/>
  <c r="HKJ77" i="17"/>
  <c r="HKI77" i="17"/>
  <c r="HKH77" i="17"/>
  <c r="HKG77" i="17"/>
  <c r="HKF77" i="17"/>
  <c r="HKE77" i="17"/>
  <c r="HKD77" i="17"/>
  <c r="HKC77" i="17"/>
  <c r="HKB77" i="17"/>
  <c r="HKA77" i="17"/>
  <c r="HJZ77" i="17"/>
  <c r="HJY77" i="17"/>
  <c r="HJX77" i="17"/>
  <c r="HJW77" i="17"/>
  <c r="HJV77" i="17"/>
  <c r="HJU77" i="17"/>
  <c r="HJT77" i="17"/>
  <c r="HJS77" i="17"/>
  <c r="HJR77" i="17"/>
  <c r="HJQ77" i="17"/>
  <c r="HJP77" i="17"/>
  <c r="HJO77" i="17"/>
  <c r="HJN77" i="17"/>
  <c r="HJM77" i="17"/>
  <c r="HJL77" i="17"/>
  <c r="HJK77" i="17"/>
  <c r="HJJ77" i="17"/>
  <c r="HJI77" i="17"/>
  <c r="HJH77" i="17"/>
  <c r="HJG77" i="17"/>
  <c r="HJF77" i="17"/>
  <c r="HJE77" i="17"/>
  <c r="HJD77" i="17"/>
  <c r="HJC77" i="17"/>
  <c r="HJB77" i="17"/>
  <c r="HJA77" i="17"/>
  <c r="HIZ77" i="17"/>
  <c r="HIY77" i="17"/>
  <c r="HIX77" i="17"/>
  <c r="HIW77" i="17"/>
  <c r="HIV77" i="17"/>
  <c r="HIU77" i="17"/>
  <c r="HIT77" i="17"/>
  <c r="HIS77" i="17"/>
  <c r="HIR77" i="17"/>
  <c r="HIQ77" i="17"/>
  <c r="HIP77" i="17"/>
  <c r="HIO77" i="17"/>
  <c r="HIN77" i="17"/>
  <c r="HIM77" i="17"/>
  <c r="HIL77" i="17"/>
  <c r="HIK77" i="17"/>
  <c r="HIJ77" i="17"/>
  <c r="HII77" i="17"/>
  <c r="HIH77" i="17"/>
  <c r="HIG77" i="17"/>
  <c r="HIF77" i="17"/>
  <c r="HIE77" i="17"/>
  <c r="HID77" i="17"/>
  <c r="HIC77" i="17"/>
  <c r="HIB77" i="17"/>
  <c r="HIA77" i="17"/>
  <c r="HHZ77" i="17"/>
  <c r="HHY77" i="17"/>
  <c r="HHX77" i="17"/>
  <c r="HHW77" i="17"/>
  <c r="HHV77" i="17"/>
  <c r="HHU77" i="17"/>
  <c r="HHT77" i="17"/>
  <c r="HHS77" i="17"/>
  <c r="HHR77" i="17"/>
  <c r="HHQ77" i="17"/>
  <c r="HHP77" i="17"/>
  <c r="HHO77" i="17"/>
  <c r="HHN77" i="17"/>
  <c r="HHM77" i="17"/>
  <c r="HHL77" i="17"/>
  <c r="HHK77" i="17"/>
  <c r="HHJ77" i="17"/>
  <c r="HHI77" i="17"/>
  <c r="HHH77" i="17"/>
  <c r="HHG77" i="17"/>
  <c r="HHF77" i="17"/>
  <c r="HHE77" i="17"/>
  <c r="HHD77" i="17"/>
  <c r="HHC77" i="17"/>
  <c r="HHB77" i="17"/>
  <c r="HHA77" i="17"/>
  <c r="HGZ77" i="17"/>
  <c r="HGY77" i="17"/>
  <c r="HGX77" i="17"/>
  <c r="HGW77" i="17"/>
  <c r="HGV77" i="17"/>
  <c r="HGU77" i="17"/>
  <c r="HGT77" i="17"/>
  <c r="HGS77" i="17"/>
  <c r="HGR77" i="17"/>
  <c r="HGQ77" i="17"/>
  <c r="HGP77" i="17"/>
  <c r="HGO77" i="17"/>
  <c r="HGN77" i="17"/>
  <c r="HGM77" i="17"/>
  <c r="HGL77" i="17"/>
  <c r="HGK77" i="17"/>
  <c r="HGJ77" i="17"/>
  <c r="HGI77" i="17"/>
  <c r="HGH77" i="17"/>
  <c r="HGG77" i="17"/>
  <c r="HGF77" i="17"/>
  <c r="HGE77" i="17"/>
  <c r="HGD77" i="17"/>
  <c r="HGC77" i="17"/>
  <c r="HGB77" i="17"/>
  <c r="HGA77" i="17"/>
  <c r="HFZ77" i="17"/>
  <c r="HFY77" i="17"/>
  <c r="HFX77" i="17"/>
  <c r="HFW77" i="17"/>
  <c r="HFV77" i="17"/>
  <c r="HFU77" i="17"/>
  <c r="HFT77" i="17"/>
  <c r="HFS77" i="17"/>
  <c r="HFR77" i="17"/>
  <c r="HFQ77" i="17"/>
  <c r="HFP77" i="17"/>
  <c r="HFO77" i="17"/>
  <c r="HFN77" i="17"/>
  <c r="HFM77" i="17"/>
  <c r="HFL77" i="17"/>
  <c r="HFK77" i="17"/>
  <c r="HFJ77" i="17"/>
  <c r="HFI77" i="17"/>
  <c r="HFH77" i="17"/>
  <c r="HFG77" i="17"/>
  <c r="HFF77" i="17"/>
  <c r="HFE77" i="17"/>
  <c r="HFD77" i="17"/>
  <c r="HFC77" i="17"/>
  <c r="HFB77" i="17"/>
  <c r="HFA77" i="17"/>
  <c r="HEZ77" i="17"/>
  <c r="HEY77" i="17"/>
  <c r="HEX77" i="17"/>
  <c r="HEW77" i="17"/>
  <c r="HEV77" i="17"/>
  <c r="HEU77" i="17"/>
  <c r="HET77" i="17"/>
  <c r="HES77" i="17"/>
  <c r="HER77" i="17"/>
  <c r="HEQ77" i="17"/>
  <c r="HEP77" i="17"/>
  <c r="HEO77" i="17"/>
  <c r="HEN77" i="17"/>
  <c r="HEM77" i="17"/>
  <c r="HEL77" i="17"/>
  <c r="HEK77" i="17"/>
  <c r="HEJ77" i="17"/>
  <c r="HEI77" i="17"/>
  <c r="HEH77" i="17"/>
  <c r="HEG77" i="17"/>
  <c r="HEF77" i="17"/>
  <c r="HEE77" i="17"/>
  <c r="HED77" i="17"/>
  <c r="HEC77" i="17"/>
  <c r="HEB77" i="17"/>
  <c r="HEA77" i="17"/>
  <c r="HDZ77" i="17"/>
  <c r="HDY77" i="17"/>
  <c r="HDX77" i="17"/>
  <c r="HDW77" i="17"/>
  <c r="HDV77" i="17"/>
  <c r="HDU77" i="17"/>
  <c r="HDT77" i="17"/>
  <c r="HDS77" i="17"/>
  <c r="HDR77" i="17"/>
  <c r="HDQ77" i="17"/>
  <c r="HDP77" i="17"/>
  <c r="HDO77" i="17"/>
  <c r="HDN77" i="17"/>
  <c r="HDM77" i="17"/>
  <c r="HDL77" i="17"/>
  <c r="HDK77" i="17"/>
  <c r="HDJ77" i="17"/>
  <c r="HDI77" i="17"/>
  <c r="HDH77" i="17"/>
  <c r="HDG77" i="17"/>
  <c r="HDF77" i="17"/>
  <c r="HDE77" i="17"/>
  <c r="HDD77" i="17"/>
  <c r="HDC77" i="17"/>
  <c r="HDB77" i="17"/>
  <c r="HDA77" i="17"/>
  <c r="HCZ77" i="17"/>
  <c r="HCY77" i="17"/>
  <c r="HCX77" i="17"/>
  <c r="HCW77" i="17"/>
  <c r="HCV77" i="17"/>
  <c r="HCU77" i="17"/>
  <c r="HCT77" i="17"/>
  <c r="HCS77" i="17"/>
  <c r="HCR77" i="17"/>
  <c r="HCQ77" i="17"/>
  <c r="HCP77" i="17"/>
  <c r="HCO77" i="17"/>
  <c r="HCN77" i="17"/>
  <c r="HCM77" i="17"/>
  <c r="HCL77" i="17"/>
  <c r="HCK77" i="17"/>
  <c r="HCJ77" i="17"/>
  <c r="HCI77" i="17"/>
  <c r="HCH77" i="17"/>
  <c r="HCG77" i="17"/>
  <c r="HCF77" i="17"/>
  <c r="HCE77" i="17"/>
  <c r="HCD77" i="17"/>
  <c r="HCC77" i="17"/>
  <c r="HCB77" i="17"/>
  <c r="HCA77" i="17"/>
  <c r="HBZ77" i="17"/>
  <c r="HBY77" i="17"/>
  <c r="HBX77" i="17"/>
  <c r="HBW77" i="17"/>
  <c r="HBV77" i="17"/>
  <c r="HBU77" i="17"/>
  <c r="HBT77" i="17"/>
  <c r="HBS77" i="17"/>
  <c r="HBR77" i="17"/>
  <c r="HBQ77" i="17"/>
  <c r="HBP77" i="17"/>
  <c r="HBO77" i="17"/>
  <c r="HBN77" i="17"/>
  <c r="HBM77" i="17"/>
  <c r="HBL77" i="17"/>
  <c r="HBK77" i="17"/>
  <c r="HBJ77" i="17"/>
  <c r="HBI77" i="17"/>
  <c r="HBH77" i="17"/>
  <c r="HBG77" i="17"/>
  <c r="HBF77" i="17"/>
  <c r="HBE77" i="17"/>
  <c r="HBD77" i="17"/>
  <c r="HBC77" i="17"/>
  <c r="HBB77" i="17"/>
  <c r="HBA77" i="17"/>
  <c r="HAZ77" i="17"/>
  <c r="HAY77" i="17"/>
  <c r="HAX77" i="17"/>
  <c r="HAW77" i="17"/>
  <c r="HAV77" i="17"/>
  <c r="HAU77" i="17"/>
  <c r="HAT77" i="17"/>
  <c r="HAS77" i="17"/>
  <c r="HAR77" i="17"/>
  <c r="HAQ77" i="17"/>
  <c r="HAP77" i="17"/>
  <c r="HAO77" i="17"/>
  <c r="HAN77" i="17"/>
  <c r="HAM77" i="17"/>
  <c r="HAL77" i="17"/>
  <c r="HAK77" i="17"/>
  <c r="HAJ77" i="17"/>
  <c r="HAI77" i="17"/>
  <c r="HAH77" i="17"/>
  <c r="HAG77" i="17"/>
  <c r="HAF77" i="17"/>
  <c r="HAE77" i="17"/>
  <c r="HAD77" i="17"/>
  <c r="HAC77" i="17"/>
  <c r="HAB77" i="17"/>
  <c r="HAA77" i="17"/>
  <c r="GZZ77" i="17"/>
  <c r="GZY77" i="17"/>
  <c r="GZX77" i="17"/>
  <c r="GZW77" i="17"/>
  <c r="GZV77" i="17"/>
  <c r="GZU77" i="17"/>
  <c r="GZT77" i="17"/>
  <c r="GZS77" i="17"/>
  <c r="GZR77" i="17"/>
  <c r="GZQ77" i="17"/>
  <c r="GZP77" i="17"/>
  <c r="GZO77" i="17"/>
  <c r="GZN77" i="17"/>
  <c r="GZM77" i="17"/>
  <c r="GZL77" i="17"/>
  <c r="GZK77" i="17"/>
  <c r="GZJ77" i="17"/>
  <c r="GZI77" i="17"/>
  <c r="GZH77" i="17"/>
  <c r="GZG77" i="17"/>
  <c r="GZF77" i="17"/>
  <c r="GZE77" i="17"/>
  <c r="GZD77" i="17"/>
  <c r="GZC77" i="17"/>
  <c r="GZB77" i="17"/>
  <c r="GZA77" i="17"/>
  <c r="GYZ77" i="17"/>
  <c r="GYY77" i="17"/>
  <c r="GYX77" i="17"/>
  <c r="GYW77" i="17"/>
  <c r="GYV77" i="17"/>
  <c r="GYU77" i="17"/>
  <c r="GYT77" i="17"/>
  <c r="GYS77" i="17"/>
  <c r="GYR77" i="17"/>
  <c r="GYQ77" i="17"/>
  <c r="GYP77" i="17"/>
  <c r="GYO77" i="17"/>
  <c r="GYN77" i="17"/>
  <c r="GYM77" i="17"/>
  <c r="GYL77" i="17"/>
  <c r="GYK77" i="17"/>
  <c r="GYJ77" i="17"/>
  <c r="GYI77" i="17"/>
  <c r="GYH77" i="17"/>
  <c r="GYG77" i="17"/>
  <c r="GYF77" i="17"/>
  <c r="GYE77" i="17"/>
  <c r="GYD77" i="17"/>
  <c r="GYC77" i="17"/>
  <c r="GYB77" i="17"/>
  <c r="GYA77" i="17"/>
  <c r="GXZ77" i="17"/>
  <c r="GXY77" i="17"/>
  <c r="GXX77" i="17"/>
  <c r="GXW77" i="17"/>
  <c r="GXV77" i="17"/>
  <c r="GXU77" i="17"/>
  <c r="GXT77" i="17"/>
  <c r="GXS77" i="17"/>
  <c r="GXR77" i="17"/>
  <c r="GXQ77" i="17"/>
  <c r="GXP77" i="17"/>
  <c r="GXO77" i="17"/>
  <c r="GXN77" i="17"/>
  <c r="GXM77" i="17"/>
  <c r="GXL77" i="17"/>
  <c r="GXK77" i="17"/>
  <c r="GXJ77" i="17"/>
  <c r="GXI77" i="17"/>
  <c r="GXH77" i="17"/>
  <c r="GXG77" i="17"/>
  <c r="GXF77" i="17"/>
  <c r="GXE77" i="17"/>
  <c r="GXD77" i="17"/>
  <c r="GXC77" i="17"/>
  <c r="GXB77" i="17"/>
  <c r="GXA77" i="17"/>
  <c r="GWZ77" i="17"/>
  <c r="GWY77" i="17"/>
  <c r="GWX77" i="17"/>
  <c r="GWW77" i="17"/>
  <c r="GWV77" i="17"/>
  <c r="GWU77" i="17"/>
  <c r="GWT77" i="17"/>
  <c r="GWS77" i="17"/>
  <c r="GWR77" i="17"/>
  <c r="GWQ77" i="17"/>
  <c r="GWP77" i="17"/>
  <c r="GWO77" i="17"/>
  <c r="GWN77" i="17"/>
  <c r="GWM77" i="17"/>
  <c r="GWL77" i="17"/>
  <c r="GWK77" i="17"/>
  <c r="GWJ77" i="17"/>
  <c r="GWI77" i="17"/>
  <c r="GWH77" i="17"/>
  <c r="GWG77" i="17"/>
  <c r="GWF77" i="17"/>
  <c r="GWE77" i="17"/>
  <c r="GWD77" i="17"/>
  <c r="GWC77" i="17"/>
  <c r="GWB77" i="17"/>
  <c r="GWA77" i="17"/>
  <c r="GVZ77" i="17"/>
  <c r="GVY77" i="17"/>
  <c r="GVX77" i="17"/>
  <c r="GVW77" i="17"/>
  <c r="GVV77" i="17"/>
  <c r="GVU77" i="17"/>
  <c r="GVT77" i="17"/>
  <c r="GVS77" i="17"/>
  <c r="GVR77" i="17"/>
  <c r="GVQ77" i="17"/>
  <c r="GVP77" i="17"/>
  <c r="GVO77" i="17"/>
  <c r="GVN77" i="17"/>
  <c r="GVM77" i="17"/>
  <c r="GVL77" i="17"/>
  <c r="GVK77" i="17"/>
  <c r="GVJ77" i="17"/>
  <c r="GVI77" i="17"/>
  <c r="GVH77" i="17"/>
  <c r="GVG77" i="17"/>
  <c r="GVF77" i="17"/>
  <c r="GVE77" i="17"/>
  <c r="GVD77" i="17"/>
  <c r="GVC77" i="17"/>
  <c r="GVB77" i="17"/>
  <c r="GVA77" i="17"/>
  <c r="GUZ77" i="17"/>
  <c r="GUY77" i="17"/>
  <c r="GUX77" i="17"/>
  <c r="GUW77" i="17"/>
  <c r="GUV77" i="17"/>
  <c r="GUU77" i="17"/>
  <c r="GUT77" i="17"/>
  <c r="GUS77" i="17"/>
  <c r="GUR77" i="17"/>
  <c r="GUQ77" i="17"/>
  <c r="GUP77" i="17"/>
  <c r="GUO77" i="17"/>
  <c r="GUN77" i="17"/>
  <c r="GUM77" i="17"/>
  <c r="GUL77" i="17"/>
  <c r="GUK77" i="17"/>
  <c r="GUJ77" i="17"/>
  <c r="GUI77" i="17"/>
  <c r="GUH77" i="17"/>
  <c r="GUG77" i="17"/>
  <c r="GUF77" i="17"/>
  <c r="GUE77" i="17"/>
  <c r="GUD77" i="17"/>
  <c r="GUC77" i="17"/>
  <c r="GUB77" i="17"/>
  <c r="GUA77" i="17"/>
  <c r="GTZ77" i="17"/>
  <c r="GTY77" i="17"/>
  <c r="GTX77" i="17"/>
  <c r="GTW77" i="17"/>
  <c r="GTV77" i="17"/>
  <c r="GTU77" i="17"/>
  <c r="GTT77" i="17"/>
  <c r="GTS77" i="17"/>
  <c r="GTR77" i="17"/>
  <c r="GTQ77" i="17"/>
  <c r="GTP77" i="17"/>
  <c r="GTO77" i="17"/>
  <c r="GTN77" i="17"/>
  <c r="GTM77" i="17"/>
  <c r="GTL77" i="17"/>
  <c r="GTK77" i="17"/>
  <c r="GTJ77" i="17"/>
  <c r="GTI77" i="17"/>
  <c r="GTH77" i="17"/>
  <c r="GTG77" i="17"/>
  <c r="GTF77" i="17"/>
  <c r="GTE77" i="17"/>
  <c r="GTD77" i="17"/>
  <c r="GTC77" i="17"/>
  <c r="GTB77" i="17"/>
  <c r="GTA77" i="17"/>
  <c r="GSZ77" i="17"/>
  <c r="GSY77" i="17"/>
  <c r="GSX77" i="17"/>
  <c r="GSW77" i="17"/>
  <c r="GSV77" i="17"/>
  <c r="GSU77" i="17"/>
  <c r="GST77" i="17"/>
  <c r="GSS77" i="17"/>
  <c r="GSR77" i="17"/>
  <c r="GSQ77" i="17"/>
  <c r="GSP77" i="17"/>
  <c r="GSO77" i="17"/>
  <c r="GSN77" i="17"/>
  <c r="GSM77" i="17"/>
  <c r="GSL77" i="17"/>
  <c r="GSK77" i="17"/>
  <c r="GSJ77" i="17"/>
  <c r="GSI77" i="17"/>
  <c r="GSH77" i="17"/>
  <c r="GSG77" i="17"/>
  <c r="GSF77" i="17"/>
  <c r="GSE77" i="17"/>
  <c r="GSD77" i="17"/>
  <c r="GSC77" i="17"/>
  <c r="GSB77" i="17"/>
  <c r="GSA77" i="17"/>
  <c r="GRZ77" i="17"/>
  <c r="GRY77" i="17"/>
  <c r="GRX77" i="17"/>
  <c r="GRW77" i="17"/>
  <c r="GRV77" i="17"/>
  <c r="GRU77" i="17"/>
  <c r="GRT77" i="17"/>
  <c r="GRS77" i="17"/>
  <c r="GRR77" i="17"/>
  <c r="GRQ77" i="17"/>
  <c r="GRP77" i="17"/>
  <c r="GRO77" i="17"/>
  <c r="GRN77" i="17"/>
  <c r="GRM77" i="17"/>
  <c r="GRL77" i="17"/>
  <c r="GRK77" i="17"/>
  <c r="GRJ77" i="17"/>
  <c r="GRI77" i="17"/>
  <c r="GRH77" i="17"/>
  <c r="GRG77" i="17"/>
  <c r="GRF77" i="17"/>
  <c r="GRE77" i="17"/>
  <c r="GRD77" i="17"/>
  <c r="GRC77" i="17"/>
  <c r="GRB77" i="17"/>
  <c r="GRA77" i="17"/>
  <c r="GQZ77" i="17"/>
  <c r="GQY77" i="17"/>
  <c r="GQX77" i="17"/>
  <c r="GQW77" i="17"/>
  <c r="GQV77" i="17"/>
  <c r="GQU77" i="17"/>
  <c r="GQT77" i="17"/>
  <c r="GQS77" i="17"/>
  <c r="GQR77" i="17"/>
  <c r="GQQ77" i="17"/>
  <c r="GQP77" i="17"/>
  <c r="GQO77" i="17"/>
  <c r="GQN77" i="17"/>
  <c r="GQM77" i="17"/>
  <c r="GQL77" i="17"/>
  <c r="GQK77" i="17"/>
  <c r="GQJ77" i="17"/>
  <c r="GQI77" i="17"/>
  <c r="GQH77" i="17"/>
  <c r="GQG77" i="17"/>
  <c r="GQF77" i="17"/>
  <c r="GQE77" i="17"/>
  <c r="GQD77" i="17"/>
  <c r="GQC77" i="17"/>
  <c r="GQB77" i="17"/>
  <c r="GQA77" i="17"/>
  <c r="GPZ77" i="17"/>
  <c r="GPY77" i="17"/>
  <c r="GPX77" i="17"/>
  <c r="GPW77" i="17"/>
  <c r="GPV77" i="17"/>
  <c r="GPU77" i="17"/>
  <c r="GPT77" i="17"/>
  <c r="GPS77" i="17"/>
  <c r="GPR77" i="17"/>
  <c r="GPQ77" i="17"/>
  <c r="GPP77" i="17"/>
  <c r="GPO77" i="17"/>
  <c r="GPN77" i="17"/>
  <c r="GPM77" i="17"/>
  <c r="GPL77" i="17"/>
  <c r="GPK77" i="17"/>
  <c r="GPJ77" i="17"/>
  <c r="GPI77" i="17"/>
  <c r="GPH77" i="17"/>
  <c r="GPG77" i="17"/>
  <c r="GPF77" i="17"/>
  <c r="GPE77" i="17"/>
  <c r="GPD77" i="17"/>
  <c r="GPC77" i="17"/>
  <c r="GPB77" i="17"/>
  <c r="GPA77" i="17"/>
  <c r="GOZ77" i="17"/>
  <c r="GOY77" i="17"/>
  <c r="GOX77" i="17"/>
  <c r="GOW77" i="17"/>
  <c r="GOV77" i="17"/>
  <c r="GOU77" i="17"/>
  <c r="GOT77" i="17"/>
  <c r="GOS77" i="17"/>
  <c r="GOR77" i="17"/>
  <c r="GOQ77" i="17"/>
  <c r="GOP77" i="17"/>
  <c r="GOO77" i="17"/>
  <c r="GON77" i="17"/>
  <c r="GOM77" i="17"/>
  <c r="GOL77" i="17"/>
  <c r="GOK77" i="17"/>
  <c r="GOJ77" i="17"/>
  <c r="GOI77" i="17"/>
  <c r="GOH77" i="17"/>
  <c r="GOG77" i="17"/>
  <c r="GOF77" i="17"/>
  <c r="GOE77" i="17"/>
  <c r="GOD77" i="17"/>
  <c r="GOC77" i="17"/>
  <c r="GOB77" i="17"/>
  <c r="GOA77" i="17"/>
  <c r="GNZ77" i="17"/>
  <c r="GNY77" i="17"/>
  <c r="GNX77" i="17"/>
  <c r="GNW77" i="17"/>
  <c r="GNV77" i="17"/>
  <c r="GNU77" i="17"/>
  <c r="GNT77" i="17"/>
  <c r="GNS77" i="17"/>
  <c r="GNR77" i="17"/>
  <c r="GNQ77" i="17"/>
  <c r="GNP77" i="17"/>
  <c r="GNO77" i="17"/>
  <c r="GNN77" i="17"/>
  <c r="GNM77" i="17"/>
  <c r="GNL77" i="17"/>
  <c r="GNK77" i="17"/>
  <c r="GNJ77" i="17"/>
  <c r="GNI77" i="17"/>
  <c r="GNH77" i="17"/>
  <c r="GNG77" i="17"/>
  <c r="GNF77" i="17"/>
  <c r="GNE77" i="17"/>
  <c r="GND77" i="17"/>
  <c r="GNC77" i="17"/>
  <c r="GNB77" i="17"/>
  <c r="GNA77" i="17"/>
  <c r="GMZ77" i="17"/>
  <c r="GMY77" i="17"/>
  <c r="GMX77" i="17"/>
  <c r="GMW77" i="17"/>
  <c r="GMV77" i="17"/>
  <c r="GMU77" i="17"/>
  <c r="GMT77" i="17"/>
  <c r="GMS77" i="17"/>
  <c r="GMR77" i="17"/>
  <c r="GMQ77" i="17"/>
  <c r="GMP77" i="17"/>
  <c r="GMO77" i="17"/>
  <c r="GMN77" i="17"/>
  <c r="GMM77" i="17"/>
  <c r="GML77" i="17"/>
  <c r="GMK77" i="17"/>
  <c r="GMJ77" i="17"/>
  <c r="GMI77" i="17"/>
  <c r="GMH77" i="17"/>
  <c r="GMG77" i="17"/>
  <c r="GMF77" i="17"/>
  <c r="GME77" i="17"/>
  <c r="GMD77" i="17"/>
  <c r="GMC77" i="17"/>
  <c r="GMB77" i="17"/>
  <c r="GMA77" i="17"/>
  <c r="GLZ77" i="17"/>
  <c r="GLY77" i="17"/>
  <c r="GLX77" i="17"/>
  <c r="GLW77" i="17"/>
  <c r="GLV77" i="17"/>
  <c r="GLU77" i="17"/>
  <c r="GLT77" i="17"/>
  <c r="GLS77" i="17"/>
  <c r="GLR77" i="17"/>
  <c r="GLQ77" i="17"/>
  <c r="GLP77" i="17"/>
  <c r="GLO77" i="17"/>
  <c r="GLN77" i="17"/>
  <c r="GLM77" i="17"/>
  <c r="GLL77" i="17"/>
  <c r="GLK77" i="17"/>
  <c r="GLJ77" i="17"/>
  <c r="GLI77" i="17"/>
  <c r="GLH77" i="17"/>
  <c r="GLG77" i="17"/>
  <c r="GLF77" i="17"/>
  <c r="GLE77" i="17"/>
  <c r="GLD77" i="17"/>
  <c r="GLC77" i="17"/>
  <c r="GLB77" i="17"/>
  <c r="GLA77" i="17"/>
  <c r="GKZ77" i="17"/>
  <c r="GKY77" i="17"/>
  <c r="GKX77" i="17"/>
  <c r="GKW77" i="17"/>
  <c r="GKV77" i="17"/>
  <c r="GKU77" i="17"/>
  <c r="GKT77" i="17"/>
  <c r="GKS77" i="17"/>
  <c r="GKR77" i="17"/>
  <c r="GKQ77" i="17"/>
  <c r="GKP77" i="17"/>
  <c r="GKO77" i="17"/>
  <c r="GKN77" i="17"/>
  <c r="GKM77" i="17"/>
  <c r="GKL77" i="17"/>
  <c r="GKK77" i="17"/>
  <c r="GKJ77" i="17"/>
  <c r="GKI77" i="17"/>
  <c r="GKH77" i="17"/>
  <c r="GKG77" i="17"/>
  <c r="GKF77" i="17"/>
  <c r="GKE77" i="17"/>
  <c r="GKD77" i="17"/>
  <c r="GKC77" i="17"/>
  <c r="GKB77" i="17"/>
  <c r="GKA77" i="17"/>
  <c r="GJZ77" i="17"/>
  <c r="GJY77" i="17"/>
  <c r="GJX77" i="17"/>
  <c r="GJW77" i="17"/>
  <c r="GJV77" i="17"/>
  <c r="GJU77" i="17"/>
  <c r="GJT77" i="17"/>
  <c r="GJS77" i="17"/>
  <c r="GJR77" i="17"/>
  <c r="GJQ77" i="17"/>
  <c r="GJP77" i="17"/>
  <c r="GJO77" i="17"/>
  <c r="GJN77" i="17"/>
  <c r="GJM77" i="17"/>
  <c r="GJL77" i="17"/>
  <c r="GJK77" i="17"/>
  <c r="GJJ77" i="17"/>
  <c r="GJI77" i="17"/>
  <c r="GJH77" i="17"/>
  <c r="GJG77" i="17"/>
  <c r="GJF77" i="17"/>
  <c r="GJE77" i="17"/>
  <c r="GJD77" i="17"/>
  <c r="GJC77" i="17"/>
  <c r="GJB77" i="17"/>
  <c r="GJA77" i="17"/>
  <c r="GIZ77" i="17"/>
  <c r="GIY77" i="17"/>
  <c r="GIX77" i="17"/>
  <c r="GIW77" i="17"/>
  <c r="GIV77" i="17"/>
  <c r="GIU77" i="17"/>
  <c r="GIT77" i="17"/>
  <c r="GIS77" i="17"/>
  <c r="GIR77" i="17"/>
  <c r="GIQ77" i="17"/>
  <c r="GIP77" i="17"/>
  <c r="GIO77" i="17"/>
  <c r="GIN77" i="17"/>
  <c r="GIM77" i="17"/>
  <c r="GIL77" i="17"/>
  <c r="GIK77" i="17"/>
  <c r="GIJ77" i="17"/>
  <c r="GII77" i="17"/>
  <c r="GIH77" i="17"/>
  <c r="GIG77" i="17"/>
  <c r="GIF77" i="17"/>
  <c r="GIE77" i="17"/>
  <c r="GID77" i="17"/>
  <c r="GIC77" i="17"/>
  <c r="GIB77" i="17"/>
  <c r="GIA77" i="17"/>
  <c r="GHZ77" i="17"/>
  <c r="GHY77" i="17"/>
  <c r="GHX77" i="17"/>
  <c r="GHW77" i="17"/>
  <c r="GHV77" i="17"/>
  <c r="GHU77" i="17"/>
  <c r="GHT77" i="17"/>
  <c r="GHS77" i="17"/>
  <c r="GHR77" i="17"/>
  <c r="GHQ77" i="17"/>
  <c r="GHP77" i="17"/>
  <c r="GHO77" i="17"/>
  <c r="GHN77" i="17"/>
  <c r="GHM77" i="17"/>
  <c r="GHL77" i="17"/>
  <c r="GHK77" i="17"/>
  <c r="GHJ77" i="17"/>
  <c r="GHI77" i="17"/>
  <c r="GHH77" i="17"/>
  <c r="GHG77" i="17"/>
  <c r="GHF77" i="17"/>
  <c r="GHE77" i="17"/>
  <c r="GHD77" i="17"/>
  <c r="GHC77" i="17"/>
  <c r="GHB77" i="17"/>
  <c r="GHA77" i="17"/>
  <c r="GGZ77" i="17"/>
  <c r="GGY77" i="17"/>
  <c r="GGX77" i="17"/>
  <c r="GGW77" i="17"/>
  <c r="GGV77" i="17"/>
  <c r="GGU77" i="17"/>
  <c r="GGT77" i="17"/>
  <c r="GGS77" i="17"/>
  <c r="GGR77" i="17"/>
  <c r="GGQ77" i="17"/>
  <c r="GGP77" i="17"/>
  <c r="GGO77" i="17"/>
  <c r="GGN77" i="17"/>
  <c r="GGM77" i="17"/>
  <c r="GGL77" i="17"/>
  <c r="GGK77" i="17"/>
  <c r="GGJ77" i="17"/>
  <c r="GGI77" i="17"/>
  <c r="GGH77" i="17"/>
  <c r="GGG77" i="17"/>
  <c r="GGF77" i="17"/>
  <c r="GGE77" i="17"/>
  <c r="GGD77" i="17"/>
  <c r="GGC77" i="17"/>
  <c r="GGB77" i="17"/>
  <c r="GGA77" i="17"/>
  <c r="GFZ77" i="17"/>
  <c r="GFY77" i="17"/>
  <c r="GFX77" i="17"/>
  <c r="GFW77" i="17"/>
  <c r="GFV77" i="17"/>
  <c r="GFU77" i="17"/>
  <c r="GFT77" i="17"/>
  <c r="GFS77" i="17"/>
  <c r="GFR77" i="17"/>
  <c r="GFQ77" i="17"/>
  <c r="GFP77" i="17"/>
  <c r="GFO77" i="17"/>
  <c r="GFN77" i="17"/>
  <c r="GFM77" i="17"/>
  <c r="GFL77" i="17"/>
  <c r="GFK77" i="17"/>
  <c r="GFJ77" i="17"/>
  <c r="GFI77" i="17"/>
  <c r="GFH77" i="17"/>
  <c r="GFG77" i="17"/>
  <c r="GFF77" i="17"/>
  <c r="GFE77" i="17"/>
  <c r="GFD77" i="17"/>
  <c r="GFC77" i="17"/>
  <c r="GFB77" i="17"/>
  <c r="GFA77" i="17"/>
  <c r="GEZ77" i="17"/>
  <c r="GEY77" i="17"/>
  <c r="GEX77" i="17"/>
  <c r="GEW77" i="17"/>
  <c r="GEV77" i="17"/>
  <c r="GEU77" i="17"/>
  <c r="GET77" i="17"/>
  <c r="GES77" i="17"/>
  <c r="GER77" i="17"/>
  <c r="GEQ77" i="17"/>
  <c r="GEP77" i="17"/>
  <c r="GEO77" i="17"/>
  <c r="GEN77" i="17"/>
  <c r="GEM77" i="17"/>
  <c r="GEL77" i="17"/>
  <c r="GEK77" i="17"/>
  <c r="GEJ77" i="17"/>
  <c r="GEI77" i="17"/>
  <c r="GEH77" i="17"/>
  <c r="GEG77" i="17"/>
  <c r="GEF77" i="17"/>
  <c r="GEE77" i="17"/>
  <c r="GED77" i="17"/>
  <c r="GEC77" i="17"/>
  <c r="GEB77" i="17"/>
  <c r="GEA77" i="17"/>
  <c r="GDZ77" i="17"/>
  <c r="GDY77" i="17"/>
  <c r="GDX77" i="17"/>
  <c r="GDW77" i="17"/>
  <c r="GDV77" i="17"/>
  <c r="GDU77" i="17"/>
  <c r="GDT77" i="17"/>
  <c r="GDS77" i="17"/>
  <c r="GDR77" i="17"/>
  <c r="GDQ77" i="17"/>
  <c r="GDP77" i="17"/>
  <c r="GDO77" i="17"/>
  <c r="GDN77" i="17"/>
  <c r="GDM77" i="17"/>
  <c r="GDL77" i="17"/>
  <c r="GDK77" i="17"/>
  <c r="GDJ77" i="17"/>
  <c r="GDI77" i="17"/>
  <c r="GDH77" i="17"/>
  <c r="GDG77" i="17"/>
  <c r="GDF77" i="17"/>
  <c r="GDE77" i="17"/>
  <c r="GDD77" i="17"/>
  <c r="GDC77" i="17"/>
  <c r="GDB77" i="17"/>
  <c r="GDA77" i="17"/>
  <c r="GCZ77" i="17"/>
  <c r="GCY77" i="17"/>
  <c r="GCX77" i="17"/>
  <c r="GCW77" i="17"/>
  <c r="GCV77" i="17"/>
  <c r="GCU77" i="17"/>
  <c r="GCT77" i="17"/>
  <c r="GCS77" i="17"/>
  <c r="GCR77" i="17"/>
  <c r="GCQ77" i="17"/>
  <c r="GCP77" i="17"/>
  <c r="GCO77" i="17"/>
  <c r="GCN77" i="17"/>
  <c r="GCM77" i="17"/>
  <c r="GCL77" i="17"/>
  <c r="GCK77" i="17"/>
  <c r="GCJ77" i="17"/>
  <c r="GCI77" i="17"/>
  <c r="GCH77" i="17"/>
  <c r="GCG77" i="17"/>
  <c r="GCF77" i="17"/>
  <c r="GCE77" i="17"/>
  <c r="GCD77" i="17"/>
  <c r="GCC77" i="17"/>
  <c r="GCB77" i="17"/>
  <c r="GCA77" i="17"/>
  <c r="GBZ77" i="17"/>
  <c r="GBY77" i="17"/>
  <c r="GBX77" i="17"/>
  <c r="GBW77" i="17"/>
  <c r="GBV77" i="17"/>
  <c r="GBU77" i="17"/>
  <c r="GBT77" i="17"/>
  <c r="GBS77" i="17"/>
  <c r="GBR77" i="17"/>
  <c r="GBQ77" i="17"/>
  <c r="GBP77" i="17"/>
  <c r="GBO77" i="17"/>
  <c r="GBN77" i="17"/>
  <c r="GBM77" i="17"/>
  <c r="GBL77" i="17"/>
  <c r="GBK77" i="17"/>
  <c r="GBJ77" i="17"/>
  <c r="GBI77" i="17"/>
  <c r="GBH77" i="17"/>
  <c r="GBG77" i="17"/>
  <c r="GBF77" i="17"/>
  <c r="GBE77" i="17"/>
  <c r="GBD77" i="17"/>
  <c r="GBC77" i="17"/>
  <c r="GBB77" i="17"/>
  <c r="GBA77" i="17"/>
  <c r="GAZ77" i="17"/>
  <c r="GAY77" i="17"/>
  <c r="GAX77" i="17"/>
  <c r="GAW77" i="17"/>
  <c r="GAV77" i="17"/>
  <c r="GAU77" i="17"/>
  <c r="GAT77" i="17"/>
  <c r="GAS77" i="17"/>
  <c r="GAR77" i="17"/>
  <c r="GAQ77" i="17"/>
  <c r="GAP77" i="17"/>
  <c r="GAO77" i="17"/>
  <c r="GAN77" i="17"/>
  <c r="GAM77" i="17"/>
  <c r="GAL77" i="17"/>
  <c r="GAK77" i="17"/>
  <c r="GAJ77" i="17"/>
  <c r="GAI77" i="17"/>
  <c r="GAH77" i="17"/>
  <c r="GAG77" i="17"/>
  <c r="GAF77" i="17"/>
  <c r="GAE77" i="17"/>
  <c r="GAD77" i="17"/>
  <c r="GAC77" i="17"/>
  <c r="GAB77" i="17"/>
  <c r="GAA77" i="17"/>
  <c r="FZZ77" i="17"/>
  <c r="FZY77" i="17"/>
  <c r="FZX77" i="17"/>
  <c r="FZW77" i="17"/>
  <c r="FZV77" i="17"/>
  <c r="FZU77" i="17"/>
  <c r="FZT77" i="17"/>
  <c r="FZS77" i="17"/>
  <c r="FZR77" i="17"/>
  <c r="FZQ77" i="17"/>
  <c r="FZP77" i="17"/>
  <c r="FZO77" i="17"/>
  <c r="FZN77" i="17"/>
  <c r="FZM77" i="17"/>
  <c r="FZL77" i="17"/>
  <c r="FZK77" i="17"/>
  <c r="FZJ77" i="17"/>
  <c r="FZI77" i="17"/>
  <c r="FZH77" i="17"/>
  <c r="FZG77" i="17"/>
  <c r="FZF77" i="17"/>
  <c r="FZE77" i="17"/>
  <c r="FZD77" i="17"/>
  <c r="FZC77" i="17"/>
  <c r="FZB77" i="17"/>
  <c r="FZA77" i="17"/>
  <c r="FYZ77" i="17"/>
  <c r="FYY77" i="17"/>
  <c r="FYX77" i="17"/>
  <c r="FYW77" i="17"/>
  <c r="FYV77" i="17"/>
  <c r="FYU77" i="17"/>
  <c r="FYT77" i="17"/>
  <c r="FYS77" i="17"/>
  <c r="FYR77" i="17"/>
  <c r="FYQ77" i="17"/>
  <c r="FYP77" i="17"/>
  <c r="FYO77" i="17"/>
  <c r="FYN77" i="17"/>
  <c r="FYM77" i="17"/>
  <c r="FYL77" i="17"/>
  <c r="FYK77" i="17"/>
  <c r="FYJ77" i="17"/>
  <c r="FYI77" i="17"/>
  <c r="FYH77" i="17"/>
  <c r="FYG77" i="17"/>
  <c r="FYF77" i="17"/>
  <c r="FYE77" i="17"/>
  <c r="FYD77" i="17"/>
  <c r="FYC77" i="17"/>
  <c r="FYB77" i="17"/>
  <c r="FYA77" i="17"/>
  <c r="FXZ77" i="17"/>
  <c r="FXY77" i="17"/>
  <c r="FXX77" i="17"/>
  <c r="FXW77" i="17"/>
  <c r="FXV77" i="17"/>
  <c r="FXU77" i="17"/>
  <c r="FXT77" i="17"/>
  <c r="FXS77" i="17"/>
  <c r="FXR77" i="17"/>
  <c r="FXQ77" i="17"/>
  <c r="FXP77" i="17"/>
  <c r="FXO77" i="17"/>
  <c r="FXN77" i="17"/>
  <c r="FXM77" i="17"/>
  <c r="FXL77" i="17"/>
  <c r="FXK77" i="17"/>
  <c r="FXJ77" i="17"/>
  <c r="FXI77" i="17"/>
  <c r="FXH77" i="17"/>
  <c r="FXG77" i="17"/>
  <c r="FXF77" i="17"/>
  <c r="FXE77" i="17"/>
  <c r="FXD77" i="17"/>
  <c r="FXC77" i="17"/>
  <c r="FXB77" i="17"/>
  <c r="FXA77" i="17"/>
  <c r="FWZ77" i="17"/>
  <c r="FWY77" i="17"/>
  <c r="FWX77" i="17"/>
  <c r="FWW77" i="17"/>
  <c r="FWV77" i="17"/>
  <c r="FWU77" i="17"/>
  <c r="FWT77" i="17"/>
  <c r="FWS77" i="17"/>
  <c r="FWR77" i="17"/>
  <c r="FWQ77" i="17"/>
  <c r="FWP77" i="17"/>
  <c r="FWO77" i="17"/>
  <c r="FWN77" i="17"/>
  <c r="FWM77" i="17"/>
  <c r="FWL77" i="17"/>
  <c r="FWK77" i="17"/>
  <c r="FWJ77" i="17"/>
  <c r="FWI77" i="17"/>
  <c r="FWH77" i="17"/>
  <c r="FWG77" i="17"/>
  <c r="FWF77" i="17"/>
  <c r="FWE77" i="17"/>
  <c r="FWD77" i="17"/>
  <c r="FWC77" i="17"/>
  <c r="FWB77" i="17"/>
  <c r="FWA77" i="17"/>
  <c r="FVZ77" i="17"/>
  <c r="FVY77" i="17"/>
  <c r="FVX77" i="17"/>
  <c r="FVW77" i="17"/>
  <c r="FVV77" i="17"/>
  <c r="FVU77" i="17"/>
  <c r="FVT77" i="17"/>
  <c r="FVS77" i="17"/>
  <c r="FVR77" i="17"/>
  <c r="FVQ77" i="17"/>
  <c r="FVP77" i="17"/>
  <c r="FVO77" i="17"/>
  <c r="FVN77" i="17"/>
  <c r="FVM77" i="17"/>
  <c r="FVL77" i="17"/>
  <c r="FVK77" i="17"/>
  <c r="FVJ77" i="17"/>
  <c r="FVI77" i="17"/>
  <c r="FVH77" i="17"/>
  <c r="FVG77" i="17"/>
  <c r="FVF77" i="17"/>
  <c r="FVE77" i="17"/>
  <c r="FVD77" i="17"/>
  <c r="FVC77" i="17"/>
  <c r="FVB77" i="17"/>
  <c r="FVA77" i="17"/>
  <c r="FUZ77" i="17"/>
  <c r="FUY77" i="17"/>
  <c r="FUX77" i="17"/>
  <c r="FUW77" i="17"/>
  <c r="FUV77" i="17"/>
  <c r="FUU77" i="17"/>
  <c r="FUT77" i="17"/>
  <c r="FUS77" i="17"/>
  <c r="FUR77" i="17"/>
  <c r="FUQ77" i="17"/>
  <c r="FUP77" i="17"/>
  <c r="FUO77" i="17"/>
  <c r="FUN77" i="17"/>
  <c r="FUM77" i="17"/>
  <c r="FUL77" i="17"/>
  <c r="FUK77" i="17"/>
  <c r="FUJ77" i="17"/>
  <c r="FUI77" i="17"/>
  <c r="FUH77" i="17"/>
  <c r="FUG77" i="17"/>
  <c r="FUF77" i="17"/>
  <c r="FUE77" i="17"/>
  <c r="FUD77" i="17"/>
  <c r="FUC77" i="17"/>
  <c r="FUB77" i="17"/>
  <c r="FUA77" i="17"/>
  <c r="FTZ77" i="17"/>
  <c r="FTY77" i="17"/>
  <c r="FTX77" i="17"/>
  <c r="FTW77" i="17"/>
  <c r="FTV77" i="17"/>
  <c r="FTU77" i="17"/>
  <c r="FTT77" i="17"/>
  <c r="FTS77" i="17"/>
  <c r="FTR77" i="17"/>
  <c r="FTQ77" i="17"/>
  <c r="FTP77" i="17"/>
  <c r="FTO77" i="17"/>
  <c r="FTN77" i="17"/>
  <c r="FTM77" i="17"/>
  <c r="FTL77" i="17"/>
  <c r="FTK77" i="17"/>
  <c r="FTJ77" i="17"/>
  <c r="FTI77" i="17"/>
  <c r="FTH77" i="17"/>
  <c r="FTG77" i="17"/>
  <c r="FTF77" i="17"/>
  <c r="FTE77" i="17"/>
  <c r="FTD77" i="17"/>
  <c r="FTC77" i="17"/>
  <c r="FTB77" i="17"/>
  <c r="FTA77" i="17"/>
  <c r="FSZ77" i="17"/>
  <c r="FSY77" i="17"/>
  <c r="FSX77" i="17"/>
  <c r="FSW77" i="17"/>
  <c r="FSV77" i="17"/>
  <c r="FSU77" i="17"/>
  <c r="FST77" i="17"/>
  <c r="FSS77" i="17"/>
  <c r="FSR77" i="17"/>
  <c r="FSQ77" i="17"/>
  <c r="FSP77" i="17"/>
  <c r="FSO77" i="17"/>
  <c r="FSN77" i="17"/>
  <c r="FSM77" i="17"/>
  <c r="FSL77" i="17"/>
  <c r="FSK77" i="17"/>
  <c r="FSJ77" i="17"/>
  <c r="FSI77" i="17"/>
  <c r="FSH77" i="17"/>
  <c r="FSG77" i="17"/>
  <c r="FSF77" i="17"/>
  <c r="FSE77" i="17"/>
  <c r="FSD77" i="17"/>
  <c r="FSC77" i="17"/>
  <c r="FSB77" i="17"/>
  <c r="FSA77" i="17"/>
  <c r="FRZ77" i="17"/>
  <c r="FRY77" i="17"/>
  <c r="FRX77" i="17"/>
  <c r="FRW77" i="17"/>
  <c r="FRV77" i="17"/>
  <c r="FRU77" i="17"/>
  <c r="FRT77" i="17"/>
  <c r="FRS77" i="17"/>
  <c r="FRR77" i="17"/>
  <c r="FRQ77" i="17"/>
  <c r="FRP77" i="17"/>
  <c r="FRO77" i="17"/>
  <c r="FRN77" i="17"/>
  <c r="FRM77" i="17"/>
  <c r="FRL77" i="17"/>
  <c r="FRK77" i="17"/>
  <c r="FRJ77" i="17"/>
  <c r="FRI77" i="17"/>
  <c r="FRH77" i="17"/>
  <c r="FRG77" i="17"/>
  <c r="FRF77" i="17"/>
  <c r="FRE77" i="17"/>
  <c r="FRD77" i="17"/>
  <c r="FRC77" i="17"/>
  <c r="FRB77" i="17"/>
  <c r="FRA77" i="17"/>
  <c r="FQZ77" i="17"/>
  <c r="FQY77" i="17"/>
  <c r="FQX77" i="17"/>
  <c r="FQW77" i="17"/>
  <c r="FQV77" i="17"/>
  <c r="FQU77" i="17"/>
  <c r="FQT77" i="17"/>
  <c r="FQS77" i="17"/>
  <c r="FQR77" i="17"/>
  <c r="FQQ77" i="17"/>
  <c r="FQP77" i="17"/>
  <c r="FQO77" i="17"/>
  <c r="FQN77" i="17"/>
  <c r="FQM77" i="17"/>
  <c r="FQL77" i="17"/>
  <c r="FQK77" i="17"/>
  <c r="FQJ77" i="17"/>
  <c r="FQI77" i="17"/>
  <c r="FQH77" i="17"/>
  <c r="FQG77" i="17"/>
  <c r="FQF77" i="17"/>
  <c r="FQE77" i="17"/>
  <c r="FQD77" i="17"/>
  <c r="FQC77" i="17"/>
  <c r="FQB77" i="17"/>
  <c r="FQA77" i="17"/>
  <c r="FPZ77" i="17"/>
  <c r="FPY77" i="17"/>
  <c r="FPX77" i="17"/>
  <c r="FPW77" i="17"/>
  <c r="FPV77" i="17"/>
  <c r="FPU77" i="17"/>
  <c r="FPT77" i="17"/>
  <c r="FPS77" i="17"/>
  <c r="FPR77" i="17"/>
  <c r="FPQ77" i="17"/>
  <c r="FPP77" i="17"/>
  <c r="FPO77" i="17"/>
  <c r="FPN77" i="17"/>
  <c r="FPM77" i="17"/>
  <c r="FPL77" i="17"/>
  <c r="FPK77" i="17"/>
  <c r="FPJ77" i="17"/>
  <c r="FPI77" i="17"/>
  <c r="FPH77" i="17"/>
  <c r="FPG77" i="17"/>
  <c r="FPF77" i="17"/>
  <c r="FPE77" i="17"/>
  <c r="FPD77" i="17"/>
  <c r="FPC77" i="17"/>
  <c r="FPB77" i="17"/>
  <c r="FPA77" i="17"/>
  <c r="FOZ77" i="17"/>
  <c r="FOY77" i="17"/>
  <c r="FOX77" i="17"/>
  <c r="FOW77" i="17"/>
  <c r="FOV77" i="17"/>
  <c r="FOU77" i="17"/>
  <c r="FOT77" i="17"/>
  <c r="FOS77" i="17"/>
  <c r="FOR77" i="17"/>
  <c r="FOQ77" i="17"/>
  <c r="FOP77" i="17"/>
  <c r="FOO77" i="17"/>
  <c r="FON77" i="17"/>
  <c r="FOM77" i="17"/>
  <c r="FOL77" i="17"/>
  <c r="FOK77" i="17"/>
  <c r="FOJ77" i="17"/>
  <c r="FOI77" i="17"/>
  <c r="FOH77" i="17"/>
  <c r="FOG77" i="17"/>
  <c r="FOF77" i="17"/>
  <c r="FOE77" i="17"/>
  <c r="FOD77" i="17"/>
  <c r="FOC77" i="17"/>
  <c r="FOB77" i="17"/>
  <c r="FOA77" i="17"/>
  <c r="FNZ77" i="17"/>
  <c r="FNY77" i="17"/>
  <c r="FNX77" i="17"/>
  <c r="FNW77" i="17"/>
  <c r="FNV77" i="17"/>
  <c r="FNU77" i="17"/>
  <c r="FNT77" i="17"/>
  <c r="FNS77" i="17"/>
  <c r="FNR77" i="17"/>
  <c r="FNQ77" i="17"/>
  <c r="FNP77" i="17"/>
  <c r="FNO77" i="17"/>
  <c r="FNN77" i="17"/>
  <c r="FNM77" i="17"/>
  <c r="FNL77" i="17"/>
  <c r="FNK77" i="17"/>
  <c r="FNJ77" i="17"/>
  <c r="FNI77" i="17"/>
  <c r="FNH77" i="17"/>
  <c r="FNG77" i="17"/>
  <c r="FNF77" i="17"/>
  <c r="FNE77" i="17"/>
  <c r="FND77" i="17"/>
  <c r="FNC77" i="17"/>
  <c r="FNB77" i="17"/>
  <c r="FNA77" i="17"/>
  <c r="FMZ77" i="17"/>
  <c r="FMY77" i="17"/>
  <c r="FMX77" i="17"/>
  <c r="FMW77" i="17"/>
  <c r="FMV77" i="17"/>
  <c r="FMU77" i="17"/>
  <c r="FMT77" i="17"/>
  <c r="FMS77" i="17"/>
  <c r="FMR77" i="17"/>
  <c r="FMQ77" i="17"/>
  <c r="FMP77" i="17"/>
  <c r="FMO77" i="17"/>
  <c r="FMN77" i="17"/>
  <c r="FMM77" i="17"/>
  <c r="FML77" i="17"/>
  <c r="FMK77" i="17"/>
  <c r="FMJ77" i="17"/>
  <c r="FMI77" i="17"/>
  <c r="FMH77" i="17"/>
  <c r="FMG77" i="17"/>
  <c r="FMF77" i="17"/>
  <c r="FME77" i="17"/>
  <c r="FMD77" i="17"/>
  <c r="FMC77" i="17"/>
  <c r="FMB77" i="17"/>
  <c r="FMA77" i="17"/>
  <c r="FLZ77" i="17"/>
  <c r="FLY77" i="17"/>
  <c r="FLX77" i="17"/>
  <c r="FLW77" i="17"/>
  <c r="FLV77" i="17"/>
  <c r="FLU77" i="17"/>
  <c r="FLT77" i="17"/>
  <c r="FLS77" i="17"/>
  <c r="FLR77" i="17"/>
  <c r="FLQ77" i="17"/>
  <c r="FLP77" i="17"/>
  <c r="FLO77" i="17"/>
  <c r="FLN77" i="17"/>
  <c r="FLM77" i="17"/>
  <c r="FLL77" i="17"/>
  <c r="FLK77" i="17"/>
  <c r="FLJ77" i="17"/>
  <c r="FLI77" i="17"/>
  <c r="FLH77" i="17"/>
  <c r="FLG77" i="17"/>
  <c r="FLF77" i="17"/>
  <c r="FLE77" i="17"/>
  <c r="FLD77" i="17"/>
  <c r="FLC77" i="17"/>
  <c r="FLB77" i="17"/>
  <c r="FLA77" i="17"/>
  <c r="FKZ77" i="17"/>
  <c r="FKY77" i="17"/>
  <c r="FKX77" i="17"/>
  <c r="FKW77" i="17"/>
  <c r="FKV77" i="17"/>
  <c r="FKU77" i="17"/>
  <c r="FKT77" i="17"/>
  <c r="FKS77" i="17"/>
  <c r="FKR77" i="17"/>
  <c r="FKQ77" i="17"/>
  <c r="FKP77" i="17"/>
  <c r="FKO77" i="17"/>
  <c r="FKN77" i="17"/>
  <c r="FKM77" i="17"/>
  <c r="FKL77" i="17"/>
  <c r="FKK77" i="17"/>
  <c r="FKJ77" i="17"/>
  <c r="FKI77" i="17"/>
  <c r="FKH77" i="17"/>
  <c r="FKG77" i="17"/>
  <c r="FKF77" i="17"/>
  <c r="FKE77" i="17"/>
  <c r="FKD77" i="17"/>
  <c r="FKC77" i="17"/>
  <c r="FKB77" i="17"/>
  <c r="FKA77" i="17"/>
  <c r="FJZ77" i="17"/>
  <c r="FJY77" i="17"/>
  <c r="FJX77" i="17"/>
  <c r="FJW77" i="17"/>
  <c r="FJV77" i="17"/>
  <c r="FJU77" i="17"/>
  <c r="FJT77" i="17"/>
  <c r="FJS77" i="17"/>
  <c r="FJR77" i="17"/>
  <c r="FJQ77" i="17"/>
  <c r="FJP77" i="17"/>
  <c r="FJO77" i="17"/>
  <c r="FJN77" i="17"/>
  <c r="FJM77" i="17"/>
  <c r="FJL77" i="17"/>
  <c r="FJK77" i="17"/>
  <c r="FJJ77" i="17"/>
  <c r="FJI77" i="17"/>
  <c r="FJH77" i="17"/>
  <c r="FJG77" i="17"/>
  <c r="FJF77" i="17"/>
  <c r="FJE77" i="17"/>
  <c r="FJD77" i="17"/>
  <c r="FJC77" i="17"/>
  <c r="FJB77" i="17"/>
  <c r="FJA77" i="17"/>
  <c r="FIZ77" i="17"/>
  <c r="FIY77" i="17"/>
  <c r="FIX77" i="17"/>
  <c r="FIW77" i="17"/>
  <c r="FIV77" i="17"/>
  <c r="FIU77" i="17"/>
  <c r="FIT77" i="17"/>
  <c r="FIS77" i="17"/>
  <c r="FIR77" i="17"/>
  <c r="FIQ77" i="17"/>
  <c r="FIP77" i="17"/>
  <c r="FIO77" i="17"/>
  <c r="FIN77" i="17"/>
  <c r="FIM77" i="17"/>
  <c r="FIL77" i="17"/>
  <c r="FIK77" i="17"/>
  <c r="FIJ77" i="17"/>
  <c r="FII77" i="17"/>
  <c r="FIH77" i="17"/>
  <c r="FIG77" i="17"/>
  <c r="FIF77" i="17"/>
  <c r="FIE77" i="17"/>
  <c r="FID77" i="17"/>
  <c r="FIC77" i="17"/>
  <c r="FIB77" i="17"/>
  <c r="FIA77" i="17"/>
  <c r="FHZ77" i="17"/>
  <c r="FHY77" i="17"/>
  <c r="FHX77" i="17"/>
  <c r="FHW77" i="17"/>
  <c r="FHV77" i="17"/>
  <c r="FHU77" i="17"/>
  <c r="FHT77" i="17"/>
  <c r="FHS77" i="17"/>
  <c r="FHR77" i="17"/>
  <c r="FHQ77" i="17"/>
  <c r="FHP77" i="17"/>
  <c r="FHO77" i="17"/>
  <c r="FHN77" i="17"/>
  <c r="FHM77" i="17"/>
  <c r="FHL77" i="17"/>
  <c r="FHK77" i="17"/>
  <c r="FHJ77" i="17"/>
  <c r="FHI77" i="17"/>
  <c r="FHH77" i="17"/>
  <c r="FHG77" i="17"/>
  <c r="FHF77" i="17"/>
  <c r="FHE77" i="17"/>
  <c r="FHD77" i="17"/>
  <c r="FHC77" i="17"/>
  <c r="FHB77" i="17"/>
  <c r="FHA77" i="17"/>
  <c r="FGZ77" i="17"/>
  <c r="FGY77" i="17"/>
  <c r="FGX77" i="17"/>
  <c r="FGW77" i="17"/>
  <c r="FGV77" i="17"/>
  <c r="FGU77" i="17"/>
  <c r="FGT77" i="17"/>
  <c r="FGS77" i="17"/>
  <c r="FGR77" i="17"/>
  <c r="FGQ77" i="17"/>
  <c r="FGP77" i="17"/>
  <c r="FGO77" i="17"/>
  <c r="FGN77" i="17"/>
  <c r="FGM77" i="17"/>
  <c r="FGL77" i="17"/>
  <c r="FGK77" i="17"/>
  <c r="FGJ77" i="17"/>
  <c r="FGI77" i="17"/>
  <c r="FGH77" i="17"/>
  <c r="FGG77" i="17"/>
  <c r="FGF77" i="17"/>
  <c r="FGE77" i="17"/>
  <c r="FGD77" i="17"/>
  <c r="FGC77" i="17"/>
  <c r="FGB77" i="17"/>
  <c r="FGA77" i="17"/>
  <c r="FFZ77" i="17"/>
  <c r="FFY77" i="17"/>
  <c r="FFX77" i="17"/>
  <c r="FFW77" i="17"/>
  <c r="FFV77" i="17"/>
  <c r="FFU77" i="17"/>
  <c r="FFT77" i="17"/>
  <c r="FFS77" i="17"/>
  <c r="FFR77" i="17"/>
  <c r="FFQ77" i="17"/>
  <c r="FFP77" i="17"/>
  <c r="FFO77" i="17"/>
  <c r="FFN77" i="17"/>
  <c r="FFM77" i="17"/>
  <c r="FFL77" i="17"/>
  <c r="FFK77" i="17"/>
  <c r="FFJ77" i="17"/>
  <c r="FFI77" i="17"/>
  <c r="FFH77" i="17"/>
  <c r="FFG77" i="17"/>
  <c r="FFF77" i="17"/>
  <c r="FFE77" i="17"/>
  <c r="FFD77" i="17"/>
  <c r="FFC77" i="17"/>
  <c r="FFB77" i="17"/>
  <c r="FFA77" i="17"/>
  <c r="FEZ77" i="17"/>
  <c r="FEY77" i="17"/>
  <c r="FEX77" i="17"/>
  <c r="FEW77" i="17"/>
  <c r="FEV77" i="17"/>
  <c r="FEU77" i="17"/>
  <c r="FET77" i="17"/>
  <c r="FES77" i="17"/>
  <c r="FER77" i="17"/>
  <c r="FEQ77" i="17"/>
  <c r="FEP77" i="17"/>
  <c r="FEO77" i="17"/>
  <c r="FEN77" i="17"/>
  <c r="FEM77" i="17"/>
  <c r="FEL77" i="17"/>
  <c r="FEK77" i="17"/>
  <c r="FEJ77" i="17"/>
  <c r="FEI77" i="17"/>
  <c r="FEH77" i="17"/>
  <c r="FEG77" i="17"/>
  <c r="FEF77" i="17"/>
  <c r="FEE77" i="17"/>
  <c r="FED77" i="17"/>
  <c r="FEC77" i="17"/>
  <c r="FEB77" i="17"/>
  <c r="FEA77" i="17"/>
  <c r="FDZ77" i="17"/>
  <c r="FDY77" i="17"/>
  <c r="FDX77" i="17"/>
  <c r="FDW77" i="17"/>
  <c r="FDV77" i="17"/>
  <c r="FDU77" i="17"/>
  <c r="FDT77" i="17"/>
  <c r="FDS77" i="17"/>
  <c r="FDR77" i="17"/>
  <c r="FDQ77" i="17"/>
  <c r="FDP77" i="17"/>
  <c r="FDO77" i="17"/>
  <c r="FDN77" i="17"/>
  <c r="FDM77" i="17"/>
  <c r="FDL77" i="17"/>
  <c r="FDK77" i="17"/>
  <c r="FDJ77" i="17"/>
  <c r="FDI77" i="17"/>
  <c r="FDH77" i="17"/>
  <c r="FDG77" i="17"/>
  <c r="FDF77" i="17"/>
  <c r="FDE77" i="17"/>
  <c r="FDD77" i="17"/>
  <c r="FDC77" i="17"/>
  <c r="FDB77" i="17"/>
  <c r="FDA77" i="17"/>
  <c r="FCZ77" i="17"/>
  <c r="FCY77" i="17"/>
  <c r="FCX77" i="17"/>
  <c r="FCW77" i="17"/>
  <c r="FCV77" i="17"/>
  <c r="FCU77" i="17"/>
  <c r="FCT77" i="17"/>
  <c r="FCS77" i="17"/>
  <c r="FCR77" i="17"/>
  <c r="FCQ77" i="17"/>
  <c r="FCP77" i="17"/>
  <c r="FCO77" i="17"/>
  <c r="FCN77" i="17"/>
  <c r="FCM77" i="17"/>
  <c r="FCL77" i="17"/>
  <c r="FCK77" i="17"/>
  <c r="FCJ77" i="17"/>
  <c r="FCI77" i="17"/>
  <c r="FCH77" i="17"/>
  <c r="FCG77" i="17"/>
  <c r="FCF77" i="17"/>
  <c r="FCE77" i="17"/>
  <c r="FCD77" i="17"/>
  <c r="FCC77" i="17"/>
  <c r="FCB77" i="17"/>
  <c r="FCA77" i="17"/>
  <c r="FBZ77" i="17"/>
  <c r="FBY77" i="17"/>
  <c r="FBX77" i="17"/>
  <c r="FBW77" i="17"/>
  <c r="FBV77" i="17"/>
  <c r="FBU77" i="17"/>
  <c r="FBT77" i="17"/>
  <c r="FBS77" i="17"/>
  <c r="FBR77" i="17"/>
  <c r="FBQ77" i="17"/>
  <c r="FBP77" i="17"/>
  <c r="FBO77" i="17"/>
  <c r="FBN77" i="17"/>
  <c r="FBM77" i="17"/>
  <c r="FBL77" i="17"/>
  <c r="FBK77" i="17"/>
  <c r="FBJ77" i="17"/>
  <c r="FBI77" i="17"/>
  <c r="FBH77" i="17"/>
  <c r="FBG77" i="17"/>
  <c r="FBF77" i="17"/>
  <c r="FBE77" i="17"/>
  <c r="FBD77" i="17"/>
  <c r="FBC77" i="17"/>
  <c r="FBB77" i="17"/>
  <c r="FBA77" i="17"/>
  <c r="FAZ77" i="17"/>
  <c r="FAY77" i="17"/>
  <c r="FAX77" i="17"/>
  <c r="FAW77" i="17"/>
  <c r="FAV77" i="17"/>
  <c r="FAU77" i="17"/>
  <c r="FAT77" i="17"/>
  <c r="FAS77" i="17"/>
  <c r="FAR77" i="17"/>
  <c r="FAQ77" i="17"/>
  <c r="FAP77" i="17"/>
  <c r="FAO77" i="17"/>
  <c r="FAN77" i="17"/>
  <c r="FAM77" i="17"/>
  <c r="FAL77" i="17"/>
  <c r="FAK77" i="17"/>
  <c r="FAJ77" i="17"/>
  <c r="FAI77" i="17"/>
  <c r="FAH77" i="17"/>
  <c r="FAG77" i="17"/>
  <c r="FAF77" i="17"/>
  <c r="FAE77" i="17"/>
  <c r="FAD77" i="17"/>
  <c r="FAC77" i="17"/>
  <c r="FAB77" i="17"/>
  <c r="FAA77" i="17"/>
  <c r="EZZ77" i="17"/>
  <c r="EZY77" i="17"/>
  <c r="EZX77" i="17"/>
  <c r="EZW77" i="17"/>
  <c r="EZV77" i="17"/>
  <c r="EZU77" i="17"/>
  <c r="EZT77" i="17"/>
  <c r="EZS77" i="17"/>
  <c r="EZR77" i="17"/>
  <c r="EZQ77" i="17"/>
  <c r="EZP77" i="17"/>
  <c r="EZO77" i="17"/>
  <c r="EZN77" i="17"/>
  <c r="EZM77" i="17"/>
  <c r="EZL77" i="17"/>
  <c r="EZK77" i="17"/>
  <c r="EZJ77" i="17"/>
  <c r="EZI77" i="17"/>
  <c r="EZH77" i="17"/>
  <c r="EZG77" i="17"/>
  <c r="EZF77" i="17"/>
  <c r="EZE77" i="17"/>
  <c r="EZD77" i="17"/>
  <c r="EZC77" i="17"/>
  <c r="EZB77" i="17"/>
  <c r="EZA77" i="17"/>
  <c r="EYZ77" i="17"/>
  <c r="EYY77" i="17"/>
  <c r="EYX77" i="17"/>
  <c r="EYW77" i="17"/>
  <c r="EYV77" i="17"/>
  <c r="EYU77" i="17"/>
  <c r="EYT77" i="17"/>
  <c r="EYS77" i="17"/>
  <c r="EYR77" i="17"/>
  <c r="EYQ77" i="17"/>
  <c r="EYP77" i="17"/>
  <c r="EYO77" i="17"/>
  <c r="EYN77" i="17"/>
  <c r="EYM77" i="17"/>
  <c r="EYL77" i="17"/>
  <c r="EYK77" i="17"/>
  <c r="EYJ77" i="17"/>
  <c r="EYI77" i="17"/>
  <c r="EYH77" i="17"/>
  <c r="EYG77" i="17"/>
  <c r="EYF77" i="17"/>
  <c r="EYE77" i="17"/>
  <c r="EYD77" i="17"/>
  <c r="EYC77" i="17"/>
  <c r="EYB77" i="17"/>
  <c r="EYA77" i="17"/>
  <c r="EXZ77" i="17"/>
  <c r="EXY77" i="17"/>
  <c r="EXX77" i="17"/>
  <c r="EXW77" i="17"/>
  <c r="EXV77" i="17"/>
  <c r="EXU77" i="17"/>
  <c r="EXT77" i="17"/>
  <c r="EXS77" i="17"/>
  <c r="EXR77" i="17"/>
  <c r="EXQ77" i="17"/>
  <c r="EXP77" i="17"/>
  <c r="EXO77" i="17"/>
  <c r="EXN77" i="17"/>
  <c r="EXM77" i="17"/>
  <c r="EXL77" i="17"/>
  <c r="EXK77" i="17"/>
  <c r="EXJ77" i="17"/>
  <c r="EXI77" i="17"/>
  <c r="EXH77" i="17"/>
  <c r="EXG77" i="17"/>
  <c r="EXF77" i="17"/>
  <c r="EXE77" i="17"/>
  <c r="EXD77" i="17"/>
  <c r="EXC77" i="17"/>
  <c r="EXB77" i="17"/>
  <c r="EXA77" i="17"/>
  <c r="EWZ77" i="17"/>
  <c r="EWY77" i="17"/>
  <c r="EWX77" i="17"/>
  <c r="EWW77" i="17"/>
  <c r="EWV77" i="17"/>
  <c r="EWU77" i="17"/>
  <c r="EWT77" i="17"/>
  <c r="EWS77" i="17"/>
  <c r="EWR77" i="17"/>
  <c r="EWQ77" i="17"/>
  <c r="EWP77" i="17"/>
  <c r="EWO77" i="17"/>
  <c r="EWN77" i="17"/>
  <c r="EWM77" i="17"/>
  <c r="EWL77" i="17"/>
  <c r="EWK77" i="17"/>
  <c r="EWJ77" i="17"/>
  <c r="EWI77" i="17"/>
  <c r="EWH77" i="17"/>
  <c r="EWG77" i="17"/>
  <c r="EWF77" i="17"/>
  <c r="EWE77" i="17"/>
  <c r="EWD77" i="17"/>
  <c r="EWC77" i="17"/>
  <c r="EWB77" i="17"/>
  <c r="EWA77" i="17"/>
  <c r="EVZ77" i="17"/>
  <c r="EVY77" i="17"/>
  <c r="EVX77" i="17"/>
  <c r="EVW77" i="17"/>
  <c r="EVV77" i="17"/>
  <c r="EVU77" i="17"/>
  <c r="EVT77" i="17"/>
  <c r="EVS77" i="17"/>
  <c r="EVR77" i="17"/>
  <c r="EVQ77" i="17"/>
  <c r="EVP77" i="17"/>
  <c r="EVO77" i="17"/>
  <c r="EVN77" i="17"/>
  <c r="EVM77" i="17"/>
  <c r="EVL77" i="17"/>
  <c r="EVK77" i="17"/>
  <c r="EVJ77" i="17"/>
  <c r="EVI77" i="17"/>
  <c r="EVH77" i="17"/>
  <c r="EVG77" i="17"/>
  <c r="EVF77" i="17"/>
  <c r="EVE77" i="17"/>
  <c r="EVD77" i="17"/>
  <c r="EVC77" i="17"/>
  <c r="EVB77" i="17"/>
  <c r="EVA77" i="17"/>
  <c r="EUZ77" i="17"/>
  <c r="EUY77" i="17"/>
  <c r="EUX77" i="17"/>
  <c r="EUW77" i="17"/>
  <c r="EUV77" i="17"/>
  <c r="EUU77" i="17"/>
  <c r="EUT77" i="17"/>
  <c r="EUS77" i="17"/>
  <c r="EUR77" i="17"/>
  <c r="EUQ77" i="17"/>
  <c r="EUP77" i="17"/>
  <c r="EUO77" i="17"/>
  <c r="EUN77" i="17"/>
  <c r="EUM77" i="17"/>
  <c r="EUL77" i="17"/>
  <c r="EUK77" i="17"/>
  <c r="EUJ77" i="17"/>
  <c r="EUI77" i="17"/>
  <c r="EUH77" i="17"/>
  <c r="EUG77" i="17"/>
  <c r="EUF77" i="17"/>
  <c r="EUE77" i="17"/>
  <c r="EUD77" i="17"/>
  <c r="EUC77" i="17"/>
  <c r="EUB77" i="17"/>
  <c r="EUA77" i="17"/>
  <c r="ETZ77" i="17"/>
  <c r="ETY77" i="17"/>
  <c r="ETX77" i="17"/>
  <c r="ETW77" i="17"/>
  <c r="ETV77" i="17"/>
  <c r="ETU77" i="17"/>
  <c r="ETT77" i="17"/>
  <c r="ETS77" i="17"/>
  <c r="ETR77" i="17"/>
  <c r="ETQ77" i="17"/>
  <c r="ETP77" i="17"/>
  <c r="ETO77" i="17"/>
  <c r="ETN77" i="17"/>
  <c r="ETM77" i="17"/>
  <c r="ETL77" i="17"/>
  <c r="ETK77" i="17"/>
  <c r="ETJ77" i="17"/>
  <c r="ETI77" i="17"/>
  <c r="ETH77" i="17"/>
  <c r="ETG77" i="17"/>
  <c r="ETF77" i="17"/>
  <c r="ETE77" i="17"/>
  <c r="ETD77" i="17"/>
  <c r="ETC77" i="17"/>
  <c r="ETB77" i="17"/>
  <c r="ETA77" i="17"/>
  <c r="ESZ77" i="17"/>
  <c r="ESY77" i="17"/>
  <c r="ESX77" i="17"/>
  <c r="ESW77" i="17"/>
  <c r="ESV77" i="17"/>
  <c r="ESU77" i="17"/>
  <c r="EST77" i="17"/>
  <c r="ESS77" i="17"/>
  <c r="ESR77" i="17"/>
  <c r="ESQ77" i="17"/>
  <c r="ESP77" i="17"/>
  <c r="ESO77" i="17"/>
  <c r="ESN77" i="17"/>
  <c r="ESM77" i="17"/>
  <c r="ESL77" i="17"/>
  <c r="ESK77" i="17"/>
  <c r="ESJ77" i="17"/>
  <c r="ESI77" i="17"/>
  <c r="ESH77" i="17"/>
  <c r="ESG77" i="17"/>
  <c r="ESF77" i="17"/>
  <c r="ESE77" i="17"/>
  <c r="ESD77" i="17"/>
  <c r="ESC77" i="17"/>
  <c r="ESB77" i="17"/>
  <c r="ESA77" i="17"/>
  <c r="ERZ77" i="17"/>
  <c r="ERY77" i="17"/>
  <c r="ERX77" i="17"/>
  <c r="ERW77" i="17"/>
  <c r="ERV77" i="17"/>
  <c r="ERU77" i="17"/>
  <c r="ERT77" i="17"/>
  <c r="ERS77" i="17"/>
  <c r="ERR77" i="17"/>
  <c r="ERQ77" i="17"/>
  <c r="ERP77" i="17"/>
  <c r="ERO77" i="17"/>
  <c r="ERN77" i="17"/>
  <c r="ERM77" i="17"/>
  <c r="ERL77" i="17"/>
  <c r="ERK77" i="17"/>
  <c r="ERJ77" i="17"/>
  <c r="ERI77" i="17"/>
  <c r="ERH77" i="17"/>
  <c r="ERG77" i="17"/>
  <c r="ERF77" i="17"/>
  <c r="ERE77" i="17"/>
  <c r="ERD77" i="17"/>
  <c r="ERC77" i="17"/>
  <c r="ERB77" i="17"/>
  <c r="ERA77" i="17"/>
  <c r="EQZ77" i="17"/>
  <c r="EQY77" i="17"/>
  <c r="EQX77" i="17"/>
  <c r="EQW77" i="17"/>
  <c r="EQV77" i="17"/>
  <c r="EQU77" i="17"/>
  <c r="EQT77" i="17"/>
  <c r="EQS77" i="17"/>
  <c r="EQR77" i="17"/>
  <c r="EQQ77" i="17"/>
  <c r="EQP77" i="17"/>
  <c r="EQO77" i="17"/>
  <c r="EQN77" i="17"/>
  <c r="EQM77" i="17"/>
  <c r="EQL77" i="17"/>
  <c r="EQK77" i="17"/>
  <c r="EQJ77" i="17"/>
  <c r="EQI77" i="17"/>
  <c r="EQH77" i="17"/>
  <c r="EQG77" i="17"/>
  <c r="EQF77" i="17"/>
  <c r="EQE77" i="17"/>
  <c r="EQD77" i="17"/>
  <c r="EQC77" i="17"/>
  <c r="EQB77" i="17"/>
  <c r="EQA77" i="17"/>
  <c r="EPZ77" i="17"/>
  <c r="EPY77" i="17"/>
  <c r="EPX77" i="17"/>
  <c r="EPW77" i="17"/>
  <c r="EPV77" i="17"/>
  <c r="EPU77" i="17"/>
  <c r="EPT77" i="17"/>
  <c r="EPS77" i="17"/>
  <c r="EPR77" i="17"/>
  <c r="EPQ77" i="17"/>
  <c r="EPP77" i="17"/>
  <c r="EPO77" i="17"/>
  <c r="EPN77" i="17"/>
  <c r="EPM77" i="17"/>
  <c r="EPL77" i="17"/>
  <c r="EPK77" i="17"/>
  <c r="EPJ77" i="17"/>
  <c r="EPI77" i="17"/>
  <c r="EPH77" i="17"/>
  <c r="EPG77" i="17"/>
  <c r="EPF77" i="17"/>
  <c r="EPE77" i="17"/>
  <c r="EPD77" i="17"/>
  <c r="EPC77" i="17"/>
  <c r="EPB77" i="17"/>
  <c r="EPA77" i="17"/>
  <c r="EOZ77" i="17"/>
  <c r="EOY77" i="17"/>
  <c r="EOX77" i="17"/>
  <c r="EOW77" i="17"/>
  <c r="EOV77" i="17"/>
  <c r="EOU77" i="17"/>
  <c r="EOT77" i="17"/>
  <c r="EOS77" i="17"/>
  <c r="EOR77" i="17"/>
  <c r="EOQ77" i="17"/>
  <c r="EOP77" i="17"/>
  <c r="EOO77" i="17"/>
  <c r="EON77" i="17"/>
  <c r="EOM77" i="17"/>
  <c r="EOL77" i="17"/>
  <c r="EOK77" i="17"/>
  <c r="EOJ77" i="17"/>
  <c r="EOI77" i="17"/>
  <c r="EOH77" i="17"/>
  <c r="EOG77" i="17"/>
  <c r="EOF77" i="17"/>
  <c r="EOE77" i="17"/>
  <c r="EOD77" i="17"/>
  <c r="EOC77" i="17"/>
  <c r="EOB77" i="17"/>
  <c r="EOA77" i="17"/>
  <c r="ENZ77" i="17"/>
  <c r="ENY77" i="17"/>
  <c r="ENX77" i="17"/>
  <c r="ENW77" i="17"/>
  <c r="ENV77" i="17"/>
  <c r="ENU77" i="17"/>
  <c r="ENT77" i="17"/>
  <c r="ENS77" i="17"/>
  <c r="ENR77" i="17"/>
  <c r="ENQ77" i="17"/>
  <c r="ENP77" i="17"/>
  <c r="ENO77" i="17"/>
  <c r="ENN77" i="17"/>
  <c r="ENM77" i="17"/>
  <c r="ENL77" i="17"/>
  <c r="ENK77" i="17"/>
  <c r="ENJ77" i="17"/>
  <c r="ENI77" i="17"/>
  <c r="ENH77" i="17"/>
  <c r="ENG77" i="17"/>
  <c r="ENF77" i="17"/>
  <c r="ENE77" i="17"/>
  <c r="END77" i="17"/>
  <c r="ENC77" i="17"/>
  <c r="ENB77" i="17"/>
  <c r="ENA77" i="17"/>
  <c r="EMZ77" i="17"/>
  <c r="EMY77" i="17"/>
  <c r="EMX77" i="17"/>
  <c r="EMW77" i="17"/>
  <c r="EMV77" i="17"/>
  <c r="EMU77" i="17"/>
  <c r="EMT77" i="17"/>
  <c r="EMS77" i="17"/>
  <c r="EMR77" i="17"/>
  <c r="EMQ77" i="17"/>
  <c r="EMP77" i="17"/>
  <c r="EMO77" i="17"/>
  <c r="EMN77" i="17"/>
  <c r="EMM77" i="17"/>
  <c r="EML77" i="17"/>
  <c r="EMK77" i="17"/>
  <c r="EMJ77" i="17"/>
  <c r="EMI77" i="17"/>
  <c r="EMH77" i="17"/>
  <c r="EMG77" i="17"/>
  <c r="EMF77" i="17"/>
  <c r="EME77" i="17"/>
  <c r="EMD77" i="17"/>
  <c r="EMC77" i="17"/>
  <c r="EMB77" i="17"/>
  <c r="EMA77" i="17"/>
  <c r="ELZ77" i="17"/>
  <c r="ELY77" i="17"/>
  <c r="ELX77" i="17"/>
  <c r="ELW77" i="17"/>
  <c r="ELV77" i="17"/>
  <c r="ELU77" i="17"/>
  <c r="ELT77" i="17"/>
  <c r="ELS77" i="17"/>
  <c r="ELR77" i="17"/>
  <c r="ELQ77" i="17"/>
  <c r="ELP77" i="17"/>
  <c r="ELO77" i="17"/>
  <c r="ELN77" i="17"/>
  <c r="ELM77" i="17"/>
  <c r="ELL77" i="17"/>
  <c r="ELK77" i="17"/>
  <c r="ELJ77" i="17"/>
  <c r="ELI77" i="17"/>
  <c r="ELH77" i="17"/>
  <c r="ELG77" i="17"/>
  <c r="ELF77" i="17"/>
  <c r="ELE77" i="17"/>
  <c r="ELD77" i="17"/>
  <c r="ELC77" i="17"/>
  <c r="ELB77" i="17"/>
  <c r="ELA77" i="17"/>
  <c r="EKZ77" i="17"/>
  <c r="EKY77" i="17"/>
  <c r="EKX77" i="17"/>
  <c r="EKW77" i="17"/>
  <c r="EKV77" i="17"/>
  <c r="EKU77" i="17"/>
  <c r="EKT77" i="17"/>
  <c r="EKS77" i="17"/>
  <c r="EKR77" i="17"/>
  <c r="EKQ77" i="17"/>
  <c r="EKP77" i="17"/>
  <c r="EKO77" i="17"/>
  <c r="EKN77" i="17"/>
  <c r="EKM77" i="17"/>
  <c r="EKL77" i="17"/>
  <c r="EKK77" i="17"/>
  <c r="EKJ77" i="17"/>
  <c r="EKI77" i="17"/>
  <c r="EKH77" i="17"/>
  <c r="EKG77" i="17"/>
  <c r="EKF77" i="17"/>
  <c r="EKE77" i="17"/>
  <c r="EKD77" i="17"/>
  <c r="EKC77" i="17"/>
  <c r="EKB77" i="17"/>
  <c r="EKA77" i="17"/>
  <c r="EJZ77" i="17"/>
  <c r="EJY77" i="17"/>
  <c r="EJX77" i="17"/>
  <c r="EJW77" i="17"/>
  <c r="EJV77" i="17"/>
  <c r="EJU77" i="17"/>
  <c r="EJT77" i="17"/>
  <c r="EJS77" i="17"/>
  <c r="EJR77" i="17"/>
  <c r="EJQ77" i="17"/>
  <c r="EJP77" i="17"/>
  <c r="EJO77" i="17"/>
  <c r="EJN77" i="17"/>
  <c r="EJM77" i="17"/>
  <c r="EJL77" i="17"/>
  <c r="EJK77" i="17"/>
  <c r="EJJ77" i="17"/>
  <c r="EJI77" i="17"/>
  <c r="EJH77" i="17"/>
  <c r="EJG77" i="17"/>
  <c r="EJF77" i="17"/>
  <c r="EJE77" i="17"/>
  <c r="EJD77" i="17"/>
  <c r="EJC77" i="17"/>
  <c r="EJB77" i="17"/>
  <c r="EJA77" i="17"/>
  <c r="EIZ77" i="17"/>
  <c r="EIY77" i="17"/>
  <c r="EIX77" i="17"/>
  <c r="EIW77" i="17"/>
  <c r="EIV77" i="17"/>
  <c r="EIU77" i="17"/>
  <c r="EIT77" i="17"/>
  <c r="EIS77" i="17"/>
  <c r="EIR77" i="17"/>
  <c r="EIQ77" i="17"/>
  <c r="EIP77" i="17"/>
  <c r="EIO77" i="17"/>
  <c r="EIN77" i="17"/>
  <c r="EIM77" i="17"/>
  <c r="EIL77" i="17"/>
  <c r="EIK77" i="17"/>
  <c r="EIJ77" i="17"/>
  <c r="EII77" i="17"/>
  <c r="EIH77" i="17"/>
  <c r="EIG77" i="17"/>
  <c r="EIF77" i="17"/>
  <c r="EIE77" i="17"/>
  <c r="EID77" i="17"/>
  <c r="EIC77" i="17"/>
  <c r="EIB77" i="17"/>
  <c r="EIA77" i="17"/>
  <c r="EHZ77" i="17"/>
  <c r="EHY77" i="17"/>
  <c r="EHX77" i="17"/>
  <c r="EHW77" i="17"/>
  <c r="EHV77" i="17"/>
  <c r="EHU77" i="17"/>
  <c r="EHT77" i="17"/>
  <c r="EHS77" i="17"/>
  <c r="EHR77" i="17"/>
  <c r="EHQ77" i="17"/>
  <c r="EHP77" i="17"/>
  <c r="EHO77" i="17"/>
  <c r="EHN77" i="17"/>
  <c r="EHM77" i="17"/>
  <c r="EHL77" i="17"/>
  <c r="EHK77" i="17"/>
  <c r="EHJ77" i="17"/>
  <c r="EHI77" i="17"/>
  <c r="EHH77" i="17"/>
  <c r="EHG77" i="17"/>
  <c r="EHF77" i="17"/>
  <c r="EHE77" i="17"/>
  <c r="EHD77" i="17"/>
  <c r="EHC77" i="17"/>
  <c r="EHB77" i="17"/>
  <c r="EHA77" i="17"/>
  <c r="EGZ77" i="17"/>
  <c r="EGY77" i="17"/>
  <c r="EGX77" i="17"/>
  <c r="EGW77" i="17"/>
  <c r="EGV77" i="17"/>
  <c r="EGU77" i="17"/>
  <c r="EGT77" i="17"/>
  <c r="EGS77" i="17"/>
  <c r="EGR77" i="17"/>
  <c r="EGQ77" i="17"/>
  <c r="EGP77" i="17"/>
  <c r="EGO77" i="17"/>
  <c r="EGN77" i="17"/>
  <c r="EGM77" i="17"/>
  <c r="EGL77" i="17"/>
  <c r="EGK77" i="17"/>
  <c r="EGJ77" i="17"/>
  <c r="EGI77" i="17"/>
  <c r="EGH77" i="17"/>
  <c r="EGG77" i="17"/>
  <c r="EGF77" i="17"/>
  <c r="EGE77" i="17"/>
  <c r="EGD77" i="17"/>
  <c r="EGC77" i="17"/>
  <c r="EGB77" i="17"/>
  <c r="EGA77" i="17"/>
  <c r="EFZ77" i="17"/>
  <c r="EFY77" i="17"/>
  <c r="EFX77" i="17"/>
  <c r="EFW77" i="17"/>
  <c r="EFV77" i="17"/>
  <c r="EFU77" i="17"/>
  <c r="EFT77" i="17"/>
  <c r="EFS77" i="17"/>
  <c r="EFR77" i="17"/>
  <c r="EFQ77" i="17"/>
  <c r="EFP77" i="17"/>
  <c r="EFO77" i="17"/>
  <c r="EFN77" i="17"/>
  <c r="EFM77" i="17"/>
  <c r="EFL77" i="17"/>
  <c r="EFK77" i="17"/>
  <c r="EFJ77" i="17"/>
  <c r="EFI77" i="17"/>
  <c r="EFH77" i="17"/>
  <c r="EFG77" i="17"/>
  <c r="EFF77" i="17"/>
  <c r="EFE77" i="17"/>
  <c r="EFD77" i="17"/>
  <c r="EFC77" i="17"/>
  <c r="EFB77" i="17"/>
  <c r="EFA77" i="17"/>
  <c r="EEZ77" i="17"/>
  <c r="EEY77" i="17"/>
  <c r="EEX77" i="17"/>
  <c r="EEW77" i="17"/>
  <c r="EEV77" i="17"/>
  <c r="EEU77" i="17"/>
  <c r="EET77" i="17"/>
  <c r="EES77" i="17"/>
  <c r="EER77" i="17"/>
  <c r="EEQ77" i="17"/>
  <c r="EEP77" i="17"/>
  <c r="EEO77" i="17"/>
  <c r="EEN77" i="17"/>
  <c r="EEM77" i="17"/>
  <c r="EEL77" i="17"/>
  <c r="EEK77" i="17"/>
  <c r="EEJ77" i="17"/>
  <c r="EEI77" i="17"/>
  <c r="EEH77" i="17"/>
  <c r="EEG77" i="17"/>
  <c r="EEF77" i="17"/>
  <c r="EEE77" i="17"/>
  <c r="EED77" i="17"/>
  <c r="EEC77" i="17"/>
  <c r="EEB77" i="17"/>
  <c r="EEA77" i="17"/>
  <c r="EDZ77" i="17"/>
  <c r="EDY77" i="17"/>
  <c r="EDX77" i="17"/>
  <c r="EDW77" i="17"/>
  <c r="EDV77" i="17"/>
  <c r="EDU77" i="17"/>
  <c r="EDT77" i="17"/>
  <c r="EDS77" i="17"/>
  <c r="EDR77" i="17"/>
  <c r="EDQ77" i="17"/>
  <c r="EDP77" i="17"/>
  <c r="EDO77" i="17"/>
  <c r="EDN77" i="17"/>
  <c r="EDM77" i="17"/>
  <c r="EDL77" i="17"/>
  <c r="EDK77" i="17"/>
  <c r="EDJ77" i="17"/>
  <c r="EDI77" i="17"/>
  <c r="EDH77" i="17"/>
  <c r="EDG77" i="17"/>
  <c r="EDF77" i="17"/>
  <c r="EDE77" i="17"/>
  <c r="EDD77" i="17"/>
  <c r="EDC77" i="17"/>
  <c r="EDB77" i="17"/>
  <c r="EDA77" i="17"/>
  <c r="ECZ77" i="17"/>
  <c r="ECY77" i="17"/>
  <c r="ECX77" i="17"/>
  <c r="ECW77" i="17"/>
  <c r="ECV77" i="17"/>
  <c r="ECU77" i="17"/>
  <c r="ECT77" i="17"/>
  <c r="ECS77" i="17"/>
  <c r="ECR77" i="17"/>
  <c r="ECQ77" i="17"/>
  <c r="ECP77" i="17"/>
  <c r="ECO77" i="17"/>
  <c r="ECN77" i="17"/>
  <c r="ECM77" i="17"/>
  <c r="ECL77" i="17"/>
  <c r="ECK77" i="17"/>
  <c r="ECJ77" i="17"/>
  <c r="ECI77" i="17"/>
  <c r="ECH77" i="17"/>
  <c r="ECG77" i="17"/>
  <c r="ECF77" i="17"/>
  <c r="ECE77" i="17"/>
  <c r="ECD77" i="17"/>
  <c r="ECC77" i="17"/>
  <c r="ECB77" i="17"/>
  <c r="ECA77" i="17"/>
  <c r="EBZ77" i="17"/>
  <c r="EBY77" i="17"/>
  <c r="EBX77" i="17"/>
  <c r="EBW77" i="17"/>
  <c r="EBV77" i="17"/>
  <c r="EBU77" i="17"/>
  <c r="EBT77" i="17"/>
  <c r="EBS77" i="17"/>
  <c r="EBR77" i="17"/>
  <c r="EBQ77" i="17"/>
  <c r="EBP77" i="17"/>
  <c r="EBO77" i="17"/>
  <c r="EBN77" i="17"/>
  <c r="EBM77" i="17"/>
  <c r="EBL77" i="17"/>
  <c r="EBK77" i="17"/>
  <c r="EBJ77" i="17"/>
  <c r="EBI77" i="17"/>
  <c r="EBH77" i="17"/>
  <c r="EBG77" i="17"/>
  <c r="EBF77" i="17"/>
  <c r="EBE77" i="17"/>
  <c r="EBD77" i="17"/>
  <c r="EBC77" i="17"/>
  <c r="EBB77" i="17"/>
  <c r="EBA77" i="17"/>
  <c r="EAZ77" i="17"/>
  <c r="EAY77" i="17"/>
  <c r="EAX77" i="17"/>
  <c r="EAW77" i="17"/>
  <c r="EAV77" i="17"/>
  <c r="EAU77" i="17"/>
  <c r="EAT77" i="17"/>
  <c r="EAS77" i="17"/>
  <c r="EAR77" i="17"/>
  <c r="EAQ77" i="17"/>
  <c r="EAP77" i="17"/>
  <c r="EAO77" i="17"/>
  <c r="EAN77" i="17"/>
  <c r="EAM77" i="17"/>
  <c r="EAL77" i="17"/>
  <c r="EAK77" i="17"/>
  <c r="EAJ77" i="17"/>
  <c r="EAI77" i="17"/>
  <c r="EAH77" i="17"/>
  <c r="EAG77" i="17"/>
  <c r="EAF77" i="17"/>
  <c r="EAE77" i="17"/>
  <c r="EAD77" i="17"/>
  <c r="EAC77" i="17"/>
  <c r="EAB77" i="17"/>
  <c r="EAA77" i="17"/>
  <c r="DZZ77" i="17"/>
  <c r="DZY77" i="17"/>
  <c r="DZX77" i="17"/>
  <c r="DZW77" i="17"/>
  <c r="DZV77" i="17"/>
  <c r="DZU77" i="17"/>
  <c r="DZT77" i="17"/>
  <c r="DZS77" i="17"/>
  <c r="DZR77" i="17"/>
  <c r="DZQ77" i="17"/>
  <c r="DZP77" i="17"/>
  <c r="DZO77" i="17"/>
  <c r="DZN77" i="17"/>
  <c r="DZM77" i="17"/>
  <c r="DZL77" i="17"/>
  <c r="DZK77" i="17"/>
  <c r="DZJ77" i="17"/>
  <c r="DZI77" i="17"/>
  <c r="DZH77" i="17"/>
  <c r="DZG77" i="17"/>
  <c r="DZF77" i="17"/>
  <c r="DZE77" i="17"/>
  <c r="DZD77" i="17"/>
  <c r="DZC77" i="17"/>
  <c r="DZB77" i="17"/>
  <c r="DZA77" i="17"/>
  <c r="DYZ77" i="17"/>
  <c r="DYY77" i="17"/>
  <c r="DYX77" i="17"/>
  <c r="DYW77" i="17"/>
  <c r="DYV77" i="17"/>
  <c r="DYU77" i="17"/>
  <c r="DYT77" i="17"/>
  <c r="DYS77" i="17"/>
  <c r="DYR77" i="17"/>
  <c r="DYQ77" i="17"/>
  <c r="DYP77" i="17"/>
  <c r="DYO77" i="17"/>
  <c r="DYN77" i="17"/>
  <c r="DYM77" i="17"/>
  <c r="DYL77" i="17"/>
  <c r="DYK77" i="17"/>
  <c r="DYJ77" i="17"/>
  <c r="DYI77" i="17"/>
  <c r="DYH77" i="17"/>
  <c r="DYG77" i="17"/>
  <c r="DYF77" i="17"/>
  <c r="DYE77" i="17"/>
  <c r="DYD77" i="17"/>
  <c r="DYC77" i="17"/>
  <c r="DYB77" i="17"/>
  <c r="DYA77" i="17"/>
  <c r="DXZ77" i="17"/>
  <c r="DXY77" i="17"/>
  <c r="DXX77" i="17"/>
  <c r="DXW77" i="17"/>
  <c r="DXV77" i="17"/>
  <c r="DXU77" i="17"/>
  <c r="DXT77" i="17"/>
  <c r="DXS77" i="17"/>
  <c r="DXR77" i="17"/>
  <c r="DXQ77" i="17"/>
  <c r="DXP77" i="17"/>
  <c r="DXO77" i="17"/>
  <c r="DXN77" i="17"/>
  <c r="DXM77" i="17"/>
  <c r="DXL77" i="17"/>
  <c r="DXK77" i="17"/>
  <c r="DXJ77" i="17"/>
  <c r="DXI77" i="17"/>
  <c r="DXH77" i="17"/>
  <c r="DXG77" i="17"/>
  <c r="DXF77" i="17"/>
  <c r="DXE77" i="17"/>
  <c r="DXD77" i="17"/>
  <c r="DXC77" i="17"/>
  <c r="DXB77" i="17"/>
  <c r="DXA77" i="17"/>
  <c r="DWZ77" i="17"/>
  <c r="DWY77" i="17"/>
  <c r="DWX77" i="17"/>
  <c r="DWW77" i="17"/>
  <c r="DWV77" i="17"/>
  <c r="DWU77" i="17"/>
  <c r="DWT77" i="17"/>
  <c r="DWS77" i="17"/>
  <c r="DWR77" i="17"/>
  <c r="DWQ77" i="17"/>
  <c r="DWP77" i="17"/>
  <c r="DWO77" i="17"/>
  <c r="DWN77" i="17"/>
  <c r="DWM77" i="17"/>
  <c r="DWL77" i="17"/>
  <c r="DWK77" i="17"/>
  <c r="DWJ77" i="17"/>
  <c r="DWI77" i="17"/>
  <c r="DWH77" i="17"/>
  <c r="DWG77" i="17"/>
  <c r="DWF77" i="17"/>
  <c r="DWE77" i="17"/>
  <c r="DWD77" i="17"/>
  <c r="DWC77" i="17"/>
  <c r="DWB77" i="17"/>
  <c r="DWA77" i="17"/>
  <c r="DVZ77" i="17"/>
  <c r="DVY77" i="17"/>
  <c r="DVX77" i="17"/>
  <c r="DVW77" i="17"/>
  <c r="DVV77" i="17"/>
  <c r="DVU77" i="17"/>
  <c r="DVT77" i="17"/>
  <c r="DVS77" i="17"/>
  <c r="DVR77" i="17"/>
  <c r="DVQ77" i="17"/>
  <c r="DVP77" i="17"/>
  <c r="DVO77" i="17"/>
  <c r="DVN77" i="17"/>
  <c r="DVM77" i="17"/>
  <c r="DVL77" i="17"/>
  <c r="DVK77" i="17"/>
  <c r="DVJ77" i="17"/>
  <c r="DVI77" i="17"/>
  <c r="DVH77" i="17"/>
  <c r="DVG77" i="17"/>
  <c r="DVF77" i="17"/>
  <c r="DVE77" i="17"/>
  <c r="DVD77" i="17"/>
  <c r="DVC77" i="17"/>
  <c r="DVB77" i="17"/>
  <c r="DVA77" i="17"/>
  <c r="DUZ77" i="17"/>
  <c r="DUY77" i="17"/>
  <c r="DUX77" i="17"/>
  <c r="DUW77" i="17"/>
  <c r="DUV77" i="17"/>
  <c r="DUU77" i="17"/>
  <c r="DUT77" i="17"/>
  <c r="DUS77" i="17"/>
  <c r="DUR77" i="17"/>
  <c r="DUQ77" i="17"/>
  <c r="DUP77" i="17"/>
  <c r="DUO77" i="17"/>
  <c r="DUN77" i="17"/>
  <c r="DUM77" i="17"/>
  <c r="DUL77" i="17"/>
  <c r="DUK77" i="17"/>
  <c r="DUJ77" i="17"/>
  <c r="DUI77" i="17"/>
  <c r="DUH77" i="17"/>
  <c r="DUG77" i="17"/>
  <c r="DUF77" i="17"/>
  <c r="DUE77" i="17"/>
  <c r="DUD77" i="17"/>
  <c r="DUC77" i="17"/>
  <c r="DUB77" i="17"/>
  <c r="DUA77" i="17"/>
  <c r="DTZ77" i="17"/>
  <c r="DTY77" i="17"/>
  <c r="DTX77" i="17"/>
  <c r="DTW77" i="17"/>
  <c r="DTV77" i="17"/>
  <c r="DTU77" i="17"/>
  <c r="DTT77" i="17"/>
  <c r="DTS77" i="17"/>
  <c r="DTR77" i="17"/>
  <c r="DTQ77" i="17"/>
  <c r="DTP77" i="17"/>
  <c r="DTO77" i="17"/>
  <c r="DTN77" i="17"/>
  <c r="DTM77" i="17"/>
  <c r="DTL77" i="17"/>
  <c r="DTK77" i="17"/>
  <c r="DTJ77" i="17"/>
  <c r="DTI77" i="17"/>
  <c r="DTH77" i="17"/>
  <c r="DTG77" i="17"/>
  <c r="DTF77" i="17"/>
  <c r="DTE77" i="17"/>
  <c r="DTD77" i="17"/>
  <c r="DTC77" i="17"/>
  <c r="DTB77" i="17"/>
  <c r="DTA77" i="17"/>
  <c r="DSZ77" i="17"/>
  <c r="DSY77" i="17"/>
  <c r="DSX77" i="17"/>
  <c r="DSW77" i="17"/>
  <c r="DSV77" i="17"/>
  <c r="DSU77" i="17"/>
  <c r="DST77" i="17"/>
  <c r="DSS77" i="17"/>
  <c r="DSR77" i="17"/>
  <c r="DSQ77" i="17"/>
  <c r="DSP77" i="17"/>
  <c r="DSO77" i="17"/>
  <c r="DSN77" i="17"/>
  <c r="DSM77" i="17"/>
  <c r="DSL77" i="17"/>
  <c r="DSK77" i="17"/>
  <c r="DSJ77" i="17"/>
  <c r="DSI77" i="17"/>
  <c r="DSH77" i="17"/>
  <c r="DSG77" i="17"/>
  <c r="DSF77" i="17"/>
  <c r="DSE77" i="17"/>
  <c r="DSD77" i="17"/>
  <c r="DSC77" i="17"/>
  <c r="DSB77" i="17"/>
  <c r="DSA77" i="17"/>
  <c r="DRZ77" i="17"/>
  <c r="DRY77" i="17"/>
  <c r="DRX77" i="17"/>
  <c r="DRW77" i="17"/>
  <c r="DRV77" i="17"/>
  <c r="DRU77" i="17"/>
  <c r="DRT77" i="17"/>
  <c r="DRS77" i="17"/>
  <c r="DRR77" i="17"/>
  <c r="DRQ77" i="17"/>
  <c r="DRP77" i="17"/>
  <c r="DRO77" i="17"/>
  <c r="DRN77" i="17"/>
  <c r="DRM77" i="17"/>
  <c r="DRL77" i="17"/>
  <c r="DRK77" i="17"/>
  <c r="DRJ77" i="17"/>
  <c r="DRI77" i="17"/>
  <c r="DRH77" i="17"/>
  <c r="DRG77" i="17"/>
  <c r="DRF77" i="17"/>
  <c r="DRE77" i="17"/>
  <c r="DRD77" i="17"/>
  <c r="DRC77" i="17"/>
  <c r="DRB77" i="17"/>
  <c r="DRA77" i="17"/>
  <c r="DQZ77" i="17"/>
  <c r="DQY77" i="17"/>
  <c r="DQX77" i="17"/>
  <c r="DQW77" i="17"/>
  <c r="DQV77" i="17"/>
  <c r="DQU77" i="17"/>
  <c r="DQT77" i="17"/>
  <c r="DQS77" i="17"/>
  <c r="DQR77" i="17"/>
  <c r="DQQ77" i="17"/>
  <c r="DQP77" i="17"/>
  <c r="DQO77" i="17"/>
  <c r="DQN77" i="17"/>
  <c r="DQM77" i="17"/>
  <c r="DQL77" i="17"/>
  <c r="DQK77" i="17"/>
  <c r="DQJ77" i="17"/>
  <c r="DQI77" i="17"/>
  <c r="DQH77" i="17"/>
  <c r="DQG77" i="17"/>
  <c r="DQF77" i="17"/>
  <c r="DQE77" i="17"/>
  <c r="DQD77" i="17"/>
  <c r="DQC77" i="17"/>
  <c r="DQB77" i="17"/>
  <c r="DQA77" i="17"/>
  <c r="DPZ77" i="17"/>
  <c r="DPY77" i="17"/>
  <c r="DPX77" i="17"/>
  <c r="DPW77" i="17"/>
  <c r="DPV77" i="17"/>
  <c r="DPU77" i="17"/>
  <c r="DPT77" i="17"/>
  <c r="DPS77" i="17"/>
  <c r="DPR77" i="17"/>
  <c r="DPQ77" i="17"/>
  <c r="DPP77" i="17"/>
  <c r="DPO77" i="17"/>
  <c r="DPN77" i="17"/>
  <c r="DPM77" i="17"/>
  <c r="DPL77" i="17"/>
  <c r="DPK77" i="17"/>
  <c r="DPJ77" i="17"/>
  <c r="DPI77" i="17"/>
  <c r="DPH77" i="17"/>
  <c r="DPG77" i="17"/>
  <c r="DPF77" i="17"/>
  <c r="DPE77" i="17"/>
  <c r="DPD77" i="17"/>
  <c r="DPC77" i="17"/>
  <c r="DPB77" i="17"/>
  <c r="DPA77" i="17"/>
  <c r="DOZ77" i="17"/>
  <c r="DOY77" i="17"/>
  <c r="DOX77" i="17"/>
  <c r="DOW77" i="17"/>
  <c r="DOV77" i="17"/>
  <c r="DOU77" i="17"/>
  <c r="DOT77" i="17"/>
  <c r="DOS77" i="17"/>
  <c r="DOR77" i="17"/>
  <c r="DOQ77" i="17"/>
  <c r="DOP77" i="17"/>
  <c r="DOO77" i="17"/>
  <c r="DON77" i="17"/>
  <c r="DOM77" i="17"/>
  <c r="DOL77" i="17"/>
  <c r="DOK77" i="17"/>
  <c r="DOJ77" i="17"/>
  <c r="DOI77" i="17"/>
  <c r="DOH77" i="17"/>
  <c r="DOG77" i="17"/>
  <c r="DOF77" i="17"/>
  <c r="DOE77" i="17"/>
  <c r="DOD77" i="17"/>
  <c r="DOC77" i="17"/>
  <c r="DOB77" i="17"/>
  <c r="DOA77" i="17"/>
  <c r="DNZ77" i="17"/>
  <c r="DNY77" i="17"/>
  <c r="DNX77" i="17"/>
  <c r="DNW77" i="17"/>
  <c r="DNV77" i="17"/>
  <c r="DNU77" i="17"/>
  <c r="DNT77" i="17"/>
  <c r="DNS77" i="17"/>
  <c r="DNR77" i="17"/>
  <c r="DNQ77" i="17"/>
  <c r="DNP77" i="17"/>
  <c r="DNO77" i="17"/>
  <c r="DNN77" i="17"/>
  <c r="DNM77" i="17"/>
  <c r="DNL77" i="17"/>
  <c r="DNK77" i="17"/>
  <c r="DNJ77" i="17"/>
  <c r="DNI77" i="17"/>
  <c r="DNH77" i="17"/>
  <c r="DNG77" i="17"/>
  <c r="DNF77" i="17"/>
  <c r="DNE77" i="17"/>
  <c r="DND77" i="17"/>
  <c r="DNC77" i="17"/>
  <c r="DNB77" i="17"/>
  <c r="DNA77" i="17"/>
  <c r="DMZ77" i="17"/>
  <c r="DMY77" i="17"/>
  <c r="DMX77" i="17"/>
  <c r="DMW77" i="17"/>
  <c r="DMV77" i="17"/>
  <c r="DMU77" i="17"/>
  <c r="DMT77" i="17"/>
  <c r="DMS77" i="17"/>
  <c r="DMR77" i="17"/>
  <c r="DMQ77" i="17"/>
  <c r="DMP77" i="17"/>
  <c r="DMO77" i="17"/>
  <c r="DMN77" i="17"/>
  <c r="DMM77" i="17"/>
  <c r="DML77" i="17"/>
  <c r="DMK77" i="17"/>
  <c r="DMJ77" i="17"/>
  <c r="DMI77" i="17"/>
  <c r="DMH77" i="17"/>
  <c r="DMG77" i="17"/>
  <c r="DMF77" i="17"/>
  <c r="DME77" i="17"/>
  <c r="DMD77" i="17"/>
  <c r="DMC77" i="17"/>
  <c r="DMB77" i="17"/>
  <c r="DMA77" i="17"/>
  <c r="DLZ77" i="17"/>
  <c r="DLY77" i="17"/>
  <c r="DLX77" i="17"/>
  <c r="DLW77" i="17"/>
  <c r="DLV77" i="17"/>
  <c r="DLU77" i="17"/>
  <c r="DLT77" i="17"/>
  <c r="DLS77" i="17"/>
  <c r="DLR77" i="17"/>
  <c r="DLQ77" i="17"/>
  <c r="DLP77" i="17"/>
  <c r="DLO77" i="17"/>
  <c r="DLN77" i="17"/>
  <c r="DLM77" i="17"/>
  <c r="DLL77" i="17"/>
  <c r="DLK77" i="17"/>
  <c r="DLJ77" i="17"/>
  <c r="DLI77" i="17"/>
  <c r="DLH77" i="17"/>
  <c r="DLG77" i="17"/>
  <c r="DLF77" i="17"/>
  <c r="DLE77" i="17"/>
  <c r="DLD77" i="17"/>
  <c r="DLC77" i="17"/>
  <c r="DLB77" i="17"/>
  <c r="DLA77" i="17"/>
  <c r="DKZ77" i="17"/>
  <c r="DKY77" i="17"/>
  <c r="DKX77" i="17"/>
  <c r="DKW77" i="17"/>
  <c r="DKV77" i="17"/>
  <c r="DKU77" i="17"/>
  <c r="DKT77" i="17"/>
  <c r="DKS77" i="17"/>
  <c r="DKR77" i="17"/>
  <c r="DKQ77" i="17"/>
  <c r="DKP77" i="17"/>
  <c r="DKO77" i="17"/>
  <c r="DKN77" i="17"/>
  <c r="DKM77" i="17"/>
  <c r="DKL77" i="17"/>
  <c r="DKK77" i="17"/>
  <c r="DKJ77" i="17"/>
  <c r="DKI77" i="17"/>
  <c r="DKH77" i="17"/>
  <c r="DKG77" i="17"/>
  <c r="DKF77" i="17"/>
  <c r="DKE77" i="17"/>
  <c r="DKD77" i="17"/>
  <c r="DKC77" i="17"/>
  <c r="DKB77" i="17"/>
  <c r="DKA77" i="17"/>
  <c r="DJZ77" i="17"/>
  <c r="DJY77" i="17"/>
  <c r="DJX77" i="17"/>
  <c r="DJW77" i="17"/>
  <c r="DJV77" i="17"/>
  <c r="DJU77" i="17"/>
  <c r="DJT77" i="17"/>
  <c r="DJS77" i="17"/>
  <c r="DJR77" i="17"/>
  <c r="DJQ77" i="17"/>
  <c r="DJP77" i="17"/>
  <c r="DJO77" i="17"/>
  <c r="DJN77" i="17"/>
  <c r="DJM77" i="17"/>
  <c r="DJL77" i="17"/>
  <c r="DJK77" i="17"/>
  <c r="DJJ77" i="17"/>
  <c r="DJI77" i="17"/>
  <c r="DJH77" i="17"/>
  <c r="DJG77" i="17"/>
  <c r="DJF77" i="17"/>
  <c r="DJE77" i="17"/>
  <c r="DJD77" i="17"/>
  <c r="DJC77" i="17"/>
  <c r="DJB77" i="17"/>
  <c r="DJA77" i="17"/>
  <c r="DIZ77" i="17"/>
  <c r="DIY77" i="17"/>
  <c r="DIX77" i="17"/>
  <c r="DIW77" i="17"/>
  <c r="DIV77" i="17"/>
  <c r="DIU77" i="17"/>
  <c r="DIT77" i="17"/>
  <c r="DIS77" i="17"/>
  <c r="DIR77" i="17"/>
  <c r="DIQ77" i="17"/>
  <c r="DIP77" i="17"/>
  <c r="DIO77" i="17"/>
  <c r="DIN77" i="17"/>
  <c r="DIM77" i="17"/>
  <c r="DIL77" i="17"/>
  <c r="DIK77" i="17"/>
  <c r="DIJ77" i="17"/>
  <c r="DII77" i="17"/>
  <c r="DIH77" i="17"/>
  <c r="DIG77" i="17"/>
  <c r="DIF77" i="17"/>
  <c r="DIE77" i="17"/>
  <c r="DID77" i="17"/>
  <c r="DIC77" i="17"/>
  <c r="DIB77" i="17"/>
  <c r="DIA77" i="17"/>
  <c r="DHZ77" i="17"/>
  <c r="DHY77" i="17"/>
  <c r="DHX77" i="17"/>
  <c r="DHW77" i="17"/>
  <c r="DHV77" i="17"/>
  <c r="DHU77" i="17"/>
  <c r="DHT77" i="17"/>
  <c r="DHS77" i="17"/>
  <c r="DHR77" i="17"/>
  <c r="DHQ77" i="17"/>
  <c r="DHP77" i="17"/>
  <c r="DHO77" i="17"/>
  <c r="DHN77" i="17"/>
  <c r="DHM77" i="17"/>
  <c r="DHL77" i="17"/>
  <c r="DHK77" i="17"/>
  <c r="DHJ77" i="17"/>
  <c r="DHI77" i="17"/>
  <c r="DHH77" i="17"/>
  <c r="DHG77" i="17"/>
  <c r="DHF77" i="17"/>
  <c r="DHE77" i="17"/>
  <c r="DHD77" i="17"/>
  <c r="DHC77" i="17"/>
  <c r="DHB77" i="17"/>
  <c r="DHA77" i="17"/>
  <c r="DGZ77" i="17"/>
  <c r="DGY77" i="17"/>
  <c r="DGX77" i="17"/>
  <c r="DGW77" i="17"/>
  <c r="DGV77" i="17"/>
  <c r="DGU77" i="17"/>
  <c r="DGT77" i="17"/>
  <c r="DGS77" i="17"/>
  <c r="DGR77" i="17"/>
  <c r="DGQ77" i="17"/>
  <c r="DGP77" i="17"/>
  <c r="DGO77" i="17"/>
  <c r="DGN77" i="17"/>
  <c r="DGM77" i="17"/>
  <c r="DGL77" i="17"/>
  <c r="DGK77" i="17"/>
  <c r="DGJ77" i="17"/>
  <c r="DGI77" i="17"/>
  <c r="DGH77" i="17"/>
  <c r="DGG77" i="17"/>
  <c r="DGF77" i="17"/>
  <c r="DGE77" i="17"/>
  <c r="DGD77" i="17"/>
  <c r="DGC77" i="17"/>
  <c r="DGB77" i="17"/>
  <c r="DGA77" i="17"/>
  <c r="DFZ77" i="17"/>
  <c r="DFY77" i="17"/>
  <c r="DFX77" i="17"/>
  <c r="DFW77" i="17"/>
  <c r="DFV77" i="17"/>
  <c r="DFU77" i="17"/>
  <c r="DFT77" i="17"/>
  <c r="DFS77" i="17"/>
  <c r="DFR77" i="17"/>
  <c r="DFQ77" i="17"/>
  <c r="DFP77" i="17"/>
  <c r="DFO77" i="17"/>
  <c r="DFN77" i="17"/>
  <c r="DFM77" i="17"/>
  <c r="DFL77" i="17"/>
  <c r="DFK77" i="17"/>
  <c r="DFJ77" i="17"/>
  <c r="DFI77" i="17"/>
  <c r="DFH77" i="17"/>
  <c r="DFG77" i="17"/>
  <c r="DFF77" i="17"/>
  <c r="DFE77" i="17"/>
  <c r="DFD77" i="17"/>
  <c r="DFC77" i="17"/>
  <c r="DFB77" i="17"/>
  <c r="DFA77" i="17"/>
  <c r="DEZ77" i="17"/>
  <c r="DEY77" i="17"/>
  <c r="DEX77" i="17"/>
  <c r="DEW77" i="17"/>
  <c r="DEV77" i="17"/>
  <c r="DEU77" i="17"/>
  <c r="DET77" i="17"/>
  <c r="DES77" i="17"/>
  <c r="DER77" i="17"/>
  <c r="DEQ77" i="17"/>
  <c r="DEP77" i="17"/>
  <c r="DEO77" i="17"/>
  <c r="DEN77" i="17"/>
  <c r="DEM77" i="17"/>
  <c r="DEL77" i="17"/>
  <c r="DEK77" i="17"/>
  <c r="DEJ77" i="17"/>
  <c r="DEI77" i="17"/>
  <c r="DEH77" i="17"/>
  <c r="DEG77" i="17"/>
  <c r="DEF77" i="17"/>
  <c r="DEE77" i="17"/>
  <c r="DED77" i="17"/>
  <c r="DEC77" i="17"/>
  <c r="DEB77" i="17"/>
  <c r="DEA77" i="17"/>
  <c r="DDZ77" i="17"/>
  <c r="DDY77" i="17"/>
  <c r="DDX77" i="17"/>
  <c r="DDW77" i="17"/>
  <c r="DDV77" i="17"/>
  <c r="DDU77" i="17"/>
  <c r="DDT77" i="17"/>
  <c r="DDS77" i="17"/>
  <c r="DDR77" i="17"/>
  <c r="DDQ77" i="17"/>
  <c r="DDP77" i="17"/>
  <c r="DDO77" i="17"/>
  <c r="DDN77" i="17"/>
  <c r="DDM77" i="17"/>
  <c r="DDL77" i="17"/>
  <c r="DDK77" i="17"/>
  <c r="DDJ77" i="17"/>
  <c r="DDI77" i="17"/>
  <c r="DDH77" i="17"/>
  <c r="DDG77" i="17"/>
  <c r="DDF77" i="17"/>
  <c r="DDE77" i="17"/>
  <c r="DDD77" i="17"/>
  <c r="DDC77" i="17"/>
  <c r="DDB77" i="17"/>
  <c r="DDA77" i="17"/>
  <c r="DCZ77" i="17"/>
  <c r="DCY77" i="17"/>
  <c r="DCX77" i="17"/>
  <c r="DCW77" i="17"/>
  <c r="DCV77" i="17"/>
  <c r="DCU77" i="17"/>
  <c r="DCT77" i="17"/>
  <c r="DCS77" i="17"/>
  <c r="DCR77" i="17"/>
  <c r="DCQ77" i="17"/>
  <c r="DCP77" i="17"/>
  <c r="DCO77" i="17"/>
  <c r="DCN77" i="17"/>
  <c r="DCM77" i="17"/>
  <c r="DCL77" i="17"/>
  <c r="DCK77" i="17"/>
  <c r="DCJ77" i="17"/>
  <c r="DCI77" i="17"/>
  <c r="DCH77" i="17"/>
  <c r="DCG77" i="17"/>
  <c r="DCF77" i="17"/>
  <c r="DCE77" i="17"/>
  <c r="DCD77" i="17"/>
  <c r="DCC77" i="17"/>
  <c r="DCB77" i="17"/>
  <c r="DCA77" i="17"/>
  <c r="DBZ77" i="17"/>
  <c r="DBY77" i="17"/>
  <c r="DBX77" i="17"/>
  <c r="DBW77" i="17"/>
  <c r="DBV77" i="17"/>
  <c r="DBU77" i="17"/>
  <c r="DBT77" i="17"/>
  <c r="DBS77" i="17"/>
  <c r="DBR77" i="17"/>
  <c r="DBQ77" i="17"/>
  <c r="DBP77" i="17"/>
  <c r="DBO77" i="17"/>
  <c r="DBN77" i="17"/>
  <c r="DBM77" i="17"/>
  <c r="DBL77" i="17"/>
  <c r="DBK77" i="17"/>
  <c r="DBJ77" i="17"/>
  <c r="DBI77" i="17"/>
  <c r="DBH77" i="17"/>
  <c r="DBG77" i="17"/>
  <c r="DBF77" i="17"/>
  <c r="DBE77" i="17"/>
  <c r="DBD77" i="17"/>
  <c r="DBC77" i="17"/>
  <c r="DBB77" i="17"/>
  <c r="DBA77" i="17"/>
  <c r="DAZ77" i="17"/>
  <c r="DAY77" i="17"/>
  <c r="DAX77" i="17"/>
  <c r="DAW77" i="17"/>
  <c r="DAV77" i="17"/>
  <c r="DAU77" i="17"/>
  <c r="DAT77" i="17"/>
  <c r="DAS77" i="17"/>
  <c r="DAR77" i="17"/>
  <c r="DAQ77" i="17"/>
  <c r="DAP77" i="17"/>
  <c r="DAO77" i="17"/>
  <c r="DAN77" i="17"/>
  <c r="DAM77" i="17"/>
  <c r="DAL77" i="17"/>
  <c r="DAK77" i="17"/>
  <c r="DAJ77" i="17"/>
  <c r="DAI77" i="17"/>
  <c r="DAH77" i="17"/>
  <c r="DAG77" i="17"/>
  <c r="DAF77" i="17"/>
  <c r="DAE77" i="17"/>
  <c r="DAD77" i="17"/>
  <c r="DAC77" i="17"/>
  <c r="DAB77" i="17"/>
  <c r="DAA77" i="17"/>
  <c r="CZZ77" i="17"/>
  <c r="CZY77" i="17"/>
  <c r="CZX77" i="17"/>
  <c r="CZW77" i="17"/>
  <c r="CZV77" i="17"/>
  <c r="CZU77" i="17"/>
  <c r="CZT77" i="17"/>
  <c r="CZS77" i="17"/>
  <c r="CZR77" i="17"/>
  <c r="CZQ77" i="17"/>
  <c r="CZP77" i="17"/>
  <c r="CZO77" i="17"/>
  <c r="CZN77" i="17"/>
  <c r="CZM77" i="17"/>
  <c r="CZL77" i="17"/>
  <c r="CZK77" i="17"/>
  <c r="CZJ77" i="17"/>
  <c r="CZI77" i="17"/>
  <c r="CZH77" i="17"/>
  <c r="CZG77" i="17"/>
  <c r="CZF77" i="17"/>
  <c r="CZE77" i="17"/>
  <c r="CZD77" i="17"/>
  <c r="CZC77" i="17"/>
  <c r="CZB77" i="17"/>
  <c r="CZA77" i="17"/>
  <c r="CYZ77" i="17"/>
  <c r="CYY77" i="17"/>
  <c r="CYX77" i="17"/>
  <c r="CYW77" i="17"/>
  <c r="CYV77" i="17"/>
  <c r="CYU77" i="17"/>
  <c r="CYT77" i="17"/>
  <c r="CYS77" i="17"/>
  <c r="CYR77" i="17"/>
  <c r="CYQ77" i="17"/>
  <c r="CYP77" i="17"/>
  <c r="CYO77" i="17"/>
  <c r="CYN77" i="17"/>
  <c r="CYM77" i="17"/>
  <c r="CYL77" i="17"/>
  <c r="CYK77" i="17"/>
  <c r="CYJ77" i="17"/>
  <c r="CYI77" i="17"/>
  <c r="CYH77" i="17"/>
  <c r="CYG77" i="17"/>
  <c r="CYF77" i="17"/>
  <c r="CYE77" i="17"/>
  <c r="CYD77" i="17"/>
  <c r="CYC77" i="17"/>
  <c r="CYB77" i="17"/>
  <c r="CYA77" i="17"/>
  <c r="CXZ77" i="17"/>
  <c r="CXY77" i="17"/>
  <c r="CXX77" i="17"/>
  <c r="CXW77" i="17"/>
  <c r="CXV77" i="17"/>
  <c r="CXU77" i="17"/>
  <c r="CXT77" i="17"/>
  <c r="CXS77" i="17"/>
  <c r="CXR77" i="17"/>
  <c r="CXQ77" i="17"/>
  <c r="CXP77" i="17"/>
  <c r="CXO77" i="17"/>
  <c r="CXN77" i="17"/>
  <c r="CXM77" i="17"/>
  <c r="CXL77" i="17"/>
  <c r="CXK77" i="17"/>
  <c r="CXJ77" i="17"/>
  <c r="CXI77" i="17"/>
  <c r="CXH77" i="17"/>
  <c r="CXG77" i="17"/>
  <c r="CXF77" i="17"/>
  <c r="CXE77" i="17"/>
  <c r="CXD77" i="17"/>
  <c r="CXC77" i="17"/>
  <c r="CXB77" i="17"/>
  <c r="CXA77" i="17"/>
  <c r="CWZ77" i="17"/>
  <c r="CWY77" i="17"/>
  <c r="CWX77" i="17"/>
  <c r="CWW77" i="17"/>
  <c r="CWV77" i="17"/>
  <c r="CWU77" i="17"/>
  <c r="CWT77" i="17"/>
  <c r="CWS77" i="17"/>
  <c r="CWR77" i="17"/>
  <c r="CWQ77" i="17"/>
  <c r="CWP77" i="17"/>
  <c r="CWO77" i="17"/>
  <c r="CWN77" i="17"/>
  <c r="CWM77" i="17"/>
  <c r="CWL77" i="17"/>
  <c r="CWK77" i="17"/>
  <c r="CWJ77" i="17"/>
  <c r="CWI77" i="17"/>
  <c r="CWH77" i="17"/>
  <c r="CWG77" i="17"/>
  <c r="CWF77" i="17"/>
  <c r="CWE77" i="17"/>
  <c r="CWD77" i="17"/>
  <c r="CWC77" i="17"/>
  <c r="CWB77" i="17"/>
  <c r="CWA77" i="17"/>
  <c r="CVZ77" i="17"/>
  <c r="CVY77" i="17"/>
  <c r="CVX77" i="17"/>
  <c r="CVW77" i="17"/>
  <c r="CVV77" i="17"/>
  <c r="CVU77" i="17"/>
  <c r="CVT77" i="17"/>
  <c r="CVS77" i="17"/>
  <c r="CVR77" i="17"/>
  <c r="CVQ77" i="17"/>
  <c r="CVP77" i="17"/>
  <c r="CVO77" i="17"/>
  <c r="CVN77" i="17"/>
  <c r="CVM77" i="17"/>
  <c r="CVL77" i="17"/>
  <c r="CVK77" i="17"/>
  <c r="CVJ77" i="17"/>
  <c r="CVI77" i="17"/>
  <c r="CVH77" i="17"/>
  <c r="CVG77" i="17"/>
  <c r="CVF77" i="17"/>
  <c r="CVE77" i="17"/>
  <c r="CVD77" i="17"/>
  <c r="CVC77" i="17"/>
  <c r="CVB77" i="17"/>
  <c r="CVA77" i="17"/>
  <c r="CUZ77" i="17"/>
  <c r="CUY77" i="17"/>
  <c r="CUX77" i="17"/>
  <c r="CUW77" i="17"/>
  <c r="CUV77" i="17"/>
  <c r="CUU77" i="17"/>
  <c r="CUT77" i="17"/>
  <c r="CUS77" i="17"/>
  <c r="CUR77" i="17"/>
  <c r="CUQ77" i="17"/>
  <c r="CUP77" i="17"/>
  <c r="CUO77" i="17"/>
  <c r="CUN77" i="17"/>
  <c r="CUM77" i="17"/>
  <c r="CUL77" i="17"/>
  <c r="CUK77" i="17"/>
  <c r="CUJ77" i="17"/>
  <c r="CUI77" i="17"/>
  <c r="CUH77" i="17"/>
  <c r="CUG77" i="17"/>
  <c r="CUF77" i="17"/>
  <c r="CUE77" i="17"/>
  <c r="CUD77" i="17"/>
  <c r="CUC77" i="17"/>
  <c r="CUB77" i="17"/>
  <c r="CUA77" i="17"/>
  <c r="CTZ77" i="17"/>
  <c r="CTY77" i="17"/>
  <c r="CTX77" i="17"/>
  <c r="CTW77" i="17"/>
  <c r="CTV77" i="17"/>
  <c r="CTU77" i="17"/>
  <c r="CTT77" i="17"/>
  <c r="CTS77" i="17"/>
  <c r="CTR77" i="17"/>
  <c r="CTQ77" i="17"/>
  <c r="CTP77" i="17"/>
  <c r="CTO77" i="17"/>
  <c r="CTN77" i="17"/>
  <c r="CTM77" i="17"/>
  <c r="CTL77" i="17"/>
  <c r="CTK77" i="17"/>
  <c r="CTJ77" i="17"/>
  <c r="CTI77" i="17"/>
  <c r="CTH77" i="17"/>
  <c r="CTG77" i="17"/>
  <c r="CTF77" i="17"/>
  <c r="CTE77" i="17"/>
  <c r="CTD77" i="17"/>
  <c r="CTC77" i="17"/>
  <c r="CTB77" i="17"/>
  <c r="CTA77" i="17"/>
  <c r="CSZ77" i="17"/>
  <c r="CSY77" i="17"/>
  <c r="CSX77" i="17"/>
  <c r="CSW77" i="17"/>
  <c r="CSV77" i="17"/>
  <c r="CSU77" i="17"/>
  <c r="CST77" i="17"/>
  <c r="CSS77" i="17"/>
  <c r="CSR77" i="17"/>
  <c r="CSQ77" i="17"/>
  <c r="CSP77" i="17"/>
  <c r="CSO77" i="17"/>
  <c r="CSN77" i="17"/>
  <c r="CSM77" i="17"/>
  <c r="CSL77" i="17"/>
  <c r="CSK77" i="17"/>
  <c r="CSJ77" i="17"/>
  <c r="CSI77" i="17"/>
  <c r="CSH77" i="17"/>
  <c r="CSG77" i="17"/>
  <c r="CSF77" i="17"/>
  <c r="CSE77" i="17"/>
  <c r="CSD77" i="17"/>
  <c r="CSC77" i="17"/>
  <c r="CSB77" i="17"/>
  <c r="CSA77" i="17"/>
  <c r="CRZ77" i="17"/>
  <c r="CRY77" i="17"/>
  <c r="CRX77" i="17"/>
  <c r="CRW77" i="17"/>
  <c r="CRV77" i="17"/>
  <c r="CRU77" i="17"/>
  <c r="CRT77" i="17"/>
  <c r="CRS77" i="17"/>
  <c r="CRR77" i="17"/>
  <c r="CRQ77" i="17"/>
  <c r="CRP77" i="17"/>
  <c r="CRO77" i="17"/>
  <c r="CRN77" i="17"/>
  <c r="CRM77" i="17"/>
  <c r="CRL77" i="17"/>
  <c r="CRK77" i="17"/>
  <c r="CRJ77" i="17"/>
  <c r="CRI77" i="17"/>
  <c r="CRH77" i="17"/>
  <c r="CRG77" i="17"/>
  <c r="CRF77" i="17"/>
  <c r="CRE77" i="17"/>
  <c r="CRD77" i="17"/>
  <c r="CRC77" i="17"/>
  <c r="CRB77" i="17"/>
  <c r="CRA77" i="17"/>
  <c r="CQZ77" i="17"/>
  <c r="CQY77" i="17"/>
  <c r="CQX77" i="17"/>
  <c r="CQW77" i="17"/>
  <c r="CQV77" i="17"/>
  <c r="CQU77" i="17"/>
  <c r="CQT77" i="17"/>
  <c r="CQS77" i="17"/>
  <c r="CQR77" i="17"/>
  <c r="CQQ77" i="17"/>
  <c r="CQP77" i="17"/>
  <c r="CQO77" i="17"/>
  <c r="CQN77" i="17"/>
  <c r="CQM77" i="17"/>
  <c r="CQL77" i="17"/>
  <c r="CQK77" i="17"/>
  <c r="CQJ77" i="17"/>
  <c r="CQI77" i="17"/>
  <c r="CQH77" i="17"/>
  <c r="CQG77" i="17"/>
  <c r="CQF77" i="17"/>
  <c r="CQE77" i="17"/>
  <c r="CQD77" i="17"/>
  <c r="CQC77" i="17"/>
  <c r="CQB77" i="17"/>
  <c r="CQA77" i="17"/>
  <c r="CPZ77" i="17"/>
  <c r="CPY77" i="17"/>
  <c r="CPX77" i="17"/>
  <c r="CPW77" i="17"/>
  <c r="CPV77" i="17"/>
  <c r="CPU77" i="17"/>
  <c r="CPT77" i="17"/>
  <c r="CPS77" i="17"/>
  <c r="CPR77" i="17"/>
  <c r="CPQ77" i="17"/>
  <c r="CPP77" i="17"/>
  <c r="CPO77" i="17"/>
  <c r="CPN77" i="17"/>
  <c r="CPM77" i="17"/>
  <c r="CPL77" i="17"/>
  <c r="CPK77" i="17"/>
  <c r="CPJ77" i="17"/>
  <c r="CPI77" i="17"/>
  <c r="CPH77" i="17"/>
  <c r="CPG77" i="17"/>
  <c r="CPF77" i="17"/>
  <c r="CPE77" i="17"/>
  <c r="CPD77" i="17"/>
  <c r="CPC77" i="17"/>
  <c r="CPB77" i="17"/>
  <c r="CPA77" i="17"/>
  <c r="COZ77" i="17"/>
  <c r="COY77" i="17"/>
  <c r="COX77" i="17"/>
  <c r="COW77" i="17"/>
  <c r="COV77" i="17"/>
  <c r="COU77" i="17"/>
  <c r="COT77" i="17"/>
  <c r="COS77" i="17"/>
  <c r="COR77" i="17"/>
  <c r="COQ77" i="17"/>
  <c r="COP77" i="17"/>
  <c r="COO77" i="17"/>
  <c r="CON77" i="17"/>
  <c r="COM77" i="17"/>
  <c r="COL77" i="17"/>
  <c r="COK77" i="17"/>
  <c r="COJ77" i="17"/>
  <c r="COI77" i="17"/>
  <c r="COH77" i="17"/>
  <c r="COG77" i="17"/>
  <c r="COF77" i="17"/>
  <c r="COE77" i="17"/>
  <c r="COD77" i="17"/>
  <c r="COC77" i="17"/>
  <c r="COB77" i="17"/>
  <c r="COA77" i="17"/>
  <c r="CNZ77" i="17"/>
  <c r="CNY77" i="17"/>
  <c r="CNX77" i="17"/>
  <c r="CNW77" i="17"/>
  <c r="CNV77" i="17"/>
  <c r="CNU77" i="17"/>
  <c r="CNT77" i="17"/>
  <c r="CNS77" i="17"/>
  <c r="CNR77" i="17"/>
  <c r="CNQ77" i="17"/>
  <c r="CNP77" i="17"/>
  <c r="CNO77" i="17"/>
  <c r="CNN77" i="17"/>
  <c r="CNM77" i="17"/>
  <c r="CNL77" i="17"/>
  <c r="CNK77" i="17"/>
  <c r="CNJ77" i="17"/>
  <c r="CNI77" i="17"/>
  <c r="CNH77" i="17"/>
  <c r="CNG77" i="17"/>
  <c r="CNF77" i="17"/>
  <c r="CNE77" i="17"/>
  <c r="CND77" i="17"/>
  <c r="CNC77" i="17"/>
  <c r="CNB77" i="17"/>
  <c r="CNA77" i="17"/>
  <c r="CMZ77" i="17"/>
  <c r="CMY77" i="17"/>
  <c r="CMX77" i="17"/>
  <c r="CMW77" i="17"/>
  <c r="CMV77" i="17"/>
  <c r="CMU77" i="17"/>
  <c r="CMT77" i="17"/>
  <c r="CMS77" i="17"/>
  <c r="CMR77" i="17"/>
  <c r="CMQ77" i="17"/>
  <c r="CMP77" i="17"/>
  <c r="CMO77" i="17"/>
  <c r="CMN77" i="17"/>
  <c r="CMM77" i="17"/>
  <c r="CML77" i="17"/>
  <c r="CMK77" i="17"/>
  <c r="CMJ77" i="17"/>
  <c r="CMI77" i="17"/>
  <c r="CMH77" i="17"/>
  <c r="CMG77" i="17"/>
  <c r="CMF77" i="17"/>
  <c r="CME77" i="17"/>
  <c r="CMD77" i="17"/>
  <c r="CMC77" i="17"/>
  <c r="CMB77" i="17"/>
  <c r="CMA77" i="17"/>
  <c r="CLZ77" i="17"/>
  <c r="CLY77" i="17"/>
  <c r="CLX77" i="17"/>
  <c r="CLW77" i="17"/>
  <c r="CLV77" i="17"/>
  <c r="CLU77" i="17"/>
  <c r="CLT77" i="17"/>
  <c r="CLS77" i="17"/>
  <c r="CLR77" i="17"/>
  <c r="CLQ77" i="17"/>
  <c r="CLP77" i="17"/>
  <c r="CLO77" i="17"/>
  <c r="CLN77" i="17"/>
  <c r="CLM77" i="17"/>
  <c r="CLL77" i="17"/>
  <c r="CLK77" i="17"/>
  <c r="CLJ77" i="17"/>
  <c r="CLI77" i="17"/>
  <c r="CLH77" i="17"/>
  <c r="CLG77" i="17"/>
  <c r="CLF77" i="17"/>
  <c r="CLE77" i="17"/>
  <c r="CLD77" i="17"/>
  <c r="CLC77" i="17"/>
  <c r="CLB77" i="17"/>
  <c r="CLA77" i="17"/>
  <c r="CKZ77" i="17"/>
  <c r="CKY77" i="17"/>
  <c r="CKX77" i="17"/>
  <c r="CKW77" i="17"/>
  <c r="CKV77" i="17"/>
  <c r="CKU77" i="17"/>
  <c r="CKT77" i="17"/>
  <c r="CKS77" i="17"/>
  <c r="CKR77" i="17"/>
  <c r="CKQ77" i="17"/>
  <c r="CKP77" i="17"/>
  <c r="CKO77" i="17"/>
  <c r="CKN77" i="17"/>
  <c r="CKM77" i="17"/>
  <c r="CKL77" i="17"/>
  <c r="CKK77" i="17"/>
  <c r="CKJ77" i="17"/>
  <c r="CKI77" i="17"/>
  <c r="CKH77" i="17"/>
  <c r="CKG77" i="17"/>
  <c r="CKF77" i="17"/>
  <c r="CKE77" i="17"/>
  <c r="CKD77" i="17"/>
  <c r="CKC77" i="17"/>
  <c r="CKB77" i="17"/>
  <c r="CKA77" i="17"/>
  <c r="CJZ77" i="17"/>
  <c r="CJY77" i="17"/>
  <c r="CJX77" i="17"/>
  <c r="CJW77" i="17"/>
  <c r="CJV77" i="17"/>
  <c r="CJU77" i="17"/>
  <c r="CJT77" i="17"/>
  <c r="CJS77" i="17"/>
  <c r="CJR77" i="17"/>
  <c r="CJQ77" i="17"/>
  <c r="CJP77" i="17"/>
  <c r="CJO77" i="17"/>
  <c r="CJN77" i="17"/>
  <c r="CJM77" i="17"/>
  <c r="CJL77" i="17"/>
  <c r="CJK77" i="17"/>
  <c r="CJJ77" i="17"/>
  <c r="CJI77" i="17"/>
  <c r="CJH77" i="17"/>
  <c r="CJG77" i="17"/>
  <c r="CJF77" i="17"/>
  <c r="CJE77" i="17"/>
  <c r="CJD77" i="17"/>
  <c r="CJC77" i="17"/>
  <c r="CJB77" i="17"/>
  <c r="CJA77" i="17"/>
  <c r="CIZ77" i="17"/>
  <c r="CIY77" i="17"/>
  <c r="CIX77" i="17"/>
  <c r="CIW77" i="17"/>
  <c r="CIV77" i="17"/>
  <c r="CIU77" i="17"/>
  <c r="CIT77" i="17"/>
  <c r="CIS77" i="17"/>
  <c r="CIR77" i="17"/>
  <c r="CIQ77" i="17"/>
  <c r="CIP77" i="17"/>
  <c r="CIO77" i="17"/>
  <c r="CIN77" i="17"/>
  <c r="CIM77" i="17"/>
  <c r="CIL77" i="17"/>
  <c r="CIK77" i="17"/>
  <c r="CIJ77" i="17"/>
  <c r="CII77" i="17"/>
  <c r="CIH77" i="17"/>
  <c r="CIG77" i="17"/>
  <c r="CIF77" i="17"/>
  <c r="CIE77" i="17"/>
  <c r="CID77" i="17"/>
  <c r="CIC77" i="17"/>
  <c r="CIB77" i="17"/>
  <c r="CIA77" i="17"/>
  <c r="CHZ77" i="17"/>
  <c r="CHY77" i="17"/>
  <c r="CHX77" i="17"/>
  <c r="CHW77" i="17"/>
  <c r="CHV77" i="17"/>
  <c r="CHU77" i="17"/>
  <c r="CHT77" i="17"/>
  <c r="CHS77" i="17"/>
  <c r="CHR77" i="17"/>
  <c r="CHQ77" i="17"/>
  <c r="CHP77" i="17"/>
  <c r="CHO77" i="17"/>
  <c r="CHN77" i="17"/>
  <c r="CHM77" i="17"/>
  <c r="CHL77" i="17"/>
  <c r="CHK77" i="17"/>
  <c r="CHJ77" i="17"/>
  <c r="CHI77" i="17"/>
  <c r="CHH77" i="17"/>
  <c r="CHG77" i="17"/>
  <c r="CHF77" i="17"/>
  <c r="CHE77" i="17"/>
  <c r="CHD77" i="17"/>
  <c r="CHC77" i="17"/>
  <c r="CHB77" i="17"/>
  <c r="CHA77" i="17"/>
  <c r="CGZ77" i="17"/>
  <c r="CGY77" i="17"/>
  <c r="CGX77" i="17"/>
  <c r="CGW77" i="17"/>
  <c r="CGV77" i="17"/>
  <c r="CGU77" i="17"/>
  <c r="CGT77" i="17"/>
  <c r="CGS77" i="17"/>
  <c r="CGR77" i="17"/>
  <c r="CGQ77" i="17"/>
  <c r="CGP77" i="17"/>
  <c r="CGO77" i="17"/>
  <c r="CGN77" i="17"/>
  <c r="CGM77" i="17"/>
  <c r="CGL77" i="17"/>
  <c r="CGK77" i="17"/>
  <c r="CGJ77" i="17"/>
  <c r="CGI77" i="17"/>
  <c r="CGH77" i="17"/>
  <c r="CGG77" i="17"/>
  <c r="CGF77" i="17"/>
  <c r="CGE77" i="17"/>
  <c r="CGD77" i="17"/>
  <c r="CGC77" i="17"/>
  <c r="CGB77" i="17"/>
  <c r="CGA77" i="17"/>
  <c r="CFZ77" i="17"/>
  <c r="CFY77" i="17"/>
  <c r="CFX77" i="17"/>
  <c r="CFW77" i="17"/>
  <c r="CFV77" i="17"/>
  <c r="CFU77" i="17"/>
  <c r="CFT77" i="17"/>
  <c r="CFS77" i="17"/>
  <c r="CFR77" i="17"/>
  <c r="CFQ77" i="17"/>
  <c r="CFP77" i="17"/>
  <c r="CFO77" i="17"/>
  <c r="CFN77" i="17"/>
  <c r="CFM77" i="17"/>
  <c r="CFL77" i="17"/>
  <c r="CFK77" i="17"/>
  <c r="CFJ77" i="17"/>
  <c r="CFI77" i="17"/>
  <c r="CFH77" i="17"/>
  <c r="CFG77" i="17"/>
  <c r="CFF77" i="17"/>
  <c r="CFE77" i="17"/>
  <c r="CFD77" i="17"/>
  <c r="CFC77" i="17"/>
  <c r="CFB77" i="17"/>
  <c r="CFA77" i="17"/>
  <c r="CEZ77" i="17"/>
  <c r="CEY77" i="17"/>
  <c r="CEX77" i="17"/>
  <c r="CEW77" i="17"/>
  <c r="CEV77" i="17"/>
  <c r="CEU77" i="17"/>
  <c r="CET77" i="17"/>
  <c r="CES77" i="17"/>
  <c r="CER77" i="17"/>
  <c r="CEQ77" i="17"/>
  <c r="CEP77" i="17"/>
  <c r="CEO77" i="17"/>
  <c r="CEN77" i="17"/>
  <c r="CEM77" i="17"/>
  <c r="CEL77" i="17"/>
  <c r="CEK77" i="17"/>
  <c r="CEJ77" i="17"/>
  <c r="CEI77" i="17"/>
  <c r="CEH77" i="17"/>
  <c r="CEG77" i="17"/>
  <c r="CEF77" i="17"/>
  <c r="CEE77" i="17"/>
  <c r="CED77" i="17"/>
  <c r="CEC77" i="17"/>
  <c r="CEB77" i="17"/>
  <c r="CEA77" i="17"/>
  <c r="CDZ77" i="17"/>
  <c r="CDY77" i="17"/>
  <c r="CDX77" i="17"/>
  <c r="CDW77" i="17"/>
  <c r="CDV77" i="17"/>
  <c r="CDU77" i="17"/>
  <c r="CDT77" i="17"/>
  <c r="CDS77" i="17"/>
  <c r="CDR77" i="17"/>
  <c r="CDQ77" i="17"/>
  <c r="CDP77" i="17"/>
  <c r="CDO77" i="17"/>
  <c r="CDN77" i="17"/>
  <c r="CDM77" i="17"/>
  <c r="CDL77" i="17"/>
  <c r="CDK77" i="17"/>
  <c r="CDJ77" i="17"/>
  <c r="CDI77" i="17"/>
  <c r="CDH77" i="17"/>
  <c r="CDG77" i="17"/>
  <c r="CDF77" i="17"/>
  <c r="CDE77" i="17"/>
  <c r="CDD77" i="17"/>
  <c r="CDC77" i="17"/>
  <c r="CDB77" i="17"/>
  <c r="CDA77" i="17"/>
  <c r="CCZ77" i="17"/>
  <c r="CCY77" i="17"/>
  <c r="CCX77" i="17"/>
  <c r="CCW77" i="17"/>
  <c r="CCV77" i="17"/>
  <c r="CCU77" i="17"/>
  <c r="CCT77" i="17"/>
  <c r="CCS77" i="17"/>
  <c r="CCR77" i="17"/>
  <c r="CCQ77" i="17"/>
  <c r="CCP77" i="17"/>
  <c r="CCO77" i="17"/>
  <c r="CCN77" i="17"/>
  <c r="CCM77" i="17"/>
  <c r="CCL77" i="17"/>
  <c r="CCK77" i="17"/>
  <c r="CCJ77" i="17"/>
  <c r="CCI77" i="17"/>
  <c r="CCH77" i="17"/>
  <c r="CCG77" i="17"/>
  <c r="CCF77" i="17"/>
  <c r="CCE77" i="17"/>
  <c r="CCD77" i="17"/>
  <c r="CCC77" i="17"/>
  <c r="CCB77" i="17"/>
  <c r="CCA77" i="17"/>
  <c r="CBZ77" i="17"/>
  <c r="CBY77" i="17"/>
  <c r="CBX77" i="17"/>
  <c r="CBW77" i="17"/>
  <c r="CBV77" i="17"/>
  <c r="CBU77" i="17"/>
  <c r="CBT77" i="17"/>
  <c r="CBS77" i="17"/>
  <c r="CBR77" i="17"/>
  <c r="CBQ77" i="17"/>
  <c r="CBP77" i="17"/>
  <c r="CBO77" i="17"/>
  <c r="CBN77" i="17"/>
  <c r="CBM77" i="17"/>
  <c r="CBL77" i="17"/>
  <c r="CBK77" i="17"/>
  <c r="CBJ77" i="17"/>
  <c r="CBI77" i="17"/>
  <c r="CBH77" i="17"/>
  <c r="CBG77" i="17"/>
  <c r="CBF77" i="17"/>
  <c r="CBE77" i="17"/>
  <c r="CBD77" i="17"/>
  <c r="CBC77" i="17"/>
  <c r="CBB77" i="17"/>
  <c r="CBA77" i="17"/>
  <c r="CAZ77" i="17"/>
  <c r="CAY77" i="17"/>
  <c r="CAX77" i="17"/>
  <c r="CAW77" i="17"/>
  <c r="CAV77" i="17"/>
  <c r="CAU77" i="17"/>
  <c r="CAT77" i="17"/>
  <c r="CAS77" i="17"/>
  <c r="CAR77" i="17"/>
  <c r="CAQ77" i="17"/>
  <c r="CAP77" i="17"/>
  <c r="CAO77" i="17"/>
  <c r="CAN77" i="17"/>
  <c r="CAM77" i="17"/>
  <c r="CAL77" i="17"/>
  <c r="CAK77" i="17"/>
  <c r="CAJ77" i="17"/>
  <c r="CAI77" i="17"/>
  <c r="CAH77" i="17"/>
  <c r="CAG77" i="17"/>
  <c r="CAF77" i="17"/>
  <c r="CAE77" i="17"/>
  <c r="CAD77" i="17"/>
  <c r="CAC77" i="17"/>
  <c r="CAB77" i="17"/>
  <c r="CAA77" i="17"/>
  <c r="BZZ77" i="17"/>
  <c r="BZY77" i="17"/>
  <c r="BZX77" i="17"/>
  <c r="BZW77" i="17"/>
  <c r="BZV77" i="17"/>
  <c r="BZU77" i="17"/>
  <c r="BZT77" i="17"/>
  <c r="BZS77" i="17"/>
  <c r="BZR77" i="17"/>
  <c r="BZQ77" i="17"/>
  <c r="BZP77" i="17"/>
  <c r="BZO77" i="17"/>
  <c r="BZN77" i="17"/>
  <c r="BZM77" i="17"/>
  <c r="BZL77" i="17"/>
  <c r="BZK77" i="17"/>
  <c r="BZJ77" i="17"/>
  <c r="BZI77" i="17"/>
  <c r="BZH77" i="17"/>
  <c r="BZG77" i="17"/>
  <c r="BZF77" i="17"/>
  <c r="BZE77" i="17"/>
  <c r="BZD77" i="17"/>
  <c r="BZC77" i="17"/>
  <c r="BZB77" i="17"/>
  <c r="BZA77" i="17"/>
  <c r="BYZ77" i="17"/>
  <c r="BYY77" i="17"/>
  <c r="BYX77" i="17"/>
  <c r="BYW77" i="17"/>
  <c r="BYV77" i="17"/>
  <c r="BYU77" i="17"/>
  <c r="BYT77" i="17"/>
  <c r="BYS77" i="17"/>
  <c r="BYR77" i="17"/>
  <c r="BYQ77" i="17"/>
  <c r="BYP77" i="17"/>
  <c r="BYO77" i="17"/>
  <c r="BYN77" i="17"/>
  <c r="BYM77" i="17"/>
  <c r="BYL77" i="17"/>
  <c r="BYK77" i="17"/>
  <c r="BYJ77" i="17"/>
  <c r="BYI77" i="17"/>
  <c r="BYH77" i="17"/>
  <c r="BYG77" i="17"/>
  <c r="BYF77" i="17"/>
  <c r="BYE77" i="17"/>
  <c r="BYD77" i="17"/>
  <c r="BYC77" i="17"/>
  <c r="BYB77" i="17"/>
  <c r="BYA77" i="17"/>
  <c r="BXZ77" i="17"/>
  <c r="BXY77" i="17"/>
  <c r="BXX77" i="17"/>
  <c r="BXW77" i="17"/>
  <c r="BXV77" i="17"/>
  <c r="BXU77" i="17"/>
  <c r="BXT77" i="17"/>
  <c r="BXS77" i="17"/>
  <c r="BXR77" i="17"/>
  <c r="BXQ77" i="17"/>
  <c r="BXP77" i="17"/>
  <c r="BXO77" i="17"/>
  <c r="BXN77" i="17"/>
  <c r="BXM77" i="17"/>
  <c r="BXL77" i="17"/>
  <c r="BXK77" i="17"/>
  <c r="BXJ77" i="17"/>
  <c r="BXI77" i="17"/>
  <c r="BXH77" i="17"/>
  <c r="BXG77" i="17"/>
  <c r="BXF77" i="17"/>
  <c r="BXE77" i="17"/>
  <c r="BXD77" i="17"/>
  <c r="BXC77" i="17"/>
  <c r="BXB77" i="17"/>
  <c r="BXA77" i="17"/>
  <c r="BWZ77" i="17"/>
  <c r="BWY77" i="17"/>
  <c r="BWX77" i="17"/>
  <c r="BWW77" i="17"/>
  <c r="BWV77" i="17"/>
  <c r="BWU77" i="17"/>
  <c r="BWT77" i="17"/>
  <c r="BWS77" i="17"/>
  <c r="BWR77" i="17"/>
  <c r="BWQ77" i="17"/>
  <c r="BWP77" i="17"/>
  <c r="BWO77" i="17"/>
  <c r="BWN77" i="17"/>
  <c r="BWM77" i="17"/>
  <c r="BWL77" i="17"/>
  <c r="BWK77" i="17"/>
  <c r="BWJ77" i="17"/>
  <c r="BWI77" i="17"/>
  <c r="BWH77" i="17"/>
  <c r="BWG77" i="17"/>
  <c r="BWF77" i="17"/>
  <c r="BWE77" i="17"/>
  <c r="BWD77" i="17"/>
  <c r="BWC77" i="17"/>
  <c r="BWB77" i="17"/>
  <c r="BWA77" i="17"/>
  <c r="BVZ77" i="17"/>
  <c r="BVY77" i="17"/>
  <c r="BVX77" i="17"/>
  <c r="BVW77" i="17"/>
  <c r="BVV77" i="17"/>
  <c r="BVU77" i="17"/>
  <c r="BVT77" i="17"/>
  <c r="BVS77" i="17"/>
  <c r="BVR77" i="17"/>
  <c r="BVQ77" i="17"/>
  <c r="BVP77" i="17"/>
  <c r="BVO77" i="17"/>
  <c r="BVN77" i="17"/>
  <c r="BVM77" i="17"/>
  <c r="BVL77" i="17"/>
  <c r="BVK77" i="17"/>
  <c r="BVJ77" i="17"/>
  <c r="BVI77" i="17"/>
  <c r="BVH77" i="17"/>
  <c r="BVG77" i="17"/>
  <c r="BVF77" i="17"/>
  <c r="BVE77" i="17"/>
  <c r="BVD77" i="17"/>
  <c r="BVC77" i="17"/>
  <c r="BVB77" i="17"/>
  <c r="BVA77" i="17"/>
  <c r="BUZ77" i="17"/>
  <c r="BUY77" i="17"/>
  <c r="BUX77" i="17"/>
  <c r="BUW77" i="17"/>
  <c r="BUV77" i="17"/>
  <c r="BUU77" i="17"/>
  <c r="BUT77" i="17"/>
  <c r="BUS77" i="17"/>
  <c r="BUR77" i="17"/>
  <c r="BUQ77" i="17"/>
  <c r="BUP77" i="17"/>
  <c r="BUO77" i="17"/>
  <c r="BUN77" i="17"/>
  <c r="BUM77" i="17"/>
  <c r="BUL77" i="17"/>
  <c r="BUK77" i="17"/>
  <c r="BUJ77" i="17"/>
  <c r="BUI77" i="17"/>
  <c r="BUH77" i="17"/>
  <c r="BUG77" i="17"/>
  <c r="BUF77" i="17"/>
  <c r="BUE77" i="17"/>
  <c r="BUD77" i="17"/>
  <c r="BUC77" i="17"/>
  <c r="BUB77" i="17"/>
  <c r="BUA77" i="17"/>
  <c r="BTZ77" i="17"/>
  <c r="BTY77" i="17"/>
  <c r="BTX77" i="17"/>
  <c r="BTW77" i="17"/>
  <c r="BTV77" i="17"/>
  <c r="BTU77" i="17"/>
  <c r="BTT77" i="17"/>
  <c r="BTS77" i="17"/>
  <c r="BTR77" i="17"/>
  <c r="BTQ77" i="17"/>
  <c r="BTP77" i="17"/>
  <c r="BTO77" i="17"/>
  <c r="BTN77" i="17"/>
  <c r="BTM77" i="17"/>
  <c r="BTL77" i="17"/>
  <c r="BTK77" i="17"/>
  <c r="BTJ77" i="17"/>
  <c r="BTI77" i="17"/>
  <c r="BTH77" i="17"/>
  <c r="BTG77" i="17"/>
  <c r="BTF77" i="17"/>
  <c r="BTE77" i="17"/>
  <c r="BTD77" i="17"/>
  <c r="BTC77" i="17"/>
  <c r="BTB77" i="17"/>
  <c r="BTA77" i="17"/>
  <c r="BSZ77" i="17"/>
  <c r="BSY77" i="17"/>
  <c r="BSX77" i="17"/>
  <c r="BSW77" i="17"/>
  <c r="BSV77" i="17"/>
  <c r="BSU77" i="17"/>
  <c r="BST77" i="17"/>
  <c r="BSS77" i="17"/>
  <c r="BSR77" i="17"/>
  <c r="BSQ77" i="17"/>
  <c r="BSP77" i="17"/>
  <c r="BSO77" i="17"/>
  <c r="BSN77" i="17"/>
  <c r="BSM77" i="17"/>
  <c r="BSL77" i="17"/>
  <c r="BSK77" i="17"/>
  <c r="BSJ77" i="17"/>
  <c r="BSI77" i="17"/>
  <c r="BSH77" i="17"/>
  <c r="BSG77" i="17"/>
  <c r="BSF77" i="17"/>
  <c r="BSE77" i="17"/>
  <c r="BSD77" i="17"/>
  <c r="BSC77" i="17"/>
  <c r="BSB77" i="17"/>
  <c r="BSA77" i="17"/>
  <c r="BRZ77" i="17"/>
  <c r="BRY77" i="17"/>
  <c r="BRX77" i="17"/>
  <c r="BRW77" i="17"/>
  <c r="BRV77" i="17"/>
  <c r="BRU77" i="17"/>
  <c r="BRT77" i="17"/>
  <c r="BRS77" i="17"/>
  <c r="BRR77" i="17"/>
  <c r="BRQ77" i="17"/>
  <c r="BRP77" i="17"/>
  <c r="BRO77" i="17"/>
  <c r="BRN77" i="17"/>
  <c r="BRM77" i="17"/>
  <c r="BRL77" i="17"/>
  <c r="BRK77" i="17"/>
  <c r="BRJ77" i="17"/>
  <c r="BRI77" i="17"/>
  <c r="BRH77" i="17"/>
  <c r="BRG77" i="17"/>
  <c r="BRF77" i="17"/>
  <c r="BRE77" i="17"/>
  <c r="BRD77" i="17"/>
  <c r="BRC77" i="17"/>
  <c r="BRB77" i="17"/>
  <c r="BRA77" i="17"/>
  <c r="BQZ77" i="17"/>
  <c r="BQY77" i="17"/>
  <c r="BQX77" i="17"/>
  <c r="BQW77" i="17"/>
  <c r="BQV77" i="17"/>
  <c r="BQU77" i="17"/>
  <c r="BQT77" i="17"/>
  <c r="BQS77" i="17"/>
  <c r="BQR77" i="17"/>
  <c r="BQQ77" i="17"/>
  <c r="BQP77" i="17"/>
  <c r="BQO77" i="17"/>
  <c r="BQN77" i="17"/>
  <c r="BQM77" i="17"/>
  <c r="BQL77" i="17"/>
  <c r="BQK77" i="17"/>
  <c r="BQJ77" i="17"/>
  <c r="BQI77" i="17"/>
  <c r="BQH77" i="17"/>
  <c r="BQG77" i="17"/>
  <c r="BQF77" i="17"/>
  <c r="BQE77" i="17"/>
  <c r="BQD77" i="17"/>
  <c r="BQC77" i="17"/>
  <c r="BQB77" i="17"/>
  <c r="BQA77" i="17"/>
  <c r="BPZ77" i="17"/>
  <c r="BPY77" i="17"/>
  <c r="BPX77" i="17"/>
  <c r="BPW77" i="17"/>
  <c r="BPV77" i="17"/>
  <c r="BPU77" i="17"/>
  <c r="BPT77" i="17"/>
  <c r="BPS77" i="17"/>
  <c r="BPR77" i="17"/>
  <c r="BPQ77" i="17"/>
  <c r="BPP77" i="17"/>
  <c r="BPO77" i="17"/>
  <c r="BPN77" i="17"/>
  <c r="BPM77" i="17"/>
  <c r="BPL77" i="17"/>
  <c r="BPK77" i="17"/>
  <c r="BPJ77" i="17"/>
  <c r="BPI77" i="17"/>
  <c r="BPH77" i="17"/>
  <c r="BPG77" i="17"/>
  <c r="BPF77" i="17"/>
  <c r="BPE77" i="17"/>
  <c r="BPD77" i="17"/>
  <c r="BPC77" i="17"/>
  <c r="BPB77" i="17"/>
  <c r="BPA77" i="17"/>
  <c r="BOZ77" i="17"/>
  <c r="BOY77" i="17"/>
  <c r="BOX77" i="17"/>
  <c r="BOW77" i="17"/>
  <c r="BOV77" i="17"/>
  <c r="BOU77" i="17"/>
  <c r="BOT77" i="17"/>
  <c r="BOS77" i="17"/>
  <c r="BOR77" i="17"/>
  <c r="BOQ77" i="17"/>
  <c r="BOP77" i="17"/>
  <c r="BOO77" i="17"/>
  <c r="BON77" i="17"/>
  <c r="BOM77" i="17"/>
  <c r="BOL77" i="17"/>
  <c r="BOK77" i="17"/>
  <c r="BOJ77" i="17"/>
  <c r="BOI77" i="17"/>
  <c r="BOH77" i="17"/>
  <c r="BOG77" i="17"/>
  <c r="BOF77" i="17"/>
  <c r="BOE77" i="17"/>
  <c r="BOD77" i="17"/>
  <c r="BOC77" i="17"/>
  <c r="BOB77" i="17"/>
  <c r="BOA77" i="17"/>
  <c r="BNZ77" i="17"/>
  <c r="BNY77" i="17"/>
  <c r="BNX77" i="17"/>
  <c r="BNW77" i="17"/>
  <c r="BNV77" i="17"/>
  <c r="BNU77" i="17"/>
  <c r="BNT77" i="17"/>
  <c r="BNS77" i="17"/>
  <c r="BNR77" i="17"/>
  <c r="BNQ77" i="17"/>
  <c r="BNP77" i="17"/>
  <c r="BNO77" i="17"/>
  <c r="BNN77" i="17"/>
  <c r="BNM77" i="17"/>
  <c r="BNL77" i="17"/>
  <c r="BNK77" i="17"/>
  <c r="BNJ77" i="17"/>
  <c r="BNI77" i="17"/>
  <c r="BNH77" i="17"/>
  <c r="BNG77" i="17"/>
  <c r="BNF77" i="17"/>
  <c r="BNE77" i="17"/>
  <c r="BND77" i="17"/>
  <c r="BNC77" i="17"/>
  <c r="BNB77" i="17"/>
  <c r="BNA77" i="17"/>
  <c r="BMZ77" i="17"/>
  <c r="BMY77" i="17"/>
  <c r="BMX77" i="17"/>
  <c r="BMW77" i="17"/>
  <c r="BMV77" i="17"/>
  <c r="BMU77" i="17"/>
  <c r="BMT77" i="17"/>
  <c r="BMS77" i="17"/>
  <c r="BMR77" i="17"/>
  <c r="BMQ77" i="17"/>
  <c r="BMP77" i="17"/>
  <c r="BMO77" i="17"/>
  <c r="BMN77" i="17"/>
  <c r="BMM77" i="17"/>
  <c r="BML77" i="17"/>
  <c r="BMK77" i="17"/>
  <c r="BMJ77" i="17"/>
  <c r="BMI77" i="17"/>
  <c r="BMH77" i="17"/>
  <c r="BMG77" i="17"/>
  <c r="BMF77" i="17"/>
  <c r="BME77" i="17"/>
  <c r="BMD77" i="17"/>
  <c r="BMC77" i="17"/>
  <c r="BMB77" i="17"/>
  <c r="BMA77" i="17"/>
  <c r="BLZ77" i="17"/>
  <c r="BLY77" i="17"/>
  <c r="BLX77" i="17"/>
  <c r="BLW77" i="17"/>
  <c r="BLV77" i="17"/>
  <c r="BLU77" i="17"/>
  <c r="BLT77" i="17"/>
  <c r="BLS77" i="17"/>
  <c r="BLR77" i="17"/>
  <c r="BLQ77" i="17"/>
  <c r="BLP77" i="17"/>
  <c r="BLO77" i="17"/>
  <c r="BLN77" i="17"/>
  <c r="BLM77" i="17"/>
  <c r="BLL77" i="17"/>
  <c r="BLK77" i="17"/>
  <c r="BLJ77" i="17"/>
  <c r="BLI77" i="17"/>
  <c r="BLH77" i="17"/>
  <c r="BLG77" i="17"/>
  <c r="BLF77" i="17"/>
  <c r="BLE77" i="17"/>
  <c r="BLD77" i="17"/>
  <c r="BLC77" i="17"/>
  <c r="BLB77" i="17"/>
  <c r="BLA77" i="17"/>
  <c r="BKZ77" i="17"/>
  <c r="BKY77" i="17"/>
  <c r="BKX77" i="17"/>
  <c r="BKW77" i="17"/>
  <c r="BKV77" i="17"/>
  <c r="BKU77" i="17"/>
  <c r="BKT77" i="17"/>
  <c r="BKS77" i="17"/>
  <c r="BKR77" i="17"/>
  <c r="BKQ77" i="17"/>
  <c r="BKP77" i="17"/>
  <c r="BKO77" i="17"/>
  <c r="BKN77" i="17"/>
  <c r="BKM77" i="17"/>
  <c r="BKL77" i="17"/>
  <c r="BKK77" i="17"/>
  <c r="BKJ77" i="17"/>
  <c r="BKI77" i="17"/>
  <c r="BKH77" i="17"/>
  <c r="BKG77" i="17"/>
  <c r="BKF77" i="17"/>
  <c r="BKE77" i="17"/>
  <c r="BKD77" i="17"/>
  <c r="BKC77" i="17"/>
  <c r="BKB77" i="17"/>
  <c r="BKA77" i="17"/>
  <c r="BJZ77" i="17"/>
  <c r="BJY77" i="17"/>
  <c r="BJX77" i="17"/>
  <c r="BJW77" i="17"/>
  <c r="BJV77" i="17"/>
  <c r="BJU77" i="17"/>
  <c r="BJT77" i="17"/>
  <c r="BJS77" i="17"/>
  <c r="BJR77" i="17"/>
  <c r="BJQ77" i="17"/>
  <c r="BJP77" i="17"/>
  <c r="BJO77" i="17"/>
  <c r="BJN77" i="17"/>
  <c r="BJM77" i="17"/>
  <c r="BJL77" i="17"/>
  <c r="BJK77" i="17"/>
  <c r="BJJ77" i="17"/>
  <c r="BJI77" i="17"/>
  <c r="BJH77" i="17"/>
  <c r="BJG77" i="17"/>
  <c r="BJF77" i="17"/>
  <c r="BJE77" i="17"/>
  <c r="BJD77" i="17"/>
  <c r="BJC77" i="17"/>
  <c r="BJB77" i="17"/>
  <c r="BJA77" i="17"/>
  <c r="BIZ77" i="17"/>
  <c r="BIY77" i="17"/>
  <c r="BIX77" i="17"/>
  <c r="BIW77" i="17"/>
  <c r="BIV77" i="17"/>
  <c r="BIU77" i="17"/>
  <c r="BIT77" i="17"/>
  <c r="BIS77" i="17"/>
  <c r="BIR77" i="17"/>
  <c r="BIQ77" i="17"/>
  <c r="BIP77" i="17"/>
  <c r="BIO77" i="17"/>
  <c r="BIN77" i="17"/>
  <c r="BIM77" i="17"/>
  <c r="BIL77" i="17"/>
  <c r="BIK77" i="17"/>
  <c r="BIJ77" i="17"/>
  <c r="BII77" i="17"/>
  <c r="BIH77" i="17"/>
  <c r="BIG77" i="17"/>
  <c r="BIF77" i="17"/>
  <c r="BIE77" i="17"/>
  <c r="BID77" i="17"/>
  <c r="BIC77" i="17"/>
  <c r="BIB77" i="17"/>
  <c r="BIA77" i="17"/>
  <c r="BHZ77" i="17"/>
  <c r="BHY77" i="17"/>
  <c r="BHX77" i="17"/>
  <c r="BHW77" i="17"/>
  <c r="BHV77" i="17"/>
  <c r="BHU77" i="17"/>
  <c r="BHT77" i="17"/>
  <c r="BHS77" i="17"/>
  <c r="BHR77" i="17"/>
  <c r="BHQ77" i="17"/>
  <c r="BHP77" i="17"/>
  <c r="BHO77" i="17"/>
  <c r="BHN77" i="17"/>
  <c r="BHM77" i="17"/>
  <c r="BHL77" i="17"/>
  <c r="BHK77" i="17"/>
  <c r="BHJ77" i="17"/>
  <c r="BHI77" i="17"/>
  <c r="BHH77" i="17"/>
  <c r="BHG77" i="17"/>
  <c r="BHF77" i="17"/>
  <c r="BHE77" i="17"/>
  <c r="BHD77" i="17"/>
  <c r="BHC77" i="17"/>
  <c r="BHB77" i="17"/>
  <c r="BHA77" i="17"/>
  <c r="BGZ77" i="17"/>
  <c r="BGY77" i="17"/>
  <c r="BGX77" i="17"/>
  <c r="BGW77" i="17"/>
  <c r="BGV77" i="17"/>
  <c r="BGU77" i="17"/>
  <c r="BGT77" i="17"/>
  <c r="BGS77" i="17"/>
  <c r="BGR77" i="17"/>
  <c r="BGQ77" i="17"/>
  <c r="BGP77" i="17"/>
  <c r="BGO77" i="17"/>
  <c r="BGN77" i="17"/>
  <c r="BGM77" i="17"/>
  <c r="BGL77" i="17"/>
  <c r="BGK77" i="17"/>
  <c r="BGJ77" i="17"/>
  <c r="BGI77" i="17"/>
  <c r="BGH77" i="17"/>
  <c r="BGG77" i="17"/>
  <c r="BGF77" i="17"/>
  <c r="BGE77" i="17"/>
  <c r="BGD77" i="17"/>
  <c r="BGC77" i="17"/>
  <c r="BGB77" i="17"/>
  <c r="BGA77" i="17"/>
  <c r="BFZ77" i="17"/>
  <c r="BFY77" i="17"/>
  <c r="BFX77" i="17"/>
  <c r="BFW77" i="17"/>
  <c r="BFV77" i="17"/>
  <c r="BFU77" i="17"/>
  <c r="BFT77" i="17"/>
  <c r="BFS77" i="17"/>
  <c r="BFR77" i="17"/>
  <c r="BFQ77" i="17"/>
  <c r="BFP77" i="17"/>
  <c r="BFO77" i="17"/>
  <c r="BFN77" i="17"/>
  <c r="BFM77" i="17"/>
  <c r="BFL77" i="17"/>
  <c r="BFK77" i="17"/>
  <c r="BFJ77" i="17"/>
  <c r="BFI77" i="17"/>
  <c r="BFH77" i="17"/>
  <c r="BFG77" i="17"/>
  <c r="BFF77" i="17"/>
  <c r="BFE77" i="17"/>
  <c r="BFD77" i="17"/>
  <c r="BFC77" i="17"/>
  <c r="BFB77" i="17"/>
  <c r="BFA77" i="17"/>
  <c r="BEZ77" i="17"/>
  <c r="BEY77" i="17"/>
  <c r="BEX77" i="17"/>
  <c r="BEW77" i="17"/>
  <c r="BEV77" i="17"/>
  <c r="BEU77" i="17"/>
  <c r="BET77" i="17"/>
  <c r="BES77" i="17"/>
  <c r="BER77" i="17"/>
  <c r="BEQ77" i="17"/>
  <c r="BEP77" i="17"/>
  <c r="BEO77" i="17"/>
  <c r="BEN77" i="17"/>
  <c r="BEM77" i="17"/>
  <c r="BEL77" i="17"/>
  <c r="BEK77" i="17"/>
  <c r="BEJ77" i="17"/>
  <c r="BEI77" i="17"/>
  <c r="BEH77" i="17"/>
  <c r="BEG77" i="17"/>
  <c r="BEF77" i="17"/>
  <c r="BEE77" i="17"/>
  <c r="BED77" i="17"/>
  <c r="BEC77" i="17"/>
  <c r="BEB77" i="17"/>
  <c r="BEA77" i="17"/>
  <c r="BDZ77" i="17"/>
  <c r="BDY77" i="17"/>
  <c r="BDX77" i="17"/>
  <c r="BDW77" i="17"/>
  <c r="BDV77" i="17"/>
  <c r="BDU77" i="17"/>
  <c r="BDT77" i="17"/>
  <c r="BDS77" i="17"/>
  <c r="BDR77" i="17"/>
  <c r="BDQ77" i="17"/>
  <c r="BDP77" i="17"/>
  <c r="BDO77" i="17"/>
  <c r="BDN77" i="17"/>
  <c r="BDM77" i="17"/>
  <c r="BDL77" i="17"/>
  <c r="BDK77" i="17"/>
  <c r="BDJ77" i="17"/>
  <c r="BDI77" i="17"/>
  <c r="BDH77" i="17"/>
  <c r="BDG77" i="17"/>
  <c r="BDF77" i="17"/>
  <c r="BDE77" i="17"/>
  <c r="BDD77" i="17"/>
  <c r="BDC77" i="17"/>
  <c r="BDB77" i="17"/>
  <c r="BDA77" i="17"/>
  <c r="BCZ77" i="17"/>
  <c r="BCY77" i="17"/>
  <c r="BCX77" i="17"/>
  <c r="BCW77" i="17"/>
  <c r="BCV77" i="17"/>
  <c r="BCU77" i="17"/>
  <c r="BCT77" i="17"/>
  <c r="BCS77" i="17"/>
  <c r="BCR77" i="17"/>
  <c r="BCQ77" i="17"/>
  <c r="BCP77" i="17"/>
  <c r="BCO77" i="17"/>
  <c r="BCN77" i="17"/>
  <c r="BCM77" i="17"/>
  <c r="BCL77" i="17"/>
  <c r="BCK77" i="17"/>
  <c r="BCJ77" i="17"/>
  <c r="BCI77" i="17"/>
  <c r="BCH77" i="17"/>
  <c r="BCG77" i="17"/>
  <c r="BCF77" i="17"/>
  <c r="BCE77" i="17"/>
  <c r="BCD77" i="17"/>
  <c r="BCC77" i="17"/>
  <c r="BCB77" i="17"/>
  <c r="BCA77" i="17"/>
  <c r="BBZ77" i="17"/>
  <c r="BBY77" i="17"/>
  <c r="BBX77" i="17"/>
  <c r="BBW77" i="17"/>
  <c r="BBV77" i="17"/>
  <c r="BBU77" i="17"/>
  <c r="BBT77" i="17"/>
  <c r="BBS77" i="17"/>
  <c r="BBR77" i="17"/>
  <c r="BBQ77" i="17"/>
  <c r="BBP77" i="17"/>
  <c r="BBO77" i="17"/>
  <c r="BBN77" i="17"/>
  <c r="BBM77" i="17"/>
  <c r="BBL77" i="17"/>
  <c r="BBK77" i="17"/>
  <c r="BBJ77" i="17"/>
  <c r="BBI77" i="17"/>
  <c r="BBH77" i="17"/>
  <c r="BBG77" i="17"/>
  <c r="BBF77" i="17"/>
  <c r="BBE77" i="17"/>
  <c r="BBD77" i="17"/>
  <c r="BBC77" i="17"/>
  <c r="BBB77" i="17"/>
  <c r="BBA77" i="17"/>
  <c r="BAZ77" i="17"/>
  <c r="BAY77" i="17"/>
  <c r="BAX77" i="17"/>
  <c r="BAW77" i="17"/>
  <c r="BAV77" i="17"/>
  <c r="BAU77" i="17"/>
  <c r="BAT77" i="17"/>
  <c r="BAS77" i="17"/>
  <c r="BAR77" i="17"/>
  <c r="BAQ77" i="17"/>
  <c r="BAP77" i="17"/>
  <c r="BAO77" i="17"/>
  <c r="BAN77" i="17"/>
  <c r="BAM77" i="17"/>
  <c r="BAL77" i="17"/>
  <c r="BAK77" i="17"/>
  <c r="BAJ77" i="17"/>
  <c r="BAI77" i="17"/>
  <c r="BAH77" i="17"/>
  <c r="BAG77" i="17"/>
  <c r="BAF77" i="17"/>
  <c r="BAE77" i="17"/>
  <c r="BAD77" i="17"/>
  <c r="BAC77" i="17"/>
  <c r="BAB77" i="17"/>
  <c r="BAA77" i="17"/>
  <c r="AZZ77" i="17"/>
  <c r="AZY77" i="17"/>
  <c r="AZX77" i="17"/>
  <c r="AZW77" i="17"/>
  <c r="AZV77" i="17"/>
  <c r="AZU77" i="17"/>
  <c r="AZT77" i="17"/>
  <c r="AZS77" i="17"/>
  <c r="AZR77" i="17"/>
  <c r="AZQ77" i="17"/>
  <c r="AZP77" i="17"/>
  <c r="AZO77" i="17"/>
  <c r="AZN77" i="17"/>
  <c r="AZM77" i="17"/>
  <c r="AZL77" i="17"/>
  <c r="AZK77" i="17"/>
  <c r="AZJ77" i="17"/>
  <c r="AZI77" i="17"/>
  <c r="AZH77" i="17"/>
  <c r="AZG77" i="17"/>
  <c r="AZF77" i="17"/>
  <c r="AZE77" i="17"/>
  <c r="AZD77" i="17"/>
  <c r="AZC77" i="17"/>
  <c r="AZB77" i="17"/>
  <c r="AZA77" i="17"/>
  <c r="AYZ77" i="17"/>
  <c r="AYY77" i="17"/>
  <c r="AYX77" i="17"/>
  <c r="AYW77" i="17"/>
  <c r="AYV77" i="17"/>
  <c r="AYU77" i="17"/>
  <c r="AYT77" i="17"/>
  <c r="AYS77" i="17"/>
  <c r="AYR77" i="17"/>
  <c r="AYQ77" i="17"/>
  <c r="AYP77" i="17"/>
  <c r="AYO77" i="17"/>
  <c r="AYN77" i="17"/>
  <c r="AYM77" i="17"/>
  <c r="AYL77" i="17"/>
  <c r="AYK77" i="17"/>
  <c r="AYJ77" i="17"/>
  <c r="AYI77" i="17"/>
  <c r="AYH77" i="17"/>
  <c r="AYG77" i="17"/>
  <c r="AYF77" i="17"/>
  <c r="AYE77" i="17"/>
  <c r="AYD77" i="17"/>
  <c r="AYC77" i="17"/>
  <c r="AYB77" i="17"/>
  <c r="AYA77" i="17"/>
  <c r="AXZ77" i="17"/>
  <c r="AXY77" i="17"/>
  <c r="AXX77" i="17"/>
  <c r="AXW77" i="17"/>
  <c r="AXV77" i="17"/>
  <c r="AXU77" i="17"/>
  <c r="AXT77" i="17"/>
  <c r="AXS77" i="17"/>
  <c r="AXR77" i="17"/>
  <c r="AXQ77" i="17"/>
  <c r="AXP77" i="17"/>
  <c r="AXO77" i="17"/>
  <c r="AXN77" i="17"/>
  <c r="AXM77" i="17"/>
  <c r="AXL77" i="17"/>
  <c r="AXK77" i="17"/>
  <c r="AXJ77" i="17"/>
  <c r="AXI77" i="17"/>
  <c r="AXH77" i="17"/>
  <c r="AXG77" i="17"/>
  <c r="AXF77" i="17"/>
  <c r="AXE77" i="17"/>
  <c r="AXD77" i="17"/>
  <c r="AXC77" i="17"/>
  <c r="AXB77" i="17"/>
  <c r="AXA77" i="17"/>
  <c r="AWZ77" i="17"/>
  <c r="AWY77" i="17"/>
  <c r="AWX77" i="17"/>
  <c r="AWW77" i="17"/>
  <c r="AWV77" i="17"/>
  <c r="AWU77" i="17"/>
  <c r="AWT77" i="17"/>
  <c r="AWS77" i="17"/>
  <c r="AWR77" i="17"/>
  <c r="AWQ77" i="17"/>
  <c r="AWP77" i="17"/>
  <c r="AWO77" i="17"/>
  <c r="AWN77" i="17"/>
  <c r="AWM77" i="17"/>
  <c r="AWL77" i="17"/>
  <c r="AWK77" i="17"/>
  <c r="AWJ77" i="17"/>
  <c r="AWI77" i="17"/>
  <c r="AWH77" i="17"/>
  <c r="AWG77" i="17"/>
  <c r="AWF77" i="17"/>
  <c r="AWE77" i="17"/>
  <c r="AWD77" i="17"/>
  <c r="AWC77" i="17"/>
  <c r="AWB77" i="17"/>
  <c r="AWA77" i="17"/>
  <c r="AVZ77" i="17"/>
  <c r="AVY77" i="17"/>
  <c r="AVX77" i="17"/>
  <c r="AVW77" i="17"/>
  <c r="AVV77" i="17"/>
  <c r="AVU77" i="17"/>
  <c r="AVT77" i="17"/>
  <c r="AVS77" i="17"/>
  <c r="AVR77" i="17"/>
  <c r="AVQ77" i="17"/>
  <c r="AVP77" i="17"/>
  <c r="AVO77" i="17"/>
  <c r="AVN77" i="17"/>
  <c r="AVM77" i="17"/>
  <c r="AVL77" i="17"/>
  <c r="AVK77" i="17"/>
  <c r="AVJ77" i="17"/>
  <c r="AVI77" i="17"/>
  <c r="AVH77" i="17"/>
  <c r="AVG77" i="17"/>
  <c r="AVF77" i="17"/>
  <c r="AVE77" i="17"/>
  <c r="AVD77" i="17"/>
  <c r="AVC77" i="17"/>
  <c r="AVB77" i="17"/>
  <c r="AVA77" i="17"/>
  <c r="AUZ77" i="17"/>
  <c r="AUY77" i="17"/>
  <c r="AUX77" i="17"/>
  <c r="AUW77" i="17"/>
  <c r="AUV77" i="17"/>
  <c r="AUU77" i="17"/>
  <c r="AUT77" i="17"/>
  <c r="AUS77" i="17"/>
  <c r="AUR77" i="17"/>
  <c r="AUQ77" i="17"/>
  <c r="AUP77" i="17"/>
  <c r="AUO77" i="17"/>
  <c r="AUN77" i="17"/>
  <c r="AUM77" i="17"/>
  <c r="AUL77" i="17"/>
  <c r="AUK77" i="17"/>
  <c r="AUJ77" i="17"/>
  <c r="AUI77" i="17"/>
  <c r="AUH77" i="17"/>
  <c r="AUG77" i="17"/>
  <c r="AUF77" i="17"/>
  <c r="AUE77" i="17"/>
  <c r="AUD77" i="17"/>
  <c r="AUC77" i="17"/>
  <c r="AUB77" i="17"/>
  <c r="AUA77" i="17"/>
  <c r="ATZ77" i="17"/>
  <c r="ATY77" i="17"/>
  <c r="ATX77" i="17"/>
  <c r="ATW77" i="17"/>
  <c r="ATV77" i="17"/>
  <c r="ATU77" i="17"/>
  <c r="ATT77" i="17"/>
  <c r="ATS77" i="17"/>
  <c r="ATR77" i="17"/>
  <c r="ATQ77" i="17"/>
  <c r="ATP77" i="17"/>
  <c r="ATO77" i="17"/>
  <c r="ATN77" i="17"/>
  <c r="ATM77" i="17"/>
  <c r="ATL77" i="17"/>
  <c r="ATK77" i="17"/>
  <c r="ATJ77" i="17"/>
  <c r="ATI77" i="17"/>
  <c r="ATH77" i="17"/>
  <c r="ATG77" i="17"/>
  <c r="ATF77" i="17"/>
  <c r="ATE77" i="17"/>
  <c r="ATD77" i="17"/>
  <c r="ATC77" i="17"/>
  <c r="ATB77" i="17"/>
  <c r="ATA77" i="17"/>
  <c r="ASZ77" i="17"/>
  <c r="ASY77" i="17"/>
  <c r="ASX77" i="17"/>
  <c r="ASW77" i="17"/>
  <c r="ASV77" i="17"/>
  <c r="ASU77" i="17"/>
  <c r="AST77" i="17"/>
  <c r="ASS77" i="17"/>
  <c r="ASR77" i="17"/>
  <c r="ASQ77" i="17"/>
  <c r="ASP77" i="17"/>
  <c r="ASO77" i="17"/>
  <c r="ASN77" i="17"/>
  <c r="ASM77" i="17"/>
  <c r="ASL77" i="17"/>
  <c r="ASK77" i="17"/>
  <c r="ASJ77" i="17"/>
  <c r="ASI77" i="17"/>
  <c r="ASH77" i="17"/>
  <c r="ASG77" i="17"/>
  <c r="ASF77" i="17"/>
  <c r="ASE77" i="17"/>
  <c r="ASD77" i="17"/>
  <c r="ASC77" i="17"/>
  <c r="ASB77" i="17"/>
  <c r="ASA77" i="17"/>
  <c r="ARZ77" i="17"/>
  <c r="ARY77" i="17"/>
  <c r="ARX77" i="17"/>
  <c r="ARW77" i="17"/>
  <c r="ARV77" i="17"/>
  <c r="ARU77" i="17"/>
  <c r="ART77" i="17"/>
  <c r="ARS77" i="17"/>
  <c r="ARR77" i="17"/>
  <c r="ARQ77" i="17"/>
  <c r="ARP77" i="17"/>
  <c r="ARO77" i="17"/>
  <c r="ARN77" i="17"/>
  <c r="ARM77" i="17"/>
  <c r="ARL77" i="17"/>
  <c r="ARK77" i="17"/>
  <c r="ARJ77" i="17"/>
  <c r="ARI77" i="17"/>
  <c r="ARH77" i="17"/>
  <c r="ARG77" i="17"/>
  <c r="ARF77" i="17"/>
  <c r="ARE77" i="17"/>
  <c r="ARD77" i="17"/>
  <c r="ARC77" i="17"/>
  <c r="ARB77" i="17"/>
  <c r="ARA77" i="17"/>
  <c r="AQZ77" i="17"/>
  <c r="AQY77" i="17"/>
  <c r="AQX77" i="17"/>
  <c r="AQW77" i="17"/>
  <c r="AQV77" i="17"/>
  <c r="AQU77" i="17"/>
  <c r="AQT77" i="17"/>
  <c r="AQS77" i="17"/>
  <c r="AQR77" i="17"/>
  <c r="AQQ77" i="17"/>
  <c r="AQP77" i="17"/>
  <c r="AQO77" i="17"/>
  <c r="AQN77" i="17"/>
  <c r="AQM77" i="17"/>
  <c r="AQL77" i="17"/>
  <c r="AQK77" i="17"/>
  <c r="AQJ77" i="17"/>
  <c r="AQI77" i="17"/>
  <c r="AQH77" i="17"/>
  <c r="AQG77" i="17"/>
  <c r="AQF77" i="17"/>
  <c r="AQE77" i="17"/>
  <c r="AQD77" i="17"/>
  <c r="AQC77" i="17"/>
  <c r="AQB77" i="17"/>
  <c r="AQA77" i="17"/>
  <c r="APZ77" i="17"/>
  <c r="APY77" i="17"/>
  <c r="APX77" i="17"/>
  <c r="APW77" i="17"/>
  <c r="APV77" i="17"/>
  <c r="APU77" i="17"/>
  <c r="APT77" i="17"/>
  <c r="APS77" i="17"/>
  <c r="APR77" i="17"/>
  <c r="APQ77" i="17"/>
  <c r="APP77" i="17"/>
  <c r="APO77" i="17"/>
  <c r="APN77" i="17"/>
  <c r="APM77" i="17"/>
  <c r="APL77" i="17"/>
  <c r="APK77" i="17"/>
  <c r="APJ77" i="17"/>
  <c r="API77" i="17"/>
  <c r="APH77" i="17"/>
  <c r="APG77" i="17"/>
  <c r="APF77" i="17"/>
  <c r="APE77" i="17"/>
  <c r="APD77" i="17"/>
  <c r="APC77" i="17"/>
  <c r="APB77" i="17"/>
  <c r="APA77" i="17"/>
  <c r="AOZ77" i="17"/>
  <c r="AOY77" i="17"/>
  <c r="AOX77" i="17"/>
  <c r="AOW77" i="17"/>
  <c r="AOV77" i="17"/>
  <c r="AOU77" i="17"/>
  <c r="AOT77" i="17"/>
  <c r="AOS77" i="17"/>
  <c r="AOR77" i="17"/>
  <c r="AOQ77" i="17"/>
  <c r="AOP77" i="17"/>
  <c r="AOO77" i="17"/>
  <c r="AON77" i="17"/>
  <c r="AOM77" i="17"/>
  <c r="AOL77" i="17"/>
  <c r="AOK77" i="17"/>
  <c r="AOJ77" i="17"/>
  <c r="AOI77" i="17"/>
  <c r="AOH77" i="17"/>
  <c r="AOG77" i="17"/>
  <c r="AOF77" i="17"/>
  <c r="AOE77" i="17"/>
  <c r="AOD77" i="17"/>
  <c r="AOC77" i="17"/>
  <c r="AOB77" i="17"/>
  <c r="AOA77" i="17"/>
  <c r="ANZ77" i="17"/>
  <c r="ANY77" i="17"/>
  <c r="ANX77" i="17"/>
  <c r="ANW77" i="17"/>
  <c r="ANV77" i="17"/>
  <c r="ANU77" i="17"/>
  <c r="ANT77" i="17"/>
  <c r="ANS77" i="17"/>
  <c r="ANR77" i="17"/>
  <c r="ANQ77" i="17"/>
  <c r="ANP77" i="17"/>
  <c r="ANO77" i="17"/>
  <c r="ANN77" i="17"/>
  <c r="ANM77" i="17"/>
  <c r="ANL77" i="17"/>
  <c r="ANK77" i="17"/>
  <c r="ANJ77" i="17"/>
  <c r="ANI77" i="17"/>
  <c r="ANH77" i="17"/>
  <c r="ANG77" i="17"/>
  <c r="ANF77" i="17"/>
  <c r="ANE77" i="17"/>
  <c r="AND77" i="17"/>
  <c r="ANC77" i="17"/>
  <c r="ANB77" i="17"/>
  <c r="ANA77" i="17"/>
  <c r="AMZ77" i="17"/>
  <c r="AMY77" i="17"/>
  <c r="AMX77" i="17"/>
  <c r="AMW77" i="17"/>
  <c r="AMV77" i="17"/>
  <c r="AMU77" i="17"/>
  <c r="AMT77" i="17"/>
  <c r="AMS77" i="17"/>
  <c r="AMR77" i="17"/>
  <c r="AMQ77" i="17"/>
  <c r="AMP77" i="17"/>
  <c r="AMO77" i="17"/>
  <c r="AMN77" i="17"/>
  <c r="AMM77" i="17"/>
  <c r="AML77" i="17"/>
  <c r="AMK77" i="17"/>
  <c r="AMJ77" i="17"/>
  <c r="AMI77" i="17"/>
  <c r="AMH77" i="17"/>
  <c r="AMG77" i="17"/>
  <c r="AMF77" i="17"/>
  <c r="AME77" i="17"/>
  <c r="AMD77" i="17"/>
  <c r="AMC77" i="17"/>
  <c r="AMB77" i="17"/>
  <c r="AMA77" i="17"/>
  <c r="ALZ77" i="17"/>
  <c r="ALY77" i="17"/>
  <c r="ALX77" i="17"/>
  <c r="ALW77" i="17"/>
  <c r="ALV77" i="17"/>
  <c r="ALU77" i="17"/>
  <c r="ALT77" i="17"/>
  <c r="ALS77" i="17"/>
  <c r="ALR77" i="17"/>
  <c r="ALQ77" i="17"/>
  <c r="ALP77" i="17"/>
  <c r="ALO77" i="17"/>
  <c r="ALN77" i="17"/>
  <c r="ALM77" i="17"/>
  <c r="ALL77" i="17"/>
  <c r="ALK77" i="17"/>
  <c r="ALJ77" i="17"/>
  <c r="ALI77" i="17"/>
  <c r="ALH77" i="17"/>
  <c r="ALG77" i="17"/>
  <c r="ALF77" i="17"/>
  <c r="ALE77" i="17"/>
  <c r="ALD77" i="17"/>
  <c r="ALC77" i="17"/>
  <c r="ALB77" i="17"/>
  <c r="ALA77" i="17"/>
  <c r="AKZ77" i="17"/>
  <c r="AKY77" i="17"/>
  <c r="AKX77" i="17"/>
  <c r="AKW77" i="17"/>
  <c r="AKV77" i="17"/>
  <c r="AKU77" i="17"/>
  <c r="AKT77" i="17"/>
  <c r="AKS77" i="17"/>
  <c r="AKR77" i="17"/>
  <c r="AKQ77" i="17"/>
  <c r="AKP77" i="17"/>
  <c r="AKO77" i="17"/>
  <c r="AKN77" i="17"/>
  <c r="AKM77" i="17"/>
  <c r="AKL77" i="17"/>
  <c r="AKK77" i="17"/>
  <c r="AKJ77" i="17"/>
  <c r="AKI77" i="17"/>
  <c r="AKH77" i="17"/>
  <c r="AKG77" i="17"/>
  <c r="AKF77" i="17"/>
  <c r="AKE77" i="17"/>
  <c r="AKD77" i="17"/>
  <c r="AKC77" i="17"/>
  <c r="AKB77" i="17"/>
  <c r="AKA77" i="17"/>
  <c r="AJZ77" i="17"/>
  <c r="AJY77" i="17"/>
  <c r="AJX77" i="17"/>
  <c r="AJW77" i="17"/>
  <c r="AJV77" i="17"/>
  <c r="AJU77" i="17"/>
  <c r="AJT77" i="17"/>
  <c r="AJS77" i="17"/>
  <c r="AJR77" i="17"/>
  <c r="AJQ77" i="17"/>
  <c r="AJP77" i="17"/>
  <c r="AJO77" i="17"/>
  <c r="AJN77" i="17"/>
  <c r="AJM77" i="17"/>
  <c r="AJL77" i="17"/>
  <c r="AJK77" i="17"/>
  <c r="AJJ77" i="17"/>
  <c r="AJI77" i="17"/>
  <c r="AJH77" i="17"/>
  <c r="AJG77" i="17"/>
  <c r="AJF77" i="17"/>
  <c r="AJE77" i="17"/>
  <c r="AJD77" i="17"/>
  <c r="AJC77" i="17"/>
  <c r="AJB77" i="17"/>
  <c r="AJA77" i="17"/>
  <c r="AIZ77" i="17"/>
  <c r="AIY77" i="17"/>
  <c r="AIX77" i="17"/>
  <c r="AIW77" i="17"/>
  <c r="AIV77" i="17"/>
  <c r="AIU77" i="17"/>
  <c r="AIT77" i="17"/>
  <c r="AIS77" i="17"/>
  <c r="AIR77" i="17"/>
  <c r="AIQ77" i="17"/>
  <c r="AIP77" i="17"/>
  <c r="AIO77" i="17"/>
  <c r="AIN77" i="17"/>
  <c r="AIM77" i="17"/>
  <c r="AIL77" i="17"/>
  <c r="AIK77" i="17"/>
  <c r="AIJ77" i="17"/>
  <c r="AII77" i="17"/>
  <c r="AIH77" i="17"/>
  <c r="AIG77" i="17"/>
  <c r="AIF77" i="17"/>
  <c r="AIE77" i="17"/>
  <c r="AID77" i="17"/>
  <c r="AIC77" i="17"/>
  <c r="AIB77" i="17"/>
  <c r="AIA77" i="17"/>
  <c r="AHZ77" i="17"/>
  <c r="AHY77" i="17"/>
  <c r="AHX77" i="17"/>
  <c r="AHW77" i="17"/>
  <c r="AHV77" i="17"/>
  <c r="AHU77" i="17"/>
  <c r="AHT77" i="17"/>
  <c r="AHS77" i="17"/>
  <c r="AHR77" i="17"/>
  <c r="AHQ77" i="17"/>
  <c r="AHP77" i="17"/>
  <c r="AHO77" i="17"/>
  <c r="AHN77" i="17"/>
  <c r="AHM77" i="17"/>
  <c r="AHL77" i="17"/>
  <c r="AHK77" i="17"/>
  <c r="AHJ77" i="17"/>
  <c r="AHI77" i="17"/>
  <c r="AHH77" i="17"/>
  <c r="AHG77" i="17"/>
  <c r="AHF77" i="17"/>
  <c r="AHE77" i="17"/>
  <c r="AHD77" i="17"/>
  <c r="AHC77" i="17"/>
  <c r="AHB77" i="17"/>
  <c r="AHA77" i="17"/>
  <c r="AGZ77" i="17"/>
  <c r="AGY77" i="17"/>
  <c r="AGX77" i="17"/>
  <c r="AGW77" i="17"/>
  <c r="AGV77" i="17"/>
  <c r="AGU77" i="17"/>
  <c r="AGT77" i="17"/>
  <c r="AGS77" i="17"/>
  <c r="AGR77" i="17"/>
  <c r="AGQ77" i="17"/>
  <c r="AGP77" i="17"/>
  <c r="AGO77" i="17"/>
  <c r="AGN77" i="17"/>
  <c r="AGM77" i="17"/>
  <c r="AGL77" i="17"/>
  <c r="AGK77" i="17"/>
  <c r="AGJ77" i="17"/>
  <c r="AGI77" i="17"/>
  <c r="AGH77" i="17"/>
  <c r="AGG77" i="17"/>
  <c r="AGF77" i="17"/>
  <c r="AGE77" i="17"/>
  <c r="AGD77" i="17"/>
  <c r="AGC77" i="17"/>
  <c r="AGB77" i="17"/>
  <c r="AGA77" i="17"/>
  <c r="AFZ77" i="17"/>
  <c r="AFY77" i="17"/>
  <c r="AFX77" i="17"/>
  <c r="AFW77" i="17"/>
  <c r="AFV77" i="17"/>
  <c r="AFU77" i="17"/>
  <c r="AFT77" i="17"/>
  <c r="AFS77" i="17"/>
  <c r="AFR77" i="17"/>
  <c r="AFQ77" i="17"/>
  <c r="AFP77" i="17"/>
  <c r="AFO77" i="17"/>
  <c r="AFN77" i="17"/>
  <c r="AFM77" i="17"/>
  <c r="AFL77" i="17"/>
  <c r="AFK77" i="17"/>
  <c r="AFJ77" i="17"/>
  <c r="AFI77" i="17"/>
  <c r="AFH77" i="17"/>
  <c r="AFG77" i="17"/>
  <c r="AFF77" i="17"/>
  <c r="AFE77" i="17"/>
  <c r="AFD77" i="17"/>
  <c r="AFC77" i="17"/>
  <c r="AFB77" i="17"/>
  <c r="AFA77" i="17"/>
  <c r="AEZ77" i="17"/>
  <c r="AEY77" i="17"/>
  <c r="AEX77" i="17"/>
  <c r="AEW77" i="17"/>
  <c r="AEV77" i="17"/>
  <c r="AEU77" i="17"/>
  <c r="AET77" i="17"/>
  <c r="AES77" i="17"/>
  <c r="AER77" i="17"/>
  <c r="AEQ77" i="17"/>
  <c r="AEP77" i="17"/>
  <c r="AEO77" i="17"/>
  <c r="AEN77" i="17"/>
  <c r="AEM77" i="17"/>
  <c r="AEL77" i="17"/>
  <c r="AEK77" i="17"/>
  <c r="AEJ77" i="17"/>
  <c r="AEI77" i="17"/>
  <c r="AEH77" i="17"/>
  <c r="AEG77" i="17"/>
  <c r="AEF77" i="17"/>
  <c r="AEE77" i="17"/>
  <c r="AED77" i="17"/>
  <c r="AEC77" i="17"/>
  <c r="AEB77" i="17"/>
  <c r="AEA77" i="17"/>
  <c r="ADZ77" i="17"/>
  <c r="ADY77" i="17"/>
  <c r="ADX77" i="17"/>
  <c r="ADW77" i="17"/>
  <c r="ADV77" i="17"/>
  <c r="ADU77" i="17"/>
  <c r="ADT77" i="17"/>
  <c r="ADS77" i="17"/>
  <c r="ADR77" i="17"/>
  <c r="ADQ77" i="17"/>
  <c r="ADP77" i="17"/>
  <c r="ADO77" i="17"/>
  <c r="ADN77" i="17"/>
  <c r="ADM77" i="17"/>
  <c r="ADL77" i="17"/>
  <c r="ADK77" i="17"/>
  <c r="ADJ77" i="17"/>
  <c r="ADI77" i="17"/>
  <c r="ADH77" i="17"/>
  <c r="ADG77" i="17"/>
  <c r="ADF77" i="17"/>
  <c r="ADE77" i="17"/>
  <c r="ADD77" i="17"/>
  <c r="ADC77" i="17"/>
  <c r="ADB77" i="17"/>
  <c r="ADA77" i="17"/>
  <c r="ACZ77" i="17"/>
  <c r="ACY77" i="17"/>
  <c r="ACX77" i="17"/>
  <c r="ACW77" i="17"/>
  <c r="ACV77" i="17"/>
  <c r="ACU77" i="17"/>
  <c r="ACT77" i="17"/>
  <c r="ACS77" i="17"/>
  <c r="ACR77" i="17"/>
  <c r="ACQ77" i="17"/>
  <c r="ACP77" i="17"/>
  <c r="ACO77" i="17"/>
  <c r="ACN77" i="17"/>
  <c r="ACM77" i="17"/>
  <c r="ACL77" i="17"/>
  <c r="ACK77" i="17"/>
  <c r="ACJ77" i="17"/>
  <c r="ACI77" i="17"/>
  <c r="ACH77" i="17"/>
  <c r="ACG77" i="17"/>
  <c r="ACF77" i="17"/>
  <c r="ACE77" i="17"/>
  <c r="ACD77" i="17"/>
  <c r="ACC77" i="17"/>
  <c r="ACB77" i="17"/>
  <c r="ACA77" i="17"/>
  <c r="ABZ77" i="17"/>
  <c r="ABY77" i="17"/>
  <c r="ABX77" i="17"/>
  <c r="ABW77" i="17"/>
  <c r="ABV77" i="17"/>
  <c r="ABU77" i="17"/>
  <c r="ABT77" i="17"/>
  <c r="ABS77" i="17"/>
  <c r="ABR77" i="17"/>
  <c r="ABQ77" i="17"/>
  <c r="ABP77" i="17"/>
  <c r="ABO77" i="17"/>
  <c r="ABN77" i="17"/>
  <c r="ABM77" i="17"/>
  <c r="ABL77" i="17"/>
  <c r="ABK77" i="17"/>
  <c r="ABJ77" i="17"/>
  <c r="ABI77" i="17"/>
  <c r="ABH77" i="17"/>
  <c r="ABG77" i="17"/>
  <c r="ABF77" i="17"/>
  <c r="ABE77" i="17"/>
  <c r="ABD77" i="17"/>
  <c r="ABC77" i="17"/>
  <c r="ABB77" i="17"/>
  <c r="ABA77" i="17"/>
  <c r="AAZ77" i="17"/>
  <c r="AAY77" i="17"/>
  <c r="AAX77" i="17"/>
  <c r="AAW77" i="17"/>
  <c r="AAV77" i="17"/>
  <c r="AAU77" i="17"/>
  <c r="AAT77" i="17"/>
  <c r="AAS77" i="17"/>
  <c r="AAR77" i="17"/>
  <c r="AAQ77" i="17"/>
  <c r="AAP77" i="17"/>
  <c r="AAO77" i="17"/>
  <c r="AAN77" i="17"/>
  <c r="AAM77" i="17"/>
  <c r="AAL77" i="17"/>
  <c r="AAK77" i="17"/>
  <c r="AAJ77" i="17"/>
  <c r="AAI77" i="17"/>
  <c r="AAH77" i="17"/>
  <c r="AAG77" i="17"/>
  <c r="AAF77" i="17"/>
  <c r="AAE77" i="17"/>
  <c r="AAD77" i="17"/>
  <c r="AAC77" i="17"/>
  <c r="AAB77" i="17"/>
  <c r="AAA77" i="17"/>
  <c r="ZZ77" i="17"/>
  <c r="ZY77" i="17"/>
  <c r="ZX77" i="17"/>
  <c r="ZW77" i="17"/>
  <c r="ZV77" i="17"/>
  <c r="ZU77" i="17"/>
  <c r="ZT77" i="17"/>
  <c r="ZS77" i="17"/>
  <c r="ZR77" i="17"/>
  <c r="ZQ77" i="17"/>
  <c r="ZP77" i="17"/>
  <c r="ZO77" i="17"/>
  <c r="ZN77" i="17"/>
  <c r="ZM77" i="17"/>
  <c r="ZL77" i="17"/>
  <c r="ZK77" i="17"/>
  <c r="ZJ77" i="17"/>
  <c r="ZI77" i="17"/>
  <c r="ZH77" i="17"/>
  <c r="ZG77" i="17"/>
  <c r="ZF77" i="17"/>
  <c r="ZE77" i="17"/>
  <c r="ZD77" i="17"/>
  <c r="ZC77" i="17"/>
  <c r="ZB77" i="17"/>
  <c r="ZA77" i="17"/>
  <c r="YZ77" i="17"/>
  <c r="YY77" i="17"/>
  <c r="YX77" i="17"/>
  <c r="YW77" i="17"/>
  <c r="YV77" i="17"/>
  <c r="YU77" i="17"/>
  <c r="YT77" i="17"/>
  <c r="YS77" i="17"/>
  <c r="YR77" i="17"/>
  <c r="YQ77" i="17"/>
  <c r="YP77" i="17"/>
  <c r="YO77" i="17"/>
  <c r="YN77" i="17"/>
  <c r="YM77" i="17"/>
  <c r="YL77" i="17"/>
  <c r="YK77" i="17"/>
  <c r="YJ77" i="17"/>
  <c r="YI77" i="17"/>
  <c r="YH77" i="17"/>
  <c r="YG77" i="17"/>
  <c r="YF77" i="17"/>
  <c r="YE77" i="17"/>
  <c r="YD77" i="17"/>
  <c r="YC77" i="17"/>
  <c r="YB77" i="17"/>
  <c r="YA77" i="17"/>
  <c r="XZ77" i="17"/>
  <c r="XY77" i="17"/>
  <c r="XX77" i="17"/>
  <c r="XW77" i="17"/>
  <c r="XV77" i="17"/>
  <c r="XU77" i="17"/>
  <c r="XT77" i="17"/>
  <c r="XS77" i="17"/>
  <c r="XR77" i="17"/>
  <c r="XQ77" i="17"/>
  <c r="XP77" i="17"/>
  <c r="XO77" i="17"/>
  <c r="XN77" i="17"/>
  <c r="XM77" i="17"/>
  <c r="XL77" i="17"/>
  <c r="XK77" i="17"/>
  <c r="XJ77" i="17"/>
  <c r="XI77" i="17"/>
  <c r="XH77" i="17"/>
  <c r="XG77" i="17"/>
  <c r="XF77" i="17"/>
  <c r="XE77" i="17"/>
  <c r="XD77" i="17"/>
  <c r="XC77" i="17"/>
  <c r="XB77" i="17"/>
  <c r="XA77" i="17"/>
  <c r="WZ77" i="17"/>
  <c r="WY77" i="17"/>
  <c r="WX77" i="17"/>
  <c r="WW77" i="17"/>
  <c r="WV77" i="17"/>
  <c r="WU77" i="17"/>
  <c r="WT77" i="17"/>
  <c r="WS77" i="17"/>
  <c r="WR77" i="17"/>
  <c r="WQ77" i="17"/>
  <c r="WP77" i="17"/>
  <c r="WO77" i="17"/>
  <c r="WN77" i="17"/>
  <c r="WM77" i="17"/>
  <c r="WL77" i="17"/>
  <c r="WK77" i="17"/>
  <c r="WJ77" i="17"/>
  <c r="WI77" i="17"/>
  <c r="WH77" i="17"/>
  <c r="WG77" i="17"/>
  <c r="WF77" i="17"/>
  <c r="WE77" i="17"/>
  <c r="WD77" i="17"/>
  <c r="WC77" i="17"/>
  <c r="WB77" i="17"/>
  <c r="WA77" i="17"/>
  <c r="VZ77" i="17"/>
  <c r="VY77" i="17"/>
  <c r="VX77" i="17"/>
  <c r="VW77" i="17"/>
  <c r="VV77" i="17"/>
  <c r="VU77" i="17"/>
  <c r="VT77" i="17"/>
  <c r="VS77" i="17"/>
  <c r="VR77" i="17"/>
  <c r="VQ77" i="17"/>
  <c r="VP77" i="17"/>
  <c r="VO77" i="17"/>
  <c r="VN77" i="17"/>
  <c r="VM77" i="17"/>
  <c r="VL77" i="17"/>
  <c r="VK77" i="17"/>
  <c r="VJ77" i="17"/>
  <c r="VI77" i="17"/>
  <c r="VH77" i="17"/>
  <c r="VG77" i="17"/>
  <c r="VF77" i="17"/>
  <c r="VE77" i="17"/>
  <c r="VD77" i="17"/>
  <c r="VC77" i="17"/>
  <c r="VB77" i="17"/>
  <c r="VA77" i="17"/>
  <c r="UZ77" i="17"/>
  <c r="UY77" i="17"/>
  <c r="UX77" i="17"/>
  <c r="UW77" i="17"/>
  <c r="UV77" i="17"/>
  <c r="UU77" i="17"/>
  <c r="UT77" i="17"/>
  <c r="US77" i="17"/>
  <c r="UR77" i="17"/>
  <c r="UQ77" i="17"/>
  <c r="UP77" i="17"/>
  <c r="UO77" i="17"/>
  <c r="UN77" i="17"/>
  <c r="UM77" i="17"/>
  <c r="UL77" i="17"/>
  <c r="UK77" i="17"/>
  <c r="UJ77" i="17"/>
  <c r="UI77" i="17"/>
  <c r="UH77" i="17"/>
  <c r="UG77" i="17"/>
  <c r="UF77" i="17"/>
  <c r="UE77" i="17"/>
  <c r="UD77" i="17"/>
  <c r="UC77" i="17"/>
  <c r="UB77" i="17"/>
  <c r="UA77" i="17"/>
  <c r="TZ77" i="17"/>
  <c r="TY77" i="17"/>
  <c r="TX77" i="17"/>
  <c r="TW77" i="17"/>
  <c r="TV77" i="17"/>
  <c r="TU77" i="17"/>
  <c r="TT77" i="17"/>
  <c r="TS77" i="17"/>
  <c r="TR77" i="17"/>
  <c r="TQ77" i="17"/>
  <c r="TP77" i="17"/>
  <c r="TO77" i="17"/>
  <c r="TN77" i="17"/>
  <c r="TM77" i="17"/>
  <c r="TL77" i="17"/>
  <c r="TK77" i="17"/>
  <c r="TJ77" i="17"/>
  <c r="TI77" i="17"/>
  <c r="TH77" i="17"/>
  <c r="TG77" i="17"/>
  <c r="TF77" i="17"/>
  <c r="TE77" i="17"/>
  <c r="TD77" i="17"/>
  <c r="TC77" i="17"/>
  <c r="TB77" i="17"/>
  <c r="TA77" i="17"/>
  <c r="SZ77" i="17"/>
  <c r="SY77" i="17"/>
  <c r="SX77" i="17"/>
  <c r="SW77" i="17"/>
  <c r="SV77" i="17"/>
  <c r="SU77" i="17"/>
  <c r="ST77" i="17"/>
  <c r="SS77" i="17"/>
  <c r="SR77" i="17"/>
  <c r="SQ77" i="17"/>
  <c r="SP77" i="17"/>
  <c r="SO77" i="17"/>
  <c r="SN77" i="17"/>
  <c r="SM77" i="17"/>
  <c r="SL77" i="17"/>
  <c r="SK77" i="17"/>
  <c r="SJ77" i="17"/>
  <c r="SI77" i="17"/>
  <c r="SH77" i="17"/>
  <c r="SG77" i="17"/>
  <c r="SF77" i="17"/>
  <c r="SE77" i="17"/>
  <c r="SD77" i="17"/>
  <c r="SC77" i="17"/>
  <c r="SB77" i="17"/>
  <c r="SA77" i="17"/>
  <c r="RZ77" i="17"/>
  <c r="RY77" i="17"/>
  <c r="RX77" i="17"/>
  <c r="RW77" i="17"/>
  <c r="RV77" i="17"/>
  <c r="RU77" i="17"/>
  <c r="RT77" i="17"/>
  <c r="RS77" i="17"/>
  <c r="RR77" i="17"/>
  <c r="RQ77" i="17"/>
  <c r="RP77" i="17"/>
  <c r="RO77" i="17"/>
  <c r="RN77" i="17"/>
  <c r="RM77" i="17"/>
  <c r="RL77" i="17"/>
  <c r="RK77" i="17"/>
  <c r="RJ77" i="17"/>
  <c r="RI77" i="17"/>
  <c r="RH77" i="17"/>
  <c r="RG77" i="17"/>
  <c r="RF77" i="17"/>
  <c r="RE77" i="17"/>
  <c r="RD77" i="17"/>
  <c r="RC77" i="17"/>
  <c r="RB77" i="17"/>
  <c r="RA77" i="17"/>
  <c r="QZ77" i="17"/>
  <c r="QY77" i="17"/>
  <c r="QX77" i="17"/>
  <c r="QW77" i="17"/>
  <c r="QV77" i="17"/>
  <c r="QU77" i="17"/>
  <c r="QT77" i="17"/>
  <c r="QS77" i="17"/>
  <c r="QR77" i="17"/>
  <c r="QQ77" i="17"/>
  <c r="QP77" i="17"/>
  <c r="QO77" i="17"/>
  <c r="QN77" i="17"/>
  <c r="QM77" i="17"/>
  <c r="QL77" i="17"/>
  <c r="QK77" i="17"/>
  <c r="QJ77" i="17"/>
  <c r="QI77" i="17"/>
  <c r="QH77" i="17"/>
  <c r="QG77" i="17"/>
  <c r="QF77" i="17"/>
  <c r="QE77" i="17"/>
  <c r="QD77" i="17"/>
  <c r="QC77" i="17"/>
  <c r="QB77" i="17"/>
  <c r="QA77" i="17"/>
  <c r="PZ77" i="17"/>
  <c r="PY77" i="17"/>
  <c r="PX77" i="17"/>
  <c r="PW77" i="17"/>
  <c r="PV77" i="17"/>
  <c r="PU77" i="17"/>
  <c r="PT77" i="17"/>
  <c r="PS77" i="17"/>
  <c r="PR77" i="17"/>
  <c r="PQ77" i="17"/>
  <c r="PP77" i="17"/>
  <c r="PO77" i="17"/>
  <c r="PN77" i="17"/>
  <c r="PM77" i="17"/>
  <c r="PL77" i="17"/>
  <c r="PK77" i="17"/>
  <c r="PJ77" i="17"/>
  <c r="PI77" i="17"/>
  <c r="PH77" i="17"/>
  <c r="PG77" i="17"/>
  <c r="PF77" i="17"/>
  <c r="PE77" i="17"/>
  <c r="PD77" i="17"/>
  <c r="PC77" i="17"/>
  <c r="PB77" i="17"/>
  <c r="PA77" i="17"/>
  <c r="OZ77" i="17"/>
  <c r="OY77" i="17"/>
  <c r="OX77" i="17"/>
  <c r="OW77" i="17"/>
  <c r="OV77" i="17"/>
  <c r="OU77" i="17"/>
  <c r="OT77" i="17"/>
  <c r="OS77" i="17"/>
  <c r="OR77" i="17"/>
  <c r="OQ77" i="17"/>
  <c r="OP77" i="17"/>
  <c r="OO77" i="17"/>
  <c r="ON77" i="17"/>
  <c r="OM77" i="17"/>
  <c r="OL77" i="17"/>
  <c r="OK77" i="17"/>
  <c r="OJ77" i="17"/>
  <c r="OI77" i="17"/>
  <c r="OH77" i="17"/>
  <c r="OG77" i="17"/>
  <c r="OF77" i="17"/>
  <c r="OE77" i="17"/>
  <c r="OD77" i="17"/>
  <c r="OC77" i="17"/>
  <c r="OB77" i="17"/>
  <c r="OA77" i="17"/>
  <c r="NZ77" i="17"/>
  <c r="NY77" i="17"/>
  <c r="NX77" i="17"/>
  <c r="NW77" i="17"/>
  <c r="NV77" i="17"/>
  <c r="NU77" i="17"/>
  <c r="NT77" i="17"/>
  <c r="NS77" i="17"/>
  <c r="NR77" i="17"/>
  <c r="NQ77" i="17"/>
  <c r="NP77" i="17"/>
  <c r="NO77" i="17"/>
  <c r="NN77" i="17"/>
  <c r="NM77" i="17"/>
  <c r="NL77" i="17"/>
  <c r="NK77" i="17"/>
  <c r="NJ77" i="17"/>
  <c r="NI77" i="17"/>
  <c r="NH77" i="17"/>
  <c r="NG77" i="17"/>
  <c r="NF77" i="17"/>
  <c r="NE77" i="17"/>
  <c r="ND77" i="17"/>
  <c r="NC77" i="17"/>
  <c r="NB77" i="17"/>
  <c r="NA77" i="17"/>
  <c r="MZ77" i="17"/>
  <c r="MY77" i="17"/>
  <c r="MX77" i="17"/>
  <c r="MW77" i="17"/>
  <c r="MV77" i="17"/>
  <c r="MU77" i="17"/>
  <c r="MT77" i="17"/>
  <c r="MS77" i="17"/>
  <c r="MR77" i="17"/>
  <c r="MQ77" i="17"/>
  <c r="MP77" i="17"/>
  <c r="MO77" i="17"/>
  <c r="MN77" i="17"/>
  <c r="MM77" i="17"/>
  <c r="ML77" i="17"/>
  <c r="MK77" i="17"/>
  <c r="MJ77" i="17"/>
  <c r="MI77" i="17"/>
  <c r="MH77" i="17"/>
  <c r="MG77" i="17"/>
  <c r="MF77" i="17"/>
  <c r="ME77" i="17"/>
  <c r="MD77" i="17"/>
  <c r="MC77" i="17"/>
  <c r="MB77" i="17"/>
  <c r="MA77" i="17"/>
  <c r="LZ77" i="17"/>
  <c r="LY77" i="17"/>
  <c r="LX77" i="17"/>
  <c r="LW77" i="17"/>
  <c r="LV77" i="17"/>
  <c r="LU77" i="17"/>
  <c r="LT77" i="17"/>
  <c r="LS77" i="17"/>
  <c r="LR77" i="17"/>
  <c r="LQ77" i="17"/>
  <c r="LP77" i="17"/>
  <c r="LO77" i="17"/>
  <c r="LN77" i="17"/>
  <c r="LM77" i="17"/>
  <c r="LL77" i="17"/>
  <c r="LK77" i="17"/>
  <c r="LJ77" i="17"/>
  <c r="LI77" i="17"/>
  <c r="LH77" i="17"/>
  <c r="LG77" i="17"/>
  <c r="LF77" i="17"/>
  <c r="LE77" i="17"/>
  <c r="LD77" i="17"/>
  <c r="LC77" i="17"/>
  <c r="LB77" i="17"/>
  <c r="LA77" i="17"/>
  <c r="KZ77" i="17"/>
  <c r="KY77" i="17"/>
  <c r="KX77" i="17"/>
  <c r="KW77" i="17"/>
  <c r="KV77" i="17"/>
  <c r="KU77" i="17"/>
  <c r="KT77" i="17"/>
  <c r="KS77" i="17"/>
  <c r="KR77" i="17"/>
  <c r="KQ77" i="17"/>
  <c r="KP77" i="17"/>
  <c r="KO77" i="17"/>
  <c r="KN77" i="17"/>
  <c r="KM77" i="17"/>
  <c r="KL77" i="17"/>
  <c r="KK77" i="17"/>
  <c r="KJ77" i="17"/>
  <c r="KI77" i="17"/>
  <c r="KH77" i="17"/>
  <c r="KG77" i="17"/>
  <c r="KF77" i="17"/>
  <c r="KE77" i="17"/>
  <c r="KD77" i="17"/>
  <c r="KC77" i="17"/>
  <c r="KB77" i="17"/>
  <c r="KA77" i="17"/>
  <c r="JZ77" i="17"/>
  <c r="JY77" i="17"/>
  <c r="JX77" i="17"/>
  <c r="JW77" i="17"/>
  <c r="JV77" i="17"/>
  <c r="JU77" i="17"/>
  <c r="JT77" i="17"/>
  <c r="JS77" i="17"/>
  <c r="JR77" i="17"/>
  <c r="JQ77" i="17"/>
  <c r="JP77" i="17"/>
  <c r="JO77" i="17"/>
  <c r="JN77" i="17"/>
  <c r="JM77" i="17"/>
  <c r="JL77" i="17"/>
  <c r="JK77" i="17"/>
  <c r="JJ77" i="17"/>
  <c r="JI77" i="17"/>
  <c r="JH77" i="17"/>
  <c r="JG77" i="17"/>
  <c r="JF77" i="17"/>
  <c r="JE77" i="17"/>
  <c r="JD77" i="17"/>
  <c r="JC77" i="17"/>
  <c r="JB77" i="17"/>
  <c r="JA77" i="17"/>
  <c r="IZ77" i="17"/>
  <c r="IY77" i="17"/>
  <c r="IX77" i="17"/>
  <c r="IW77" i="17"/>
  <c r="IV77" i="17"/>
  <c r="IU77" i="17"/>
  <c r="IT77" i="17"/>
  <c r="IS77" i="17"/>
  <c r="IR77" i="17"/>
  <c r="IQ77" i="17"/>
  <c r="IP77" i="17"/>
  <c r="IO77" i="17"/>
  <c r="IN77" i="17"/>
  <c r="IM77" i="17"/>
  <c r="IL77" i="17"/>
  <c r="IK77" i="17"/>
  <c r="IJ77" i="17"/>
  <c r="II77" i="17"/>
  <c r="IH77" i="17"/>
  <c r="IG77" i="17"/>
  <c r="IF77" i="17"/>
  <c r="IE77" i="17"/>
  <c r="ID77" i="17"/>
  <c r="IC77" i="17"/>
  <c r="IB77" i="17"/>
  <c r="IA77" i="17"/>
  <c r="HZ77" i="17"/>
  <c r="HY77" i="17"/>
  <c r="HX77" i="17"/>
  <c r="HW77" i="17"/>
  <c r="HV77" i="17"/>
  <c r="HU77" i="17"/>
  <c r="HT77" i="17"/>
  <c r="HS77" i="17"/>
  <c r="HR77" i="17"/>
  <c r="HQ77" i="17"/>
  <c r="HP77" i="17"/>
  <c r="HO77" i="17"/>
  <c r="HN77" i="17"/>
  <c r="HM77" i="17"/>
  <c r="HL77" i="17"/>
  <c r="HK77" i="17"/>
  <c r="HJ77" i="17"/>
  <c r="HI77" i="17"/>
  <c r="HH77" i="17"/>
  <c r="HG77" i="17"/>
  <c r="HF77" i="17"/>
  <c r="HE77" i="17"/>
  <c r="HD77" i="17"/>
  <c r="HC77" i="17"/>
  <c r="HB77" i="17"/>
  <c r="HA77" i="17"/>
  <c r="GZ77" i="17"/>
  <c r="GY77" i="17"/>
  <c r="GX77" i="17"/>
  <c r="GW77" i="17"/>
  <c r="GV77" i="17"/>
  <c r="GU77" i="17"/>
  <c r="GT77" i="17"/>
  <c r="GS77" i="17"/>
  <c r="GR77" i="17"/>
  <c r="GQ77" i="17"/>
  <c r="GP77" i="17"/>
  <c r="GO77" i="17"/>
  <c r="GN77" i="17"/>
  <c r="GM77" i="17"/>
  <c r="GL77" i="17"/>
  <c r="GK77" i="17"/>
  <c r="GJ77" i="17"/>
  <c r="GI77" i="17"/>
  <c r="GH77" i="17"/>
  <c r="GG77" i="17"/>
  <c r="GF77" i="17"/>
  <c r="GE77" i="17"/>
  <c r="GD77" i="17"/>
  <c r="GC77" i="17"/>
  <c r="GB77" i="17"/>
  <c r="GA77" i="17"/>
  <c r="FZ77" i="17"/>
  <c r="FY77" i="17"/>
  <c r="FX77" i="17"/>
  <c r="FW77" i="17"/>
  <c r="FV77" i="17"/>
  <c r="FU77" i="17"/>
  <c r="FT77" i="17"/>
  <c r="FS77" i="17"/>
  <c r="FR77" i="17"/>
  <c r="FQ77" i="17"/>
  <c r="FP77" i="17"/>
  <c r="FO77" i="17"/>
  <c r="FN77" i="17"/>
  <c r="FM77" i="17"/>
  <c r="FL77" i="17"/>
  <c r="FK77" i="17"/>
  <c r="FJ77" i="17"/>
  <c r="FI77" i="17"/>
  <c r="FH77" i="17"/>
  <c r="FG77" i="17"/>
  <c r="FF77" i="17"/>
  <c r="FE77" i="17"/>
  <c r="FD77" i="17"/>
  <c r="FC77" i="17"/>
  <c r="FB77" i="17"/>
  <c r="FA77" i="17"/>
  <c r="EZ77" i="17"/>
  <c r="EY77" i="17"/>
  <c r="EX77" i="17"/>
  <c r="EW77" i="17"/>
  <c r="EV77" i="17"/>
  <c r="EU77" i="17"/>
  <c r="ET77" i="17"/>
  <c r="ES77" i="17"/>
  <c r="ER77" i="17"/>
  <c r="EQ77" i="17"/>
  <c r="EP77" i="17"/>
  <c r="EO77" i="17"/>
  <c r="EN77" i="17"/>
  <c r="EM77" i="17"/>
  <c r="EL77" i="17"/>
  <c r="EK77" i="17"/>
  <c r="EJ77" i="17"/>
  <c r="EI77" i="17"/>
  <c r="EH77" i="17"/>
  <c r="EG77" i="17"/>
  <c r="EF77" i="17"/>
  <c r="EE77" i="17"/>
  <c r="ED77" i="17"/>
  <c r="EC77" i="17"/>
  <c r="EB77" i="17"/>
  <c r="EA77" i="17"/>
  <c r="DZ77" i="17"/>
  <c r="DY77" i="17"/>
  <c r="DX77" i="17"/>
  <c r="DW77" i="17"/>
  <c r="DV77" i="17"/>
  <c r="DU77" i="17"/>
  <c r="DT77" i="17"/>
  <c r="DS77" i="17"/>
  <c r="DR77" i="17"/>
  <c r="DQ77" i="17"/>
  <c r="DP77" i="17"/>
  <c r="DO77" i="17"/>
  <c r="DN77" i="17"/>
  <c r="DM77" i="17"/>
  <c r="DL77" i="17"/>
  <c r="DK77" i="17"/>
  <c r="DJ77" i="17"/>
  <c r="DI77" i="17"/>
  <c r="DH77" i="17"/>
  <c r="DG77" i="17"/>
  <c r="DF77" i="17"/>
  <c r="DE77" i="17"/>
  <c r="DD77" i="17"/>
  <c r="DC77" i="17"/>
  <c r="DB77" i="17"/>
  <c r="DA77" i="17"/>
  <c r="CZ77" i="17"/>
  <c r="CY77" i="17"/>
  <c r="CX77" i="17"/>
  <c r="CW77" i="17"/>
  <c r="CV77" i="17"/>
  <c r="CU77" i="17"/>
  <c r="CT77" i="17"/>
  <c r="CS77" i="17"/>
  <c r="CR77" i="17"/>
  <c r="CQ77" i="17"/>
  <c r="CP77" i="17"/>
  <c r="CO77" i="17"/>
  <c r="CN77" i="17"/>
  <c r="CM77" i="17"/>
  <c r="CL77" i="17"/>
  <c r="CK77" i="17"/>
  <c r="CJ77" i="17"/>
  <c r="CI77" i="17"/>
  <c r="CH77" i="17"/>
  <c r="CG77" i="17"/>
  <c r="CF77" i="17"/>
  <c r="CE77" i="17"/>
  <c r="CD77" i="17"/>
  <c r="CC77" i="17"/>
  <c r="CB77" i="17"/>
  <c r="CA77" i="17"/>
  <c r="BZ77" i="17"/>
  <c r="BY77" i="17"/>
  <c r="BX77" i="17"/>
  <c r="BW77" i="17"/>
  <c r="BV77" i="17"/>
  <c r="BU77" i="17"/>
  <c r="BT77" i="17"/>
  <c r="BS77" i="17"/>
  <c r="BR77" i="17"/>
  <c r="BQ77" i="17"/>
  <c r="BP77" i="17"/>
  <c r="BO77" i="17"/>
  <c r="BN77" i="17"/>
  <c r="BM77" i="17"/>
  <c r="BL77" i="17"/>
  <c r="BK77" i="17"/>
  <c r="BJ77" i="17"/>
  <c r="BI77" i="17"/>
  <c r="BH77" i="17"/>
  <c r="BG77" i="17"/>
  <c r="BF77" i="17"/>
  <c r="BE77" i="17"/>
  <c r="BD77" i="17"/>
  <c r="BC77" i="17"/>
  <c r="BB77" i="17"/>
  <c r="BA77" i="17"/>
  <c r="AZ77" i="17"/>
  <c r="AY77" i="17"/>
  <c r="AX77" i="17"/>
  <c r="AW77" i="17"/>
  <c r="AV77" i="17"/>
  <c r="AU77" i="17"/>
  <c r="AT77" i="17"/>
  <c r="AS77" i="17"/>
  <c r="AR77" i="17"/>
  <c r="AQ77" i="17"/>
  <c r="AP77" i="17"/>
  <c r="AO77" i="17"/>
  <c r="AN77" i="17"/>
  <c r="AM77" i="17"/>
  <c r="AL77" i="17"/>
  <c r="AK77" i="17"/>
  <c r="AJ77" i="17"/>
  <c r="AI77" i="17"/>
  <c r="AH77" i="17"/>
  <c r="AG77" i="17"/>
  <c r="AF77" i="17"/>
  <c r="AE77" i="17"/>
  <c r="AD77" i="17"/>
  <c r="AC77" i="17"/>
  <c r="AB77" i="17"/>
  <c r="AA77" i="17"/>
  <c r="Z77" i="17"/>
  <c r="Y77" i="17"/>
  <c r="X77" i="17"/>
  <c r="W77" i="17"/>
  <c r="V77" i="17"/>
  <c r="U77" i="17"/>
  <c r="T77" i="17"/>
  <c r="S77" i="17"/>
  <c r="R77" i="17"/>
  <c r="Q77" i="17"/>
  <c r="P77" i="17"/>
  <c r="O77" i="17"/>
  <c r="N77" i="17"/>
  <c r="M77" i="17"/>
  <c r="L77" i="17"/>
  <c r="K77" i="17"/>
  <c r="J77" i="17"/>
  <c r="H77" i="17"/>
  <c r="G77" i="17"/>
  <c r="F77" i="17"/>
  <c r="E77" i="17"/>
  <c r="F79" i="17"/>
  <c r="F85" i="17"/>
  <c r="J52" i="17"/>
  <c r="H52" i="17"/>
  <c r="G52" i="17"/>
  <c r="F52" i="17"/>
  <c r="E52" i="17"/>
  <c r="E36" i="17"/>
  <c r="F36" i="17"/>
  <c r="G36" i="17"/>
  <c r="H36" i="17"/>
  <c r="J36" i="17"/>
  <c r="L42" i="17"/>
  <c r="L56" i="17" s="1"/>
  <c r="M42" i="17"/>
  <c r="M56" i="17" s="1"/>
  <c r="N42" i="17"/>
  <c r="N56" i="17" s="1"/>
  <c r="O42" i="17"/>
  <c r="O56" i="17" s="1"/>
  <c r="P42" i="17"/>
  <c r="P56" i="17" s="1"/>
  <c r="Q42" i="17"/>
  <c r="Q56" i="17" s="1"/>
  <c r="R42" i="17"/>
  <c r="R56" i="17" s="1"/>
  <c r="S42" i="17"/>
  <c r="S56" i="17" s="1"/>
  <c r="T42" i="17"/>
  <c r="U42" i="17"/>
  <c r="U56" i="17" s="1"/>
  <c r="V42" i="17"/>
  <c r="V56" i="17" s="1"/>
  <c r="E206" i="1"/>
  <c r="K221" i="1"/>
  <c r="J221" i="1"/>
  <c r="I221" i="1"/>
  <c r="H221" i="1"/>
  <c r="G221" i="1"/>
  <c r="F221" i="1"/>
  <c r="E221" i="1"/>
  <c r="AF195" i="1"/>
  <c r="G196" i="1"/>
  <c r="F196" i="1"/>
  <c r="E196" i="1"/>
  <c r="E195" i="1"/>
  <c r="E215" i="1"/>
  <c r="F215" i="1"/>
  <c r="G215" i="1"/>
  <c r="H215" i="1"/>
  <c r="I215" i="1"/>
  <c r="J215" i="1"/>
  <c r="K215" i="1"/>
  <c r="I192" i="1"/>
  <c r="I36" i="17" s="1"/>
  <c r="F227" i="1"/>
  <c r="F226" i="1"/>
  <c r="F225" i="1"/>
  <c r="F224" i="1"/>
  <c r="F223" i="1"/>
  <c r="F216" i="1"/>
  <c r="H216" i="1"/>
  <c r="J216" i="1"/>
  <c r="K216" i="1"/>
  <c r="E205" i="1"/>
  <c r="E227" i="1" s="1"/>
  <c r="E204" i="1"/>
  <c r="E226" i="1" s="1"/>
  <c r="E203" i="1"/>
  <c r="E225" i="1" s="1"/>
  <c r="E202" i="1"/>
  <c r="E224" i="1" s="1"/>
  <c r="E201" i="1"/>
  <c r="E223" i="1" s="1"/>
  <c r="L10" i="1"/>
  <c r="L216" i="1" s="1"/>
  <c r="M10" i="1"/>
  <c r="M216" i="1" s="1"/>
  <c r="N10" i="1"/>
  <c r="N216" i="1" s="1"/>
  <c r="O10" i="1"/>
  <c r="O216" i="1" s="1"/>
  <c r="P10" i="1"/>
  <c r="P280" i="1" s="1"/>
  <c r="Q10" i="1"/>
  <c r="Q216" i="1" s="1"/>
  <c r="R10" i="1"/>
  <c r="R280" i="1" s="1"/>
  <c r="S10" i="1"/>
  <c r="S280" i="1" s="1"/>
  <c r="T10" i="1"/>
  <c r="T216" i="1" s="1"/>
  <c r="U10" i="1"/>
  <c r="U216" i="1" s="1"/>
  <c r="V10" i="1"/>
  <c r="V216" i="1" s="1"/>
  <c r="W10" i="1"/>
  <c r="W216" i="1" s="1"/>
  <c r="X10" i="1"/>
  <c r="X280" i="1" s="1"/>
  <c r="Y10" i="1"/>
  <c r="Y216" i="1" s="1"/>
  <c r="Z10" i="1"/>
  <c r="Z216" i="1" s="1"/>
  <c r="AA10" i="1"/>
  <c r="AA216" i="1" s="1"/>
  <c r="AB10" i="1"/>
  <c r="AB216" i="1" s="1"/>
  <c r="AC10" i="1"/>
  <c r="AC216" i="1" s="1"/>
  <c r="AD10" i="1"/>
  <c r="AD216" i="1" s="1"/>
  <c r="AE10" i="1"/>
  <c r="AE216" i="1" s="1"/>
  <c r="AF10" i="1"/>
  <c r="AF216" i="1" s="1"/>
  <c r="AG10" i="1"/>
  <c r="AG216" i="1" s="1"/>
  <c r="AH10" i="1"/>
  <c r="AH280" i="1" s="1"/>
  <c r="AI10" i="1"/>
  <c r="AJ10" i="1" s="1"/>
  <c r="AK10" i="1" s="1"/>
  <c r="AL10" i="1" s="1"/>
  <c r="AM10" i="1" s="1"/>
  <c r="AN10" i="1" s="1"/>
  <c r="AO10" i="1" s="1"/>
  <c r="AP10" i="1" s="1"/>
  <c r="AQ10" i="1" s="1"/>
  <c r="AR10" i="1" s="1"/>
  <c r="AS10" i="1" s="1"/>
  <c r="AT10" i="1" s="1"/>
  <c r="AU10" i="1" s="1"/>
  <c r="AV10" i="1" s="1"/>
  <c r="AV11" i="1" s="1"/>
  <c r="G10" i="1"/>
  <c r="G216" i="1" s="1"/>
  <c r="G217" i="1" s="1"/>
  <c r="E10" i="1"/>
  <c r="E216" i="1" s="1"/>
  <c r="E11" i="1"/>
  <c r="G12" i="17"/>
  <c r="G52" i="40" s="1"/>
  <c r="J479" i="1"/>
  <c r="J478" i="1"/>
  <c r="J477" i="1"/>
  <c r="J476" i="1"/>
  <c r="J475" i="1"/>
  <c r="J474" i="1"/>
  <c r="J473" i="1"/>
  <c r="J472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4" i="1"/>
  <c r="J453" i="1"/>
  <c r="J452" i="1"/>
  <c r="J451" i="1"/>
  <c r="J450" i="1"/>
  <c r="J446" i="1"/>
  <c r="J445" i="1"/>
  <c r="J444" i="1"/>
  <c r="J443" i="1"/>
  <c r="J442" i="1"/>
  <c r="J441" i="1"/>
  <c r="J440" i="1"/>
  <c r="J439" i="1"/>
  <c r="J438" i="1"/>
  <c r="J437" i="1"/>
  <c r="J432" i="1"/>
  <c r="J431" i="1"/>
  <c r="J430" i="1"/>
  <c r="J429" i="1"/>
  <c r="J428" i="1"/>
  <c r="K65" i="3"/>
  <c r="I65" i="3"/>
  <c r="G65" i="3"/>
  <c r="E258" i="17"/>
  <c r="E491" i="17" s="1"/>
  <c r="E257" i="17"/>
  <c r="E490" i="17" s="1"/>
  <c r="H12" i="17"/>
  <c r="H52" i="40" s="1"/>
  <c r="K12" i="17"/>
  <c r="K52" i="40" s="1"/>
  <c r="L53" i="40" s="1"/>
  <c r="E20" i="17"/>
  <c r="F20" i="17"/>
  <c r="G20" i="17"/>
  <c r="H20" i="17"/>
  <c r="J20" i="17"/>
  <c r="K20" i="17"/>
  <c r="L20" i="17"/>
  <c r="L22" i="17" s="1"/>
  <c r="M20" i="17"/>
  <c r="M22" i="17" s="1"/>
  <c r="N20" i="17"/>
  <c r="N22" i="17" s="1"/>
  <c r="O20" i="17"/>
  <c r="O22" i="17" s="1"/>
  <c r="P20" i="17"/>
  <c r="P22" i="17" s="1"/>
  <c r="Q20" i="17"/>
  <c r="Q22" i="17" s="1"/>
  <c r="R20" i="17"/>
  <c r="S20" i="17"/>
  <c r="T20" i="17"/>
  <c r="U20" i="17"/>
  <c r="V20" i="17"/>
  <c r="W20" i="17"/>
  <c r="X20" i="17"/>
  <c r="Y20" i="17"/>
  <c r="Z20" i="17"/>
  <c r="AA20" i="17"/>
  <c r="AB20" i="17"/>
  <c r="AC20" i="17"/>
  <c r="AD20" i="17"/>
  <c r="AE20" i="17"/>
  <c r="AE22" i="17" s="1"/>
  <c r="AF20" i="17"/>
  <c r="AF22" i="17" s="1"/>
  <c r="AG20" i="17"/>
  <c r="AG22" i="17" s="1"/>
  <c r="AH20" i="17"/>
  <c r="AH22" i="17" s="1"/>
  <c r="AI20" i="17"/>
  <c r="AI22" i="17" s="1"/>
  <c r="AJ20" i="17"/>
  <c r="AJ22" i="17" s="1"/>
  <c r="AK20" i="17"/>
  <c r="AK22" i="17" s="1"/>
  <c r="AL20" i="17"/>
  <c r="AL22" i="17" s="1"/>
  <c r="AM20" i="17"/>
  <c r="AM22" i="17" s="1"/>
  <c r="AN20" i="17"/>
  <c r="AN22" i="17" s="1"/>
  <c r="AO20" i="17"/>
  <c r="AO22" i="17" s="1"/>
  <c r="AP20" i="17"/>
  <c r="AP22" i="17" s="1"/>
  <c r="AQ20" i="17"/>
  <c r="AQ22" i="17" s="1"/>
  <c r="AR20" i="17"/>
  <c r="AR22" i="17" s="1"/>
  <c r="AS20" i="17"/>
  <c r="AS22" i="17" s="1"/>
  <c r="AT20" i="17"/>
  <c r="AT22" i="17" s="1"/>
  <c r="AU20" i="17"/>
  <c r="AU22" i="17" s="1"/>
  <c r="AV20" i="17"/>
  <c r="AV22" i="17" s="1"/>
  <c r="F63" i="17"/>
  <c r="G63" i="17"/>
  <c r="H63" i="17"/>
  <c r="I63" i="17"/>
  <c r="J63" i="17"/>
  <c r="E68" i="17"/>
  <c r="F68" i="17"/>
  <c r="G68" i="17"/>
  <c r="H68" i="17"/>
  <c r="E69" i="17"/>
  <c r="F69" i="17"/>
  <c r="G69" i="17"/>
  <c r="H69" i="17"/>
  <c r="F72" i="17"/>
  <c r="G72" i="17"/>
  <c r="H72" i="17"/>
  <c r="I72" i="17"/>
  <c r="J72" i="17"/>
  <c r="E73" i="17"/>
  <c r="G73" i="17"/>
  <c r="E74" i="17"/>
  <c r="F74" i="17"/>
  <c r="G74" i="17"/>
  <c r="E135" i="17"/>
  <c r="F135" i="17"/>
  <c r="G135" i="17"/>
  <c r="E136" i="17"/>
  <c r="F136" i="17"/>
  <c r="G136" i="17"/>
  <c r="H136" i="17"/>
  <c r="E141" i="17"/>
  <c r="F141" i="17"/>
  <c r="E142" i="17"/>
  <c r="F142" i="17"/>
  <c r="K936" i="17"/>
  <c r="J936" i="17"/>
  <c r="I936" i="17"/>
  <c r="H936" i="17"/>
  <c r="G936" i="17"/>
  <c r="F936" i="17"/>
  <c r="E936" i="17"/>
  <c r="I941" i="17"/>
  <c r="K598" i="17"/>
  <c r="I598" i="17"/>
  <c r="H598" i="17"/>
  <c r="G598" i="17"/>
  <c r="F598" i="17"/>
  <c r="E598" i="17"/>
  <c r="K594" i="17"/>
  <c r="I594" i="17"/>
  <c r="H594" i="17"/>
  <c r="G594" i="17"/>
  <c r="F594" i="17"/>
  <c r="E594" i="17"/>
  <c r="K593" i="17"/>
  <c r="I593" i="17"/>
  <c r="H593" i="17"/>
  <c r="G593" i="17"/>
  <c r="F593" i="17"/>
  <c r="E593" i="17"/>
  <c r="K591" i="17"/>
  <c r="I591" i="17"/>
  <c r="H591" i="17"/>
  <c r="G591" i="17"/>
  <c r="F591" i="17"/>
  <c r="E591" i="17"/>
  <c r="K590" i="17"/>
  <c r="I590" i="17"/>
  <c r="H590" i="17"/>
  <c r="G590" i="17"/>
  <c r="F590" i="17"/>
  <c r="E590" i="17"/>
  <c r="I589" i="17"/>
  <c r="H589" i="17"/>
  <c r="G589" i="17"/>
  <c r="F589" i="17"/>
  <c r="E589" i="17"/>
  <c r="K588" i="17"/>
  <c r="I588" i="17"/>
  <c r="H588" i="17"/>
  <c r="G588" i="17"/>
  <c r="F588" i="17"/>
  <c r="E588" i="17"/>
  <c r="E584" i="17"/>
  <c r="K568" i="17"/>
  <c r="I568" i="17"/>
  <c r="H568" i="17"/>
  <c r="G568" i="17"/>
  <c r="F568" i="17"/>
  <c r="E568" i="17"/>
  <c r="K567" i="17"/>
  <c r="J567" i="17"/>
  <c r="I567" i="17"/>
  <c r="H567" i="17"/>
  <c r="G567" i="17"/>
  <c r="F567" i="17"/>
  <c r="E567" i="17"/>
  <c r="K554" i="17"/>
  <c r="I554" i="17"/>
  <c r="H554" i="17"/>
  <c r="G554" i="17"/>
  <c r="F554" i="17"/>
  <c r="E554" i="17"/>
  <c r="E552" i="17"/>
  <c r="E1026" i="17" s="1"/>
  <c r="K550" i="17"/>
  <c r="K576" i="17" s="1"/>
  <c r="I550" i="17"/>
  <c r="I576" i="17" s="1"/>
  <c r="H550" i="17"/>
  <c r="H576" i="17" s="1"/>
  <c r="G550" i="17"/>
  <c r="G576" i="17" s="1"/>
  <c r="F550" i="17"/>
  <c r="F576" i="17" s="1"/>
  <c r="E550" i="17"/>
  <c r="E576" i="17" s="1"/>
  <c r="K549" i="17"/>
  <c r="I549" i="17"/>
  <c r="H549" i="17"/>
  <c r="G549" i="17"/>
  <c r="F549" i="17"/>
  <c r="E549" i="17"/>
  <c r="I548" i="17"/>
  <c r="H548" i="17"/>
  <c r="G548" i="17"/>
  <c r="F548" i="17"/>
  <c r="E548" i="17"/>
  <c r="K547" i="17"/>
  <c r="I547" i="17"/>
  <c r="H547" i="17"/>
  <c r="G547" i="17"/>
  <c r="F547" i="17"/>
  <c r="E547" i="17"/>
  <c r="K253" i="17"/>
  <c r="I253" i="17"/>
  <c r="H253" i="17"/>
  <c r="G253" i="17"/>
  <c r="F253" i="17"/>
  <c r="E253" i="17"/>
  <c r="K252" i="17"/>
  <c r="I252" i="17"/>
  <c r="H252" i="17"/>
  <c r="G252" i="17"/>
  <c r="F252" i="17"/>
  <c r="E252" i="17"/>
  <c r="K245" i="17"/>
  <c r="I245" i="17"/>
  <c r="H245" i="17"/>
  <c r="G245" i="17"/>
  <c r="F245" i="17"/>
  <c r="E245" i="17"/>
  <c r="K244" i="17"/>
  <c r="I244" i="17"/>
  <c r="H244" i="17"/>
  <c r="G244" i="17"/>
  <c r="F244" i="17"/>
  <c r="E244" i="17"/>
  <c r="K230" i="17"/>
  <c r="J230" i="17"/>
  <c r="I230" i="17"/>
  <c r="H230" i="17"/>
  <c r="G230" i="17"/>
  <c r="F230" i="17"/>
  <c r="E230" i="17"/>
  <c r="K205" i="17"/>
  <c r="K188" i="17"/>
  <c r="K443" i="17" s="1"/>
  <c r="I188" i="17"/>
  <c r="I443" i="17" s="1"/>
  <c r="H188" i="17"/>
  <c r="H443" i="17" s="1"/>
  <c r="G188" i="17"/>
  <c r="F188" i="17"/>
  <c r="F443" i="17" s="1"/>
  <c r="E188" i="17"/>
  <c r="E443" i="17" s="1"/>
  <c r="K187" i="17"/>
  <c r="K442" i="17" s="1"/>
  <c r="I187" i="17"/>
  <c r="I442" i="17" s="1"/>
  <c r="H187" i="17"/>
  <c r="H442" i="17" s="1"/>
  <c r="G187" i="17"/>
  <c r="F187" i="17"/>
  <c r="F442" i="17" s="1"/>
  <c r="E187" i="17"/>
  <c r="E442" i="17" s="1"/>
  <c r="G176" i="17"/>
  <c r="A1" i="17"/>
  <c r="E364" i="17" l="1"/>
  <c r="E379" i="17"/>
  <c r="F54" i="40"/>
  <c r="F400" i="17" s="1"/>
  <c r="AA107" i="17"/>
  <c r="AA113" i="17" s="1"/>
  <c r="Z107" i="17"/>
  <c r="Z113" i="17" s="1"/>
  <c r="Y107" i="17"/>
  <c r="Y113" i="17" s="1"/>
  <c r="X107" i="17"/>
  <c r="X113" i="17" s="1"/>
  <c r="J22" i="17"/>
  <c r="K826" i="17"/>
  <c r="K21" i="38" s="1"/>
  <c r="E59" i="42"/>
  <c r="E48" i="42"/>
  <c r="E60" i="42"/>
  <c r="E49" i="42"/>
  <c r="F946" i="17"/>
  <c r="E1036" i="17"/>
  <c r="G448" i="17"/>
  <c r="G828" i="17"/>
  <c r="I861" i="17" s="1"/>
  <c r="F149" i="43" s="1"/>
  <c r="K31" i="38"/>
  <c r="H154" i="26"/>
  <c r="K154" i="26"/>
  <c r="E1001" i="17"/>
  <c r="C40" i="25" s="1"/>
  <c r="E1015" i="17"/>
  <c r="E995" i="17"/>
  <c r="C34" i="25" s="1"/>
  <c r="G190" i="17"/>
  <c r="G442" i="17"/>
  <c r="K446" i="17"/>
  <c r="G191" i="17"/>
  <c r="G443" i="17"/>
  <c r="F924" i="17"/>
  <c r="F78" i="38" s="1"/>
  <c r="G924" i="17"/>
  <c r="G78" i="38" s="1"/>
  <c r="H924" i="17"/>
  <c r="H78" i="38" s="1"/>
  <c r="I924" i="17"/>
  <c r="I78" i="38" s="1"/>
  <c r="K924" i="17"/>
  <c r="K78" i="38" s="1"/>
  <c r="K207" i="17"/>
  <c r="E191" i="17"/>
  <c r="E190" i="17"/>
  <c r="E207" i="17"/>
  <c r="F207" i="17"/>
  <c r="H207" i="17"/>
  <c r="I207" i="17"/>
  <c r="F152" i="17"/>
  <c r="E145" i="17"/>
  <c r="K142" i="26"/>
  <c r="K37" i="37"/>
  <c r="H144" i="26"/>
  <c r="H49" i="37"/>
  <c r="K145" i="26"/>
  <c r="H142" i="26"/>
  <c r="H37" i="37"/>
  <c r="F144" i="26"/>
  <c r="F49" i="37"/>
  <c r="I145" i="26"/>
  <c r="K146" i="26"/>
  <c r="G144" i="26"/>
  <c r="G49" i="37"/>
  <c r="G142" i="26"/>
  <c r="G37" i="37"/>
  <c r="E144" i="26"/>
  <c r="E49" i="37"/>
  <c r="H145" i="26"/>
  <c r="I146" i="26"/>
  <c r="F142" i="26"/>
  <c r="F37" i="37"/>
  <c r="G145" i="26"/>
  <c r="H146" i="26"/>
  <c r="I142" i="26"/>
  <c r="I37" i="37"/>
  <c r="E142" i="26"/>
  <c r="E37" i="37"/>
  <c r="F145" i="26"/>
  <c r="G146" i="26"/>
  <c r="K144" i="26"/>
  <c r="K49" i="37"/>
  <c r="E145" i="26"/>
  <c r="F146" i="26"/>
  <c r="I144" i="26"/>
  <c r="I49" i="37"/>
  <c r="E146" i="26"/>
  <c r="M112" i="17"/>
  <c r="M124" i="17"/>
  <c r="U112" i="17"/>
  <c r="U124" i="17"/>
  <c r="N112" i="17"/>
  <c r="N124" i="17"/>
  <c r="V112" i="17"/>
  <c r="V124" i="17"/>
  <c r="O117" i="17"/>
  <c r="O124" i="17"/>
  <c r="P112" i="17"/>
  <c r="P124" i="17"/>
  <c r="E118" i="17"/>
  <c r="E125" i="17"/>
  <c r="Q112" i="17"/>
  <c r="Q124" i="17"/>
  <c r="R112" i="17"/>
  <c r="R124" i="17"/>
  <c r="K112" i="17"/>
  <c r="K114" i="17" s="1"/>
  <c r="K124" i="17"/>
  <c r="S112" i="17"/>
  <c r="S124" i="17"/>
  <c r="L112" i="17"/>
  <c r="L124" i="17"/>
  <c r="T112" i="17"/>
  <c r="T124" i="17"/>
  <c r="E63" i="17"/>
  <c r="E56" i="17"/>
  <c r="T63" i="17"/>
  <c r="T64" i="17" s="1"/>
  <c r="T56" i="17"/>
  <c r="F945" i="17"/>
  <c r="F935" i="17"/>
  <c r="G935" i="17"/>
  <c r="E1012" i="17"/>
  <c r="E1013" i="17"/>
  <c r="E1008" i="17"/>
  <c r="E1009" i="17"/>
  <c r="E998" i="17"/>
  <c r="C37" i="25" s="1"/>
  <c r="H153" i="26"/>
  <c r="E15" i="17"/>
  <c r="F230" i="1"/>
  <c r="G231" i="1" s="1"/>
  <c r="G486" i="17" s="1"/>
  <c r="G95" i="26"/>
  <c r="G101" i="26" s="1"/>
  <c r="I153" i="26"/>
  <c r="K153" i="26"/>
  <c r="E153" i="26"/>
  <c r="F153" i="26"/>
  <c r="G153" i="26"/>
  <c r="E103" i="17"/>
  <c r="E487" i="17" s="1"/>
  <c r="F154" i="17"/>
  <c r="E180" i="17"/>
  <c r="L147" i="17"/>
  <c r="U147" i="17"/>
  <c r="T147" i="17"/>
  <c r="M147" i="17"/>
  <c r="V147" i="17"/>
  <c r="N147" i="17"/>
  <c r="S147" i="17"/>
  <c r="K147" i="17"/>
  <c r="R147" i="17"/>
  <c r="Q147" i="17"/>
  <c r="P147" i="17"/>
  <c r="O147" i="17"/>
  <c r="V130" i="17"/>
  <c r="V132" i="17" s="1"/>
  <c r="O130" i="17"/>
  <c r="O132" i="17" s="1"/>
  <c r="N130" i="17"/>
  <c r="N132" i="17" s="1"/>
  <c r="U130" i="17"/>
  <c r="U132" i="17" s="1"/>
  <c r="M130" i="17"/>
  <c r="M132" i="17" s="1"/>
  <c r="T130" i="17"/>
  <c r="T132" i="17" s="1"/>
  <c r="L130" i="17"/>
  <c r="L132" i="17" s="1"/>
  <c r="S130" i="17"/>
  <c r="S132" i="17" s="1"/>
  <c r="K130" i="17"/>
  <c r="K132" i="17" s="1"/>
  <c r="R130" i="17"/>
  <c r="R132" i="17" s="1"/>
  <c r="Q130" i="17"/>
  <c r="Q132" i="17" s="1"/>
  <c r="P130" i="17"/>
  <c r="P132" i="17" s="1"/>
  <c r="F204" i="17"/>
  <c r="O112" i="17"/>
  <c r="V117" i="17"/>
  <c r="N117" i="17"/>
  <c r="U117" i="17"/>
  <c r="M117" i="17"/>
  <c r="T117" i="17"/>
  <c r="L117" i="17"/>
  <c r="S117" i="17"/>
  <c r="K117" i="17"/>
  <c r="R117" i="17"/>
  <c r="Q117" i="17"/>
  <c r="P117" i="17"/>
  <c r="E166" i="17"/>
  <c r="Q174" i="1"/>
  <c r="Q51" i="17" s="1"/>
  <c r="Q53" i="17" s="1"/>
  <c r="F255" i="1"/>
  <c r="F262" i="1" s="1"/>
  <c r="AL174" i="1"/>
  <c r="AL51" i="17" s="1"/>
  <c r="AL53" i="17" s="1"/>
  <c r="AO174" i="1"/>
  <c r="AO51" i="17" s="1"/>
  <c r="AO53" i="17" s="1"/>
  <c r="AG174" i="1"/>
  <c r="AG51" i="17" s="1"/>
  <c r="AG53" i="17" s="1"/>
  <c r="I253" i="1"/>
  <c r="N174" i="1"/>
  <c r="N51" i="17" s="1"/>
  <c r="N53" i="17" s="1"/>
  <c r="X53" i="17"/>
  <c r="AT174" i="1"/>
  <c r="AT51" i="17" s="1"/>
  <c r="AT53" i="17" s="1"/>
  <c r="AS174" i="1"/>
  <c r="AS51" i="17" s="1"/>
  <c r="AS53" i="17" s="1"/>
  <c r="V174" i="1"/>
  <c r="V51" i="17" s="1"/>
  <c r="V53" i="17" s="1"/>
  <c r="G295" i="1"/>
  <c r="G101" i="17" s="1"/>
  <c r="I295" i="1"/>
  <c r="I101" i="17" s="1"/>
  <c r="X265" i="1"/>
  <c r="X287" i="1" s="1"/>
  <c r="W265" i="1"/>
  <c r="W287" i="1" s="1"/>
  <c r="U280" i="1"/>
  <c r="AC280" i="1"/>
  <c r="Y53" i="17"/>
  <c r="AK280" i="1"/>
  <c r="AS280" i="1"/>
  <c r="AA53" i="17"/>
  <c r="AD174" i="1"/>
  <c r="AD51" i="17" s="1"/>
  <c r="AD53" i="17" s="1"/>
  <c r="Z53" i="17"/>
  <c r="Y174" i="1"/>
  <c r="Y265" i="1"/>
  <c r="Y287" i="1" s="1"/>
  <c r="M280" i="1"/>
  <c r="E295" i="1"/>
  <c r="E101" i="17" s="1"/>
  <c r="F295" i="1"/>
  <c r="F101" i="17" s="1"/>
  <c r="H295" i="1"/>
  <c r="H101" i="17" s="1"/>
  <c r="AV174" i="1"/>
  <c r="AV51" i="17" s="1"/>
  <c r="AV53" i="17" s="1"/>
  <c r="AN174" i="1"/>
  <c r="AN51" i="17" s="1"/>
  <c r="AN53" i="17" s="1"/>
  <c r="AF174" i="1"/>
  <c r="AF51" i="17" s="1"/>
  <c r="AF53" i="17" s="1"/>
  <c r="X174" i="1"/>
  <c r="P174" i="1"/>
  <c r="E280" i="1"/>
  <c r="N280" i="1"/>
  <c r="V280" i="1"/>
  <c r="AD280" i="1"/>
  <c r="AL280" i="1"/>
  <c r="AT280" i="1"/>
  <c r="J295" i="1"/>
  <c r="J101" i="17" s="1"/>
  <c r="AU174" i="1"/>
  <c r="AU51" i="17" s="1"/>
  <c r="AU53" i="17" s="1"/>
  <c r="AM174" i="1"/>
  <c r="AM51" i="17" s="1"/>
  <c r="AM53" i="17" s="1"/>
  <c r="AE174" i="1"/>
  <c r="AE51" i="17" s="1"/>
  <c r="AE53" i="17" s="1"/>
  <c r="W174" i="1"/>
  <c r="W51" i="17" s="1"/>
  <c r="W53" i="17" s="1"/>
  <c r="O174" i="1"/>
  <c r="O51" i="17" s="1"/>
  <c r="O53" i="17" s="1"/>
  <c r="O280" i="1"/>
  <c r="W280" i="1"/>
  <c r="AE280" i="1"/>
  <c r="AM280" i="1"/>
  <c r="AU280" i="1"/>
  <c r="K295" i="1"/>
  <c r="K101" i="17" s="1"/>
  <c r="G280" i="1"/>
  <c r="G281" i="1" s="1"/>
  <c r="AF280" i="1"/>
  <c r="AN280" i="1"/>
  <c r="AV280" i="1"/>
  <c r="AK174" i="1"/>
  <c r="AK51" i="17" s="1"/>
  <c r="AK53" i="17" s="1"/>
  <c r="AC174" i="1"/>
  <c r="AC51" i="17" s="1"/>
  <c r="AC53" i="17" s="1"/>
  <c r="U174" i="1"/>
  <c r="M174" i="1"/>
  <c r="M51" i="17" s="1"/>
  <c r="M53" i="17" s="1"/>
  <c r="Z265" i="1"/>
  <c r="Z287" i="1" s="1"/>
  <c r="Q280" i="1"/>
  <c r="Y280" i="1"/>
  <c r="AG280" i="1"/>
  <c r="AO280" i="1"/>
  <c r="AR174" i="1"/>
  <c r="AR51" i="17" s="1"/>
  <c r="AR53" i="17" s="1"/>
  <c r="AJ174" i="1"/>
  <c r="AJ51" i="17" s="1"/>
  <c r="AJ53" i="17" s="1"/>
  <c r="AB174" i="1"/>
  <c r="T174" i="1"/>
  <c r="L174" i="1"/>
  <c r="L51" i="17" s="1"/>
  <c r="L53" i="17" s="1"/>
  <c r="Z280" i="1"/>
  <c r="AP280" i="1"/>
  <c r="AQ174" i="1"/>
  <c r="AQ51" i="17" s="1"/>
  <c r="AQ53" i="17" s="1"/>
  <c r="AI174" i="1"/>
  <c r="AI51" i="17" s="1"/>
  <c r="AI53" i="17" s="1"/>
  <c r="AA174" i="1"/>
  <c r="S174" i="1"/>
  <c r="AA280" i="1"/>
  <c r="AI280" i="1"/>
  <c r="AQ280" i="1"/>
  <c r="AP174" i="1"/>
  <c r="AP51" i="17" s="1"/>
  <c r="AP53" i="17" s="1"/>
  <c r="AH174" i="1"/>
  <c r="AH51" i="17" s="1"/>
  <c r="AH53" i="17" s="1"/>
  <c r="Z174" i="1"/>
  <c r="L280" i="1"/>
  <c r="T280" i="1"/>
  <c r="AB280" i="1"/>
  <c r="AJ280" i="1"/>
  <c r="AR280" i="1"/>
  <c r="S51" i="17"/>
  <c r="S53" i="17" s="1"/>
  <c r="U51" i="17"/>
  <c r="U53" i="17" s="1"/>
  <c r="P51" i="17"/>
  <c r="P53" i="17" s="1"/>
  <c r="R51" i="17"/>
  <c r="R53" i="17" s="1"/>
  <c r="I52" i="17"/>
  <c r="G166" i="17"/>
  <c r="I204" i="17"/>
  <c r="K204" i="17"/>
  <c r="E64" i="17"/>
  <c r="E85" i="17" s="1"/>
  <c r="E79" i="17"/>
  <c r="F172" i="17"/>
  <c r="F86" i="17"/>
  <c r="J91" i="17" s="1"/>
  <c r="U63" i="17"/>
  <c r="U64" i="17" s="1"/>
  <c r="AE195" i="1"/>
  <c r="AE223" i="1" s="1"/>
  <c r="AF223" i="1" s="1"/>
  <c r="AG223" i="1" s="1"/>
  <c r="AH223" i="1" s="1"/>
  <c r="AI223" i="1" s="1"/>
  <c r="AJ223" i="1" s="1"/>
  <c r="AK223" i="1" s="1"/>
  <c r="AL223" i="1" s="1"/>
  <c r="AM223" i="1" s="1"/>
  <c r="AN223" i="1" s="1"/>
  <c r="AO223" i="1" s="1"/>
  <c r="AP223" i="1" s="1"/>
  <c r="AQ223" i="1" s="1"/>
  <c r="AR223" i="1" s="1"/>
  <c r="AS223" i="1" s="1"/>
  <c r="AT223" i="1" s="1"/>
  <c r="AU223" i="1" s="1"/>
  <c r="AV223" i="1" s="1"/>
  <c r="AH11" i="1"/>
  <c r="R11" i="1"/>
  <c r="S11" i="1"/>
  <c r="AU216" i="1"/>
  <c r="AS216" i="1"/>
  <c r="AO216" i="1"/>
  <c r="AK216" i="1"/>
  <c r="AM216" i="1"/>
  <c r="X11" i="1"/>
  <c r="P11" i="1"/>
  <c r="AR216" i="1"/>
  <c r="AJ216" i="1"/>
  <c r="AQ216" i="1"/>
  <c r="AI216" i="1"/>
  <c r="S216" i="1"/>
  <c r="AE11" i="1"/>
  <c r="O11" i="1"/>
  <c r="AP216" i="1"/>
  <c r="AH216" i="1"/>
  <c r="R216" i="1"/>
  <c r="AV216" i="1"/>
  <c r="AN216" i="1"/>
  <c r="X216" i="1"/>
  <c r="P216" i="1"/>
  <c r="AT216" i="1"/>
  <c r="AL216" i="1"/>
  <c r="AB11" i="1"/>
  <c r="T11" i="1"/>
  <c r="AA11" i="1"/>
  <c r="AQ11" i="1"/>
  <c r="AF11" i="1"/>
  <c r="W11" i="1"/>
  <c r="AD11" i="1"/>
  <c r="V11" i="1"/>
  <c r="N11" i="1"/>
  <c r="AG11" i="1"/>
  <c r="Y11" i="1"/>
  <c r="Q11" i="1"/>
  <c r="Z11" i="1"/>
  <c r="AI11" i="1"/>
  <c r="AC11" i="1"/>
  <c r="U11" i="1"/>
  <c r="M11" i="1"/>
  <c r="AP11" i="1"/>
  <c r="AO11" i="1"/>
  <c r="AJ11" i="1"/>
  <c r="AR11" i="1"/>
  <c r="AK11" i="1"/>
  <c r="AS11" i="1"/>
  <c r="AL11" i="1"/>
  <c r="AT11" i="1"/>
  <c r="AM11" i="1"/>
  <c r="AU11" i="1"/>
  <c r="AN11" i="1"/>
  <c r="S72" i="17"/>
  <c r="S63" i="17"/>
  <c r="S64" i="17" s="1"/>
  <c r="V63" i="17"/>
  <c r="V64" i="17" s="1"/>
  <c r="V72" i="17"/>
  <c r="N72" i="17"/>
  <c r="M63" i="17"/>
  <c r="M64" i="17" s="1"/>
  <c r="R72" i="17"/>
  <c r="R63" i="17"/>
  <c r="R64" i="17" s="1"/>
  <c r="F143" i="17"/>
  <c r="E72" i="17"/>
  <c r="L63" i="17"/>
  <c r="L64" i="17" s="1"/>
  <c r="K53" i="17"/>
  <c r="O63" i="17"/>
  <c r="O64" i="17" s="1"/>
  <c r="F137" i="17"/>
  <c r="F70" i="17"/>
  <c r="F73" i="17" s="1"/>
  <c r="P63" i="17"/>
  <c r="P64" i="17" s="1"/>
  <c r="P72" i="17"/>
  <c r="Q72" i="17"/>
  <c r="Q63" i="17"/>
  <c r="Q64" i="17" s="1"/>
  <c r="U72" i="17"/>
  <c r="T72" i="17"/>
  <c r="K589" i="17"/>
  <c r="K548" i="17"/>
  <c r="I136" i="1"/>
  <c r="I69" i="17" s="1"/>
  <c r="I135" i="1"/>
  <c r="I68" i="17" s="1"/>
  <c r="G1011" i="17" l="1"/>
  <c r="G1014" i="17"/>
  <c r="U79" i="17"/>
  <c r="P79" i="17"/>
  <c r="Q79" i="17"/>
  <c r="T79" i="17"/>
  <c r="S79" i="17"/>
  <c r="R79" i="17"/>
  <c r="V79" i="17"/>
  <c r="N79" i="17"/>
  <c r="G820" i="17"/>
  <c r="I853" i="17" s="1"/>
  <c r="F141" i="43" s="1"/>
  <c r="J13" i="38"/>
  <c r="G961" i="17"/>
  <c r="G23" i="38"/>
  <c r="E55" i="42"/>
  <c r="E43" i="42"/>
  <c r="E52" i="42"/>
  <c r="E40" i="42"/>
  <c r="E58" i="42"/>
  <c r="E46" i="42"/>
  <c r="E81" i="42"/>
  <c r="O950" i="17"/>
  <c r="O974" i="17" s="1"/>
  <c r="O993" i="17"/>
  <c r="E944" i="17"/>
  <c r="E999" i="17"/>
  <c r="C38" i="25" s="1"/>
  <c r="E924" i="17"/>
  <c r="E78" i="38" s="1"/>
  <c r="G1012" i="17"/>
  <c r="G1015" i="17"/>
  <c r="E154" i="17"/>
  <c r="E159" i="17" s="1"/>
  <c r="E148" i="17"/>
  <c r="E119" i="17"/>
  <c r="E152" i="17"/>
  <c r="E126" i="17"/>
  <c r="E153" i="17"/>
  <c r="N125" i="17"/>
  <c r="L125" i="17"/>
  <c r="O125" i="17"/>
  <c r="Q125" i="17"/>
  <c r="R125" i="17"/>
  <c r="U125" i="17"/>
  <c r="S125" i="17"/>
  <c r="P125" i="17"/>
  <c r="V125" i="17"/>
  <c r="M125" i="17"/>
  <c r="T125" i="17"/>
  <c r="E112" i="17"/>
  <c r="E124" i="17"/>
  <c r="K63" i="17"/>
  <c r="K56" i="17"/>
  <c r="G1009" i="17"/>
  <c r="G1008" i="17"/>
  <c r="G1013" i="17"/>
  <c r="G1010" i="17"/>
  <c r="F231" i="1"/>
  <c r="I231" i="1"/>
  <c r="J231" i="1"/>
  <c r="K231" i="1"/>
  <c r="H231" i="1"/>
  <c r="E231" i="1"/>
  <c r="E130" i="17"/>
  <c r="E117" i="17"/>
  <c r="E147" i="17"/>
  <c r="G91" i="17"/>
  <c r="H91" i="17"/>
  <c r="I91" i="17"/>
  <c r="H159" i="17"/>
  <c r="G159" i="17"/>
  <c r="J159" i="17"/>
  <c r="I159" i="17"/>
  <c r="J172" i="17"/>
  <c r="J54" i="26"/>
  <c r="G14" i="26"/>
  <c r="G180" i="17"/>
  <c r="G207" i="17"/>
  <c r="L138" i="17"/>
  <c r="L145" i="17" s="1"/>
  <c r="O138" i="17"/>
  <c r="O145" i="17" s="1"/>
  <c r="Q138" i="17"/>
  <c r="Q145" i="17" s="1"/>
  <c r="T138" i="17"/>
  <c r="T145" i="17" s="1"/>
  <c r="V138" i="17"/>
  <c r="V145" i="17" s="1"/>
  <c r="S138" i="17"/>
  <c r="S145" i="17" s="1"/>
  <c r="P138" i="17"/>
  <c r="P145" i="17" s="1"/>
  <c r="N138" i="17"/>
  <c r="N145" i="17" s="1"/>
  <c r="R138" i="17"/>
  <c r="R145" i="17" s="1"/>
  <c r="M138" i="17"/>
  <c r="M145" i="17" s="1"/>
  <c r="U138" i="17"/>
  <c r="U145" i="17" s="1"/>
  <c r="AB113" i="17"/>
  <c r="Q113" i="17"/>
  <c r="Q114" i="17" s="1"/>
  <c r="AJ113" i="17"/>
  <c r="P113" i="17"/>
  <c r="P114" i="17" s="1"/>
  <c r="AU113" i="17"/>
  <c r="AM113" i="17"/>
  <c r="AR113" i="17"/>
  <c r="M113" i="17"/>
  <c r="AF113" i="17"/>
  <c r="AG113" i="17"/>
  <c r="AI113" i="17"/>
  <c r="V113" i="17"/>
  <c r="AC113" i="17"/>
  <c r="AV113" i="17"/>
  <c r="S113" i="17"/>
  <c r="AQ113" i="17"/>
  <c r="AD113" i="17"/>
  <c r="AK113" i="17"/>
  <c r="O113" i="17"/>
  <c r="R113" i="17"/>
  <c r="R114" i="17" s="1"/>
  <c r="N113" i="17"/>
  <c r="N114" i="17" s="1"/>
  <c r="U113" i="17"/>
  <c r="AN113" i="17"/>
  <c r="AO113" i="17"/>
  <c r="L113" i="17"/>
  <c r="L114" i="17" s="1"/>
  <c r="AL113" i="17"/>
  <c r="AS113" i="17"/>
  <c r="W113" i="17"/>
  <c r="AH113" i="17"/>
  <c r="T113" i="17"/>
  <c r="AT113" i="17"/>
  <c r="AE113" i="17"/>
  <c r="AP113" i="17"/>
  <c r="E65" i="17"/>
  <c r="T51" i="17"/>
  <c r="T53" i="17" s="1"/>
  <c r="AB51" i="17"/>
  <c r="AB53" i="17" s="1"/>
  <c r="G40" i="17"/>
  <c r="E86" i="17"/>
  <c r="K72" i="17"/>
  <c r="K79" i="17" s="1"/>
  <c r="L72" i="17"/>
  <c r="L79" i="17" s="1"/>
  <c r="O72" i="17"/>
  <c r="O79" i="17" s="1"/>
  <c r="N63" i="17"/>
  <c r="N64" i="17" s="1"/>
  <c r="M72" i="17"/>
  <c r="M79" i="17" s="1"/>
  <c r="K138" i="17"/>
  <c r="K145" i="17" s="1"/>
  <c r="U153" i="17" l="1"/>
  <c r="F40" i="17"/>
  <c r="F486" i="17"/>
  <c r="E40" i="17"/>
  <c r="E486" i="17"/>
  <c r="H40" i="17"/>
  <c r="H486" i="17"/>
  <c r="K40" i="17"/>
  <c r="K486" i="17"/>
  <c r="J40" i="17"/>
  <c r="J486" i="17"/>
  <c r="I40" i="17"/>
  <c r="I486" i="17"/>
  <c r="G10" i="38"/>
  <c r="G952" i="17"/>
  <c r="E21" i="25" s="1"/>
  <c r="G29" i="42" s="1"/>
  <c r="I13" i="38"/>
  <c r="H13" i="38"/>
  <c r="G13" i="38"/>
  <c r="E14" i="38"/>
  <c r="I14" i="38"/>
  <c r="J14" i="38"/>
  <c r="G14" i="38"/>
  <c r="H14" i="38"/>
  <c r="L86" i="17"/>
  <c r="E56" i="42"/>
  <c r="E44" i="42"/>
  <c r="E1010" i="17"/>
  <c r="E996" i="17"/>
  <c r="C35" i="25" s="1"/>
  <c r="I54" i="26"/>
  <c r="H172" i="17"/>
  <c r="G54" i="26"/>
  <c r="T154" i="17"/>
  <c r="U154" i="17"/>
  <c r="S154" i="17"/>
  <c r="S114" i="17"/>
  <c r="S118" i="17"/>
  <c r="T126" i="17"/>
  <c r="T153" i="17"/>
  <c r="O126" i="17"/>
  <c r="O153" i="17"/>
  <c r="M126" i="17"/>
  <c r="M153" i="17"/>
  <c r="U126" i="17"/>
  <c r="P126" i="17"/>
  <c r="P153" i="17"/>
  <c r="N126" i="17"/>
  <c r="N153" i="17"/>
  <c r="S126" i="17"/>
  <c r="S153" i="17"/>
  <c r="Q126" i="17"/>
  <c r="Q153" i="17"/>
  <c r="V126" i="17"/>
  <c r="V153" i="17"/>
  <c r="L126" i="17"/>
  <c r="L153" i="17"/>
  <c r="R126" i="17"/>
  <c r="R153" i="17"/>
  <c r="E91" i="17"/>
  <c r="G172" i="17"/>
  <c r="H54" i="26"/>
  <c r="I172" i="17"/>
  <c r="H55" i="26"/>
  <c r="H182" i="17"/>
  <c r="I182" i="17"/>
  <c r="I55" i="26"/>
  <c r="J182" i="17"/>
  <c r="J55" i="26"/>
  <c r="E55" i="26"/>
  <c r="E182" i="17"/>
  <c r="G55" i="26"/>
  <c r="G182" i="17"/>
  <c r="K154" i="17"/>
  <c r="P86" i="17"/>
  <c r="O86" i="17"/>
  <c r="V86" i="17"/>
  <c r="R86" i="17"/>
  <c r="S86" i="17"/>
  <c r="T86" i="17"/>
  <c r="M86" i="17"/>
  <c r="N86" i="17"/>
  <c r="Q86" i="17"/>
  <c r="U86" i="17"/>
  <c r="T148" i="17"/>
  <c r="U148" i="17"/>
  <c r="S148" i="17"/>
  <c r="V154" i="17"/>
  <c r="M114" i="17"/>
  <c r="M154" i="17"/>
  <c r="P154" i="17"/>
  <c r="L154" i="17"/>
  <c r="N154" i="17"/>
  <c r="O154" i="17"/>
  <c r="R154" i="17"/>
  <c r="Q154" i="17"/>
  <c r="U114" i="17"/>
  <c r="V114" i="17"/>
  <c r="T114" i="17"/>
  <c r="O114" i="17"/>
  <c r="F54" i="17"/>
  <c r="U57" i="17" s="1"/>
  <c r="T65" i="17"/>
  <c r="T85" i="17"/>
  <c r="R65" i="17"/>
  <c r="R85" i="17"/>
  <c r="L65" i="17"/>
  <c r="L85" i="17"/>
  <c r="Q65" i="17"/>
  <c r="Q85" i="17"/>
  <c r="U65" i="17"/>
  <c r="U85" i="17"/>
  <c r="V65" i="17"/>
  <c r="V85" i="17"/>
  <c r="K86" i="17"/>
  <c r="M65" i="17"/>
  <c r="M85" i="17"/>
  <c r="P65" i="17"/>
  <c r="P85" i="17"/>
  <c r="O65" i="17"/>
  <c r="O85" i="17"/>
  <c r="S65" i="17"/>
  <c r="S85" i="17"/>
  <c r="N65" i="17"/>
  <c r="N85" i="17"/>
  <c r="V80" i="17"/>
  <c r="O80" i="17"/>
  <c r="N80" i="17"/>
  <c r="R80" i="17"/>
  <c r="S80" i="17"/>
  <c r="T80" i="17"/>
  <c r="Q80" i="17"/>
  <c r="U80" i="17"/>
  <c r="P80" i="17"/>
  <c r="M80" i="17"/>
  <c r="G9" i="3"/>
  <c r="I9" i="3" s="1"/>
  <c r="G8" i="3"/>
  <c r="T57" i="17" l="1"/>
  <c r="T84" i="17" s="1"/>
  <c r="T91" i="17" s="1"/>
  <c r="U84" i="17"/>
  <c r="P57" i="17"/>
  <c r="S57" i="17"/>
  <c r="E13" i="38"/>
  <c r="L80" i="17"/>
  <c r="E41" i="42"/>
  <c r="E53" i="42"/>
  <c r="E54" i="26"/>
  <c r="S152" i="17"/>
  <c r="S159" i="17" s="1"/>
  <c r="K64" i="17"/>
  <c r="K85" i="17" s="1"/>
  <c r="Q57" i="17"/>
  <c r="N57" i="17"/>
  <c r="L57" i="17"/>
  <c r="R57" i="17"/>
  <c r="O57" i="17"/>
  <c r="V57" i="17"/>
  <c r="M57" i="17"/>
  <c r="K57" i="17"/>
  <c r="E172" i="17"/>
  <c r="U91" i="17"/>
  <c r="P91" i="17"/>
  <c r="S91" i="17"/>
  <c r="S119" i="17"/>
  <c r="V148" i="17"/>
  <c r="R148" i="17"/>
  <c r="N148" i="17"/>
  <c r="Q148" i="17"/>
  <c r="P148" i="17"/>
  <c r="O148" i="17"/>
  <c r="L148" i="17"/>
  <c r="M148" i="17"/>
  <c r="G10" i="3"/>
  <c r="I10" i="3" s="1"/>
  <c r="G11" i="3"/>
  <c r="I11" i="3" s="1"/>
  <c r="I8" i="3"/>
  <c r="S84" i="17" l="1"/>
  <c r="P84" i="17"/>
  <c r="U13" i="38"/>
  <c r="T13" i="38"/>
  <c r="P13" i="38"/>
  <c r="S13" i="38"/>
  <c r="S14" i="38"/>
  <c r="P172" i="17"/>
  <c r="U54" i="26"/>
  <c r="S182" i="17"/>
  <c r="T172" i="17"/>
  <c r="S172" i="17"/>
  <c r="L84" i="17"/>
  <c r="L91" i="17" s="1"/>
  <c r="L172" i="17" s="1"/>
  <c r="K84" i="17"/>
  <c r="K91" i="17" s="1"/>
  <c r="N84" i="17"/>
  <c r="N91" i="17" s="1"/>
  <c r="N13" i="38" s="1"/>
  <c r="Q84" i="17"/>
  <c r="Q91" i="17" s="1"/>
  <c r="Q13" i="38" s="1"/>
  <c r="M84" i="17"/>
  <c r="M91" i="17" s="1"/>
  <c r="M13" i="38" s="1"/>
  <c r="V84" i="17"/>
  <c r="V91" i="17" s="1"/>
  <c r="V13" i="38" s="1"/>
  <c r="O84" i="17"/>
  <c r="O91" i="17" s="1"/>
  <c r="O13" i="38" s="1"/>
  <c r="R84" i="17"/>
  <c r="R91" i="17" s="1"/>
  <c r="R13" i="38" s="1"/>
  <c r="S55" i="26"/>
  <c r="P54" i="26"/>
  <c r="S54" i="26"/>
  <c r="U172" i="17"/>
  <c r="T54" i="26"/>
  <c r="G12" i="3"/>
  <c r="G13" i="3"/>
  <c r="I13" i="3" s="1"/>
  <c r="G128" i="4"/>
  <c r="E128" i="4"/>
  <c r="E130" i="4"/>
  <c r="G131" i="4"/>
  <c r="F131" i="4"/>
  <c r="E131" i="4"/>
  <c r="G130" i="4"/>
  <c r="F130" i="4"/>
  <c r="AV125" i="4"/>
  <c r="AU125" i="4"/>
  <c r="AT125" i="4"/>
  <c r="AS125" i="4"/>
  <c r="AR125" i="4"/>
  <c r="AQ125" i="4"/>
  <c r="AP125" i="4"/>
  <c r="AO125" i="4"/>
  <c r="AN125" i="4"/>
  <c r="AM125" i="4"/>
  <c r="AL125" i="4"/>
  <c r="AK125" i="4"/>
  <c r="AJ125" i="4"/>
  <c r="AI125" i="4"/>
  <c r="AH125" i="4"/>
  <c r="AG125" i="4"/>
  <c r="AF125" i="4"/>
  <c r="AE125" i="4"/>
  <c r="AD125" i="4"/>
  <c r="AC125" i="4"/>
  <c r="AB125" i="4"/>
  <c r="AA125" i="4"/>
  <c r="Z125" i="4"/>
  <c r="Y125" i="4"/>
  <c r="X125" i="4"/>
  <c r="W125" i="4"/>
  <c r="V125" i="4"/>
  <c r="U125" i="4"/>
  <c r="T125" i="4"/>
  <c r="S125" i="4"/>
  <c r="R125" i="4"/>
  <c r="Q125" i="4"/>
  <c r="P125" i="4"/>
  <c r="O125" i="4"/>
  <c r="N125" i="4"/>
  <c r="M125" i="4"/>
  <c r="L125" i="4"/>
  <c r="K125" i="4"/>
  <c r="H125" i="4"/>
  <c r="G125" i="4"/>
  <c r="F125" i="4"/>
  <c r="AV124" i="4"/>
  <c r="AU124" i="4"/>
  <c r="AT124" i="4"/>
  <c r="AS124" i="4"/>
  <c r="AR124" i="4"/>
  <c r="AQ124" i="4"/>
  <c r="AP124" i="4"/>
  <c r="AO124" i="4"/>
  <c r="AN124" i="4"/>
  <c r="AM124" i="4"/>
  <c r="AL124" i="4"/>
  <c r="AK124" i="4"/>
  <c r="AJ124" i="4"/>
  <c r="AI124" i="4"/>
  <c r="AH124" i="4"/>
  <c r="AG124" i="4"/>
  <c r="AF124" i="4"/>
  <c r="AE124" i="4"/>
  <c r="AD124" i="4"/>
  <c r="AC124" i="4"/>
  <c r="AB124" i="4"/>
  <c r="AA124" i="4"/>
  <c r="Z124" i="4"/>
  <c r="Y124" i="4"/>
  <c r="X124" i="4"/>
  <c r="W124" i="4"/>
  <c r="V124" i="4"/>
  <c r="U124" i="4"/>
  <c r="T124" i="4"/>
  <c r="S124" i="4"/>
  <c r="R124" i="4"/>
  <c r="Q124" i="4"/>
  <c r="P124" i="4"/>
  <c r="O124" i="4"/>
  <c r="N124" i="4"/>
  <c r="M124" i="4"/>
  <c r="L124" i="4"/>
  <c r="K124" i="4"/>
  <c r="H124" i="4"/>
  <c r="G124" i="4"/>
  <c r="F124" i="4"/>
  <c r="AV123" i="4"/>
  <c r="AU123" i="4"/>
  <c r="AT123" i="4"/>
  <c r="AS123" i="4"/>
  <c r="AR123" i="4"/>
  <c r="AQ123" i="4"/>
  <c r="AP123" i="4"/>
  <c r="AO123" i="4"/>
  <c r="AN123" i="4"/>
  <c r="AM123" i="4"/>
  <c r="AL123" i="4"/>
  <c r="AK123" i="4"/>
  <c r="AJ123" i="4"/>
  <c r="AI123" i="4"/>
  <c r="AH123" i="4"/>
  <c r="AG123" i="4"/>
  <c r="AF123" i="4"/>
  <c r="AE123" i="4"/>
  <c r="AD123" i="4"/>
  <c r="AC123" i="4"/>
  <c r="AB123" i="4"/>
  <c r="AA123" i="4"/>
  <c r="Z123" i="4"/>
  <c r="Y123" i="4"/>
  <c r="X123" i="4"/>
  <c r="W123" i="4"/>
  <c r="V123" i="4"/>
  <c r="U123" i="4"/>
  <c r="T123" i="4"/>
  <c r="S123" i="4"/>
  <c r="R123" i="4"/>
  <c r="Q123" i="4"/>
  <c r="P123" i="4"/>
  <c r="O123" i="4"/>
  <c r="N123" i="4"/>
  <c r="M123" i="4"/>
  <c r="L123" i="4"/>
  <c r="K123" i="4"/>
  <c r="H123" i="4"/>
  <c r="G123" i="4"/>
  <c r="F123" i="4"/>
  <c r="AV122" i="4"/>
  <c r="AU122" i="4"/>
  <c r="AT122" i="4"/>
  <c r="AS122" i="4"/>
  <c r="AR122" i="4"/>
  <c r="AQ122" i="4"/>
  <c r="AP122" i="4"/>
  <c r="AO122" i="4"/>
  <c r="AN122" i="4"/>
  <c r="AM122" i="4"/>
  <c r="AL122" i="4"/>
  <c r="AK122" i="4"/>
  <c r="AJ122" i="4"/>
  <c r="AI122" i="4"/>
  <c r="AH122" i="4"/>
  <c r="AG122" i="4"/>
  <c r="AF122" i="4"/>
  <c r="AE122" i="4"/>
  <c r="AD122" i="4"/>
  <c r="AC122" i="4"/>
  <c r="AB122" i="4"/>
  <c r="AA122" i="4"/>
  <c r="Z122" i="4"/>
  <c r="Y122" i="4"/>
  <c r="X122" i="4"/>
  <c r="W122" i="4"/>
  <c r="V122" i="4"/>
  <c r="U122" i="4"/>
  <c r="T122" i="4"/>
  <c r="S122" i="4"/>
  <c r="R122" i="4"/>
  <c r="Q122" i="4"/>
  <c r="P122" i="4"/>
  <c r="O122" i="4"/>
  <c r="N122" i="4"/>
  <c r="M122" i="4"/>
  <c r="L122" i="4"/>
  <c r="K122" i="4"/>
  <c r="H122" i="4"/>
  <c r="G122" i="4"/>
  <c r="F122" i="4"/>
  <c r="AV121" i="4"/>
  <c r="AU121" i="4"/>
  <c r="AT121" i="4"/>
  <c r="AS121" i="4"/>
  <c r="AR121" i="4"/>
  <c r="AQ121" i="4"/>
  <c r="AP121" i="4"/>
  <c r="AO121" i="4"/>
  <c r="AN121" i="4"/>
  <c r="AM121" i="4"/>
  <c r="AL121" i="4"/>
  <c r="AK121" i="4"/>
  <c r="AJ121" i="4"/>
  <c r="AI121" i="4"/>
  <c r="AH121" i="4"/>
  <c r="AG121" i="4"/>
  <c r="AF121" i="4"/>
  <c r="AE121" i="4"/>
  <c r="AD121" i="4"/>
  <c r="AC121" i="4"/>
  <c r="AB121" i="4"/>
  <c r="AA121" i="4"/>
  <c r="Z121" i="4"/>
  <c r="Y121" i="4"/>
  <c r="X121" i="4"/>
  <c r="W121" i="4"/>
  <c r="V121" i="4"/>
  <c r="U121" i="4"/>
  <c r="T121" i="4"/>
  <c r="S121" i="4"/>
  <c r="R121" i="4"/>
  <c r="Q121" i="4"/>
  <c r="P121" i="4"/>
  <c r="O121" i="4"/>
  <c r="N121" i="4"/>
  <c r="M121" i="4"/>
  <c r="L121" i="4"/>
  <c r="K121" i="4"/>
  <c r="H121" i="4"/>
  <c r="G121" i="4"/>
  <c r="F121" i="4"/>
  <c r="E125" i="4"/>
  <c r="E124" i="4"/>
  <c r="E123" i="4"/>
  <c r="E122" i="4"/>
  <c r="E121" i="4"/>
  <c r="K13" i="38" l="1"/>
  <c r="K54" i="26"/>
  <c r="K172" i="17"/>
  <c r="V172" i="17"/>
  <c r="Q172" i="17"/>
  <c r="L54" i="26"/>
  <c r="O54" i="26"/>
  <c r="Q54" i="26"/>
  <c r="V54" i="26"/>
  <c r="M172" i="17"/>
  <c r="M54" i="26"/>
  <c r="L13" i="38"/>
  <c r="N54" i="26"/>
  <c r="O172" i="17"/>
  <c r="R172" i="17"/>
  <c r="R54" i="26"/>
  <c r="N172" i="17"/>
  <c r="F132" i="4"/>
  <c r="I12" i="3"/>
  <c r="G14" i="3"/>
  <c r="O126" i="4"/>
  <c r="W126" i="4"/>
  <c r="AE126" i="4"/>
  <c r="AM126" i="4"/>
  <c r="AU126" i="4"/>
  <c r="S126" i="4"/>
  <c r="AA126" i="4"/>
  <c r="AI126" i="4"/>
  <c r="AQ126" i="4"/>
  <c r="R126" i="4"/>
  <c r="Z126" i="4"/>
  <c r="AH126" i="4"/>
  <c r="AP126" i="4"/>
  <c r="N126" i="4"/>
  <c r="V126" i="4"/>
  <c r="AD126" i="4"/>
  <c r="AL126" i="4"/>
  <c r="AT126" i="4"/>
  <c r="P126" i="4"/>
  <c r="X126" i="4"/>
  <c r="AF126" i="4"/>
  <c r="AN126" i="4"/>
  <c r="AV126" i="4"/>
  <c r="M126" i="4"/>
  <c r="U126" i="4"/>
  <c r="AC126" i="4"/>
  <c r="AK126" i="4"/>
  <c r="AS126" i="4"/>
  <c r="L126" i="4"/>
  <c r="T126" i="4"/>
  <c r="AB126" i="4"/>
  <c r="AJ126" i="4"/>
  <c r="AR126" i="4"/>
  <c r="Q126" i="4"/>
  <c r="Y126" i="4"/>
  <c r="AG126" i="4"/>
  <c r="AO126" i="4"/>
  <c r="I14" i="3" l="1"/>
  <c r="G15" i="3"/>
  <c r="G16" i="3"/>
  <c r="I16" i="3" s="1"/>
  <c r="F128" i="4"/>
  <c r="J126" i="4"/>
  <c r="I15" i="3" l="1"/>
  <c r="G17" i="3"/>
  <c r="I17" i="3" s="1"/>
  <c r="N25" i="13"/>
  <c r="Y148" i="4"/>
  <c r="E121" i="12"/>
  <c r="F121" i="12"/>
  <c r="G121" i="12"/>
  <c r="H121" i="12"/>
  <c r="I121" i="12"/>
  <c r="K121" i="12"/>
  <c r="AV192" i="12"/>
  <c r="AU192" i="12"/>
  <c r="AT192" i="12"/>
  <c r="AS192" i="12"/>
  <c r="AR192" i="12"/>
  <c r="AQ192" i="12"/>
  <c r="AP192" i="12"/>
  <c r="AO192" i="12"/>
  <c r="AN192" i="12"/>
  <c r="AM192" i="12"/>
  <c r="AL192" i="12"/>
  <c r="AK192" i="12"/>
  <c r="AJ192" i="12"/>
  <c r="AI192" i="12"/>
  <c r="AH192" i="12"/>
  <c r="AG192" i="12"/>
  <c r="AF192" i="12"/>
  <c r="AE192" i="12"/>
  <c r="AD192" i="12"/>
  <c r="AC192" i="12"/>
  <c r="AB192" i="12"/>
  <c r="AA192" i="12"/>
  <c r="Z192" i="12"/>
  <c r="Y192" i="12"/>
  <c r="X192" i="12"/>
  <c r="W192" i="12"/>
  <c r="V192" i="12"/>
  <c r="U192" i="12"/>
  <c r="T192" i="12"/>
  <c r="S192" i="12"/>
  <c r="R192" i="12"/>
  <c r="Q192" i="12"/>
  <c r="P192" i="12"/>
  <c r="O192" i="12"/>
  <c r="N192" i="12"/>
  <c r="M192" i="12"/>
  <c r="L192" i="12"/>
  <c r="K192" i="12"/>
  <c r="H192" i="12"/>
  <c r="G192" i="12"/>
  <c r="F192" i="12"/>
  <c r="E192" i="12"/>
  <c r="AV91" i="12"/>
  <c r="AU91" i="12"/>
  <c r="AT91" i="12"/>
  <c r="AS91" i="12"/>
  <c r="AR91" i="12"/>
  <c r="AQ91" i="12"/>
  <c r="AP91" i="12"/>
  <c r="AO91" i="12"/>
  <c r="AN91" i="12"/>
  <c r="AM91" i="12"/>
  <c r="AL91" i="12"/>
  <c r="AK91" i="12"/>
  <c r="AJ91" i="12"/>
  <c r="AI91" i="12"/>
  <c r="AH91" i="12"/>
  <c r="AG91" i="12"/>
  <c r="AF91" i="12"/>
  <c r="AE91" i="12"/>
  <c r="AD91" i="12"/>
  <c r="AC91" i="12"/>
  <c r="AB91" i="12"/>
  <c r="AA91" i="12"/>
  <c r="Z91" i="12"/>
  <c r="Y91" i="12"/>
  <c r="X91" i="12"/>
  <c r="W91" i="12"/>
  <c r="V91" i="12"/>
  <c r="U91" i="12"/>
  <c r="T91" i="12"/>
  <c r="S91" i="12"/>
  <c r="R91" i="12"/>
  <c r="Q91" i="12"/>
  <c r="P91" i="12"/>
  <c r="O91" i="12"/>
  <c r="N91" i="12"/>
  <c r="M91" i="12"/>
  <c r="L91" i="12"/>
  <c r="K91" i="12"/>
  <c r="H91" i="12"/>
  <c r="G91" i="12"/>
  <c r="F91" i="12"/>
  <c r="E91" i="12"/>
  <c r="G304" i="13"/>
  <c r="G303" i="13"/>
  <c r="E304" i="13"/>
  <c r="E303" i="13"/>
  <c r="E289" i="13"/>
  <c r="F289" i="13"/>
  <c r="G289" i="13"/>
  <c r="H289" i="13"/>
  <c r="I289" i="13"/>
  <c r="K289" i="13"/>
  <c r="E288" i="13"/>
  <c r="F288" i="13"/>
  <c r="G288" i="13"/>
  <c r="H288" i="13"/>
  <c r="I288" i="13"/>
  <c r="K288" i="13"/>
  <c r="G274" i="13"/>
  <c r="F274" i="13"/>
  <c r="E274" i="13"/>
  <c r="E239" i="13"/>
  <c r="F239" i="13"/>
  <c r="G239" i="13"/>
  <c r="H239" i="13"/>
  <c r="I239" i="13"/>
  <c r="K239" i="13"/>
  <c r="E238" i="13"/>
  <c r="F238" i="13"/>
  <c r="G238" i="13"/>
  <c r="H238" i="13"/>
  <c r="I238" i="13"/>
  <c r="I237" i="13"/>
  <c r="I250" i="13" s="1"/>
  <c r="H237" i="13"/>
  <c r="H250" i="13" s="1"/>
  <c r="G237" i="13"/>
  <c r="G250" i="13" s="1"/>
  <c r="F237" i="13"/>
  <c r="F250" i="13" s="1"/>
  <c r="E237" i="13"/>
  <c r="E250" i="13" s="1"/>
  <c r="K236" i="13"/>
  <c r="K247" i="13" s="1"/>
  <c r="I236" i="13"/>
  <c r="I247" i="13" s="1"/>
  <c r="H236" i="13"/>
  <c r="H247" i="13" s="1"/>
  <c r="G236" i="13"/>
  <c r="G247" i="13" s="1"/>
  <c r="F236" i="13"/>
  <c r="F247" i="13" s="1"/>
  <c r="E236" i="13"/>
  <c r="E247" i="13" s="1"/>
  <c r="K235" i="13"/>
  <c r="K246" i="13" s="1"/>
  <c r="I235" i="13"/>
  <c r="I246" i="13" s="1"/>
  <c r="H235" i="13"/>
  <c r="H246" i="13" s="1"/>
  <c r="G235" i="13"/>
  <c r="G246" i="13" s="1"/>
  <c r="F235" i="13"/>
  <c r="F246" i="13" s="1"/>
  <c r="E235" i="13"/>
  <c r="E246" i="13" s="1"/>
  <c r="K233" i="13"/>
  <c r="K245" i="13" s="1"/>
  <c r="I233" i="13"/>
  <c r="I245" i="13" s="1"/>
  <c r="H233" i="13"/>
  <c r="H245" i="13" s="1"/>
  <c r="G233" i="13"/>
  <c r="G245" i="13" s="1"/>
  <c r="F233" i="13"/>
  <c r="F245" i="13" s="1"/>
  <c r="E233" i="13"/>
  <c r="E245" i="13" s="1"/>
  <c r="K232" i="13"/>
  <c r="I232" i="13"/>
  <c r="H232" i="13"/>
  <c r="G232" i="13"/>
  <c r="F232" i="13"/>
  <c r="E232" i="13"/>
  <c r="I231" i="13"/>
  <c r="H231" i="13"/>
  <c r="G231" i="13"/>
  <c r="F231" i="13"/>
  <c r="E231" i="13"/>
  <c r="K230" i="13"/>
  <c r="I230" i="13"/>
  <c r="H230" i="13"/>
  <c r="G230" i="13"/>
  <c r="F230" i="13"/>
  <c r="E230" i="13"/>
  <c r="K216" i="13"/>
  <c r="I216" i="13"/>
  <c r="H216" i="13"/>
  <c r="G216" i="13"/>
  <c r="F216" i="13"/>
  <c r="E216" i="13"/>
  <c r="K130" i="12"/>
  <c r="I130" i="12"/>
  <c r="H130" i="12"/>
  <c r="G130" i="12"/>
  <c r="F130" i="12"/>
  <c r="E130" i="12"/>
  <c r="E100" i="12"/>
  <c r="AV120" i="12"/>
  <c r="AU120" i="12"/>
  <c r="AT120" i="12"/>
  <c r="AS120" i="12"/>
  <c r="AR120" i="12"/>
  <c r="AQ120" i="12"/>
  <c r="AP120" i="12"/>
  <c r="AO120" i="12"/>
  <c r="AN120" i="12"/>
  <c r="AM120" i="12"/>
  <c r="AL120" i="12"/>
  <c r="AK120" i="12"/>
  <c r="AJ120" i="12"/>
  <c r="AI120" i="12"/>
  <c r="AH120" i="12"/>
  <c r="AG120" i="12"/>
  <c r="AF120" i="12"/>
  <c r="AE120" i="12"/>
  <c r="AD120" i="12"/>
  <c r="AC120" i="12"/>
  <c r="AB120" i="12"/>
  <c r="AA120" i="12"/>
  <c r="Z120" i="12"/>
  <c r="Y120" i="12"/>
  <c r="X120" i="12"/>
  <c r="W120" i="12"/>
  <c r="V120" i="12"/>
  <c r="U120" i="12"/>
  <c r="T120" i="12"/>
  <c r="S120" i="12"/>
  <c r="R120" i="12"/>
  <c r="Q120" i="12"/>
  <c r="P120" i="12"/>
  <c r="O120" i="12"/>
  <c r="N120" i="12"/>
  <c r="M120" i="12"/>
  <c r="L120" i="12"/>
  <c r="K120" i="12"/>
  <c r="H120" i="12"/>
  <c r="G120" i="12"/>
  <c r="F120" i="12"/>
  <c r="E120" i="12"/>
  <c r="AV119" i="12"/>
  <c r="AU119" i="12"/>
  <c r="AT119" i="12"/>
  <c r="AS119" i="12"/>
  <c r="AR119" i="12"/>
  <c r="AQ119" i="12"/>
  <c r="AP119" i="12"/>
  <c r="AO119" i="12"/>
  <c r="AN119" i="12"/>
  <c r="AM119" i="12"/>
  <c r="AL119" i="12"/>
  <c r="AK119" i="12"/>
  <c r="AJ119" i="12"/>
  <c r="AI119" i="12"/>
  <c r="AH119" i="12"/>
  <c r="AG119" i="12"/>
  <c r="AF119" i="12"/>
  <c r="AE119" i="12"/>
  <c r="AD119" i="12"/>
  <c r="AC119" i="12"/>
  <c r="AB119" i="12"/>
  <c r="AA119" i="12"/>
  <c r="Z119" i="12"/>
  <c r="Y119" i="12"/>
  <c r="X119" i="12"/>
  <c r="W119" i="12"/>
  <c r="V119" i="12"/>
  <c r="U119" i="12"/>
  <c r="T119" i="12"/>
  <c r="S119" i="12"/>
  <c r="R119" i="12"/>
  <c r="Q119" i="12"/>
  <c r="P119" i="12"/>
  <c r="O119" i="12"/>
  <c r="N119" i="12"/>
  <c r="M119" i="12"/>
  <c r="L119" i="12"/>
  <c r="K119" i="12"/>
  <c r="H119" i="12"/>
  <c r="G119" i="12"/>
  <c r="F119" i="12"/>
  <c r="E119" i="12"/>
  <c r="AV118" i="12"/>
  <c r="AU118" i="12"/>
  <c r="AT118" i="12"/>
  <c r="AS118" i="12"/>
  <c r="AR118" i="12"/>
  <c r="AQ118" i="12"/>
  <c r="AP118" i="12"/>
  <c r="AO118" i="12"/>
  <c r="AN118" i="12"/>
  <c r="AM118" i="12"/>
  <c r="AL118" i="12"/>
  <c r="AK118" i="12"/>
  <c r="AJ118" i="12"/>
  <c r="AI118" i="12"/>
  <c r="AH118" i="12"/>
  <c r="AG118" i="12"/>
  <c r="AF118" i="12"/>
  <c r="AE118" i="12"/>
  <c r="AD118" i="12"/>
  <c r="AC118" i="12"/>
  <c r="AB118" i="12"/>
  <c r="AA118" i="12"/>
  <c r="Z118" i="12"/>
  <c r="Y118" i="12"/>
  <c r="X118" i="12"/>
  <c r="W118" i="12"/>
  <c r="V118" i="12"/>
  <c r="U118" i="12"/>
  <c r="T118" i="12"/>
  <c r="S118" i="12"/>
  <c r="R118" i="12"/>
  <c r="Q118" i="12"/>
  <c r="P118" i="12"/>
  <c r="O118" i="12"/>
  <c r="N118" i="12"/>
  <c r="M118" i="12"/>
  <c r="L118" i="12"/>
  <c r="K118" i="12"/>
  <c r="H118" i="12"/>
  <c r="G118" i="12"/>
  <c r="F118" i="12"/>
  <c r="E118" i="12"/>
  <c r="AV117" i="12"/>
  <c r="AU117" i="12"/>
  <c r="AT117" i="12"/>
  <c r="AS117" i="12"/>
  <c r="AR117" i="12"/>
  <c r="AQ117" i="12"/>
  <c r="AP117" i="12"/>
  <c r="AO117" i="12"/>
  <c r="AN117" i="12"/>
  <c r="AM117" i="12"/>
  <c r="AL117" i="12"/>
  <c r="AK117" i="12"/>
  <c r="AJ117" i="12"/>
  <c r="AI117" i="12"/>
  <c r="AH117" i="12"/>
  <c r="AG117" i="12"/>
  <c r="AF117" i="12"/>
  <c r="AE117" i="12"/>
  <c r="AD117" i="12"/>
  <c r="AC117" i="12"/>
  <c r="AB117" i="12"/>
  <c r="AA117" i="12"/>
  <c r="Z117" i="12"/>
  <c r="Y117" i="12"/>
  <c r="X117" i="12"/>
  <c r="W117" i="12"/>
  <c r="V117" i="12"/>
  <c r="U117" i="12"/>
  <c r="T117" i="12"/>
  <c r="S117" i="12"/>
  <c r="R117" i="12"/>
  <c r="Q117" i="12"/>
  <c r="P117" i="12"/>
  <c r="O117" i="12"/>
  <c r="N117" i="12"/>
  <c r="M117" i="12"/>
  <c r="L117" i="12"/>
  <c r="K117" i="12"/>
  <c r="H117" i="12"/>
  <c r="G117" i="12"/>
  <c r="F117" i="12"/>
  <c r="E117" i="12"/>
  <c r="AV115" i="12"/>
  <c r="AU115" i="12"/>
  <c r="AT115" i="12"/>
  <c r="AS115" i="12"/>
  <c r="AR115" i="12"/>
  <c r="AQ115" i="12"/>
  <c r="AP115" i="12"/>
  <c r="AO115" i="12"/>
  <c r="AN115" i="12"/>
  <c r="AM115" i="12"/>
  <c r="AL115" i="12"/>
  <c r="AK115" i="12"/>
  <c r="AJ115" i="12"/>
  <c r="AI115" i="12"/>
  <c r="AH115" i="12"/>
  <c r="AG115" i="12"/>
  <c r="AF115" i="12"/>
  <c r="AE115" i="12"/>
  <c r="AD115" i="12"/>
  <c r="AC115" i="12"/>
  <c r="AB115" i="12"/>
  <c r="AA115" i="12"/>
  <c r="Z115" i="12"/>
  <c r="Y115" i="12"/>
  <c r="X115" i="12"/>
  <c r="W115" i="12"/>
  <c r="V115" i="12"/>
  <c r="U115" i="12"/>
  <c r="T115" i="12"/>
  <c r="S115" i="12"/>
  <c r="R115" i="12"/>
  <c r="Q115" i="12"/>
  <c r="P115" i="12"/>
  <c r="O115" i="12"/>
  <c r="N115" i="12"/>
  <c r="M115" i="12"/>
  <c r="L115" i="12"/>
  <c r="K115" i="12"/>
  <c r="H115" i="12"/>
  <c r="G115" i="12"/>
  <c r="F115" i="12"/>
  <c r="E115" i="12"/>
  <c r="E207" i="13"/>
  <c r="F207" i="13"/>
  <c r="G207" i="13"/>
  <c r="H207" i="13"/>
  <c r="I207" i="13"/>
  <c r="K207" i="13"/>
  <c r="E206" i="13"/>
  <c r="F206" i="13"/>
  <c r="G206" i="13"/>
  <c r="H206" i="13"/>
  <c r="I206" i="13"/>
  <c r="E204" i="13"/>
  <c r="F204" i="13"/>
  <c r="G204" i="13"/>
  <c r="H204" i="13"/>
  <c r="I204" i="13"/>
  <c r="K204" i="13"/>
  <c r="E205" i="13"/>
  <c r="F205" i="13"/>
  <c r="G205" i="13"/>
  <c r="H205" i="13"/>
  <c r="I205" i="13"/>
  <c r="K205" i="13"/>
  <c r="E202" i="13"/>
  <c r="E318" i="13" s="1"/>
  <c r="E200" i="13"/>
  <c r="F200" i="13"/>
  <c r="G200" i="13"/>
  <c r="H200" i="13"/>
  <c r="I200" i="13"/>
  <c r="K200" i="13"/>
  <c r="E199" i="13"/>
  <c r="F199" i="13"/>
  <c r="G199" i="13"/>
  <c r="H199" i="13"/>
  <c r="I199" i="13"/>
  <c r="K199" i="13"/>
  <c r="E198" i="13"/>
  <c r="F198" i="13"/>
  <c r="G198" i="13"/>
  <c r="H198" i="13"/>
  <c r="I198" i="13"/>
  <c r="E197" i="13"/>
  <c r="F197" i="13"/>
  <c r="G197" i="13"/>
  <c r="H197" i="13"/>
  <c r="I197" i="13"/>
  <c r="K197" i="13"/>
  <c r="E155" i="12"/>
  <c r="F155" i="12"/>
  <c r="G155" i="12"/>
  <c r="H155" i="12"/>
  <c r="K155" i="12"/>
  <c r="L155" i="12"/>
  <c r="M155" i="12"/>
  <c r="N155" i="12"/>
  <c r="O155" i="12"/>
  <c r="P155" i="12"/>
  <c r="Q155" i="12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AE155" i="12"/>
  <c r="AF155" i="12"/>
  <c r="AG155" i="12"/>
  <c r="AH155" i="12"/>
  <c r="AI155" i="12"/>
  <c r="AJ155" i="12"/>
  <c r="AK155" i="12"/>
  <c r="AL155" i="12"/>
  <c r="AM155" i="12"/>
  <c r="AN155" i="12"/>
  <c r="AO155" i="12"/>
  <c r="AP155" i="12"/>
  <c r="AQ155" i="12"/>
  <c r="AR155" i="12"/>
  <c r="AS155" i="12"/>
  <c r="AT155" i="12"/>
  <c r="AU155" i="12"/>
  <c r="AV155" i="12"/>
  <c r="AV153" i="12"/>
  <c r="AU153" i="12"/>
  <c r="AT153" i="12"/>
  <c r="AS153" i="12"/>
  <c r="AR153" i="12"/>
  <c r="AQ153" i="12"/>
  <c r="AP153" i="12"/>
  <c r="AO153" i="12"/>
  <c r="AN153" i="12"/>
  <c r="AM153" i="12"/>
  <c r="AL153" i="12"/>
  <c r="AK153" i="12"/>
  <c r="AJ153" i="12"/>
  <c r="AI153" i="12"/>
  <c r="AH153" i="12"/>
  <c r="AG153" i="12"/>
  <c r="AF153" i="12"/>
  <c r="AE153" i="12"/>
  <c r="AD153" i="12"/>
  <c r="AC153" i="12"/>
  <c r="AB153" i="12"/>
  <c r="AA153" i="12"/>
  <c r="Z153" i="12"/>
  <c r="Y153" i="12"/>
  <c r="X153" i="12"/>
  <c r="W153" i="12"/>
  <c r="V153" i="12"/>
  <c r="U153" i="12"/>
  <c r="T153" i="12"/>
  <c r="S153" i="12"/>
  <c r="R153" i="12"/>
  <c r="Q153" i="12"/>
  <c r="P153" i="12"/>
  <c r="O153" i="12"/>
  <c r="N153" i="12"/>
  <c r="M153" i="12"/>
  <c r="L153" i="12"/>
  <c r="K153" i="12"/>
  <c r="H153" i="12"/>
  <c r="G153" i="12"/>
  <c r="F153" i="12"/>
  <c r="E153" i="12"/>
  <c r="AV152" i="12"/>
  <c r="AU152" i="12"/>
  <c r="AT152" i="12"/>
  <c r="AS152" i="12"/>
  <c r="AR152" i="12"/>
  <c r="AQ152" i="12"/>
  <c r="AP152" i="12"/>
  <c r="AO152" i="12"/>
  <c r="AN152" i="12"/>
  <c r="AM152" i="12"/>
  <c r="AL152" i="12"/>
  <c r="AK152" i="12"/>
  <c r="AJ152" i="12"/>
  <c r="AI152" i="12"/>
  <c r="AH152" i="12"/>
  <c r="AG152" i="12"/>
  <c r="AF152" i="12"/>
  <c r="AE152" i="12"/>
  <c r="AD152" i="12"/>
  <c r="AC152" i="12"/>
  <c r="AB152" i="12"/>
  <c r="AA152" i="12"/>
  <c r="Z152" i="12"/>
  <c r="Y152" i="12"/>
  <c r="X152" i="12"/>
  <c r="W152" i="12"/>
  <c r="V152" i="12"/>
  <c r="U152" i="12"/>
  <c r="T152" i="12"/>
  <c r="S152" i="12"/>
  <c r="R152" i="12"/>
  <c r="Q152" i="12"/>
  <c r="P152" i="12"/>
  <c r="O152" i="12"/>
  <c r="N152" i="12"/>
  <c r="M152" i="12"/>
  <c r="L152" i="12"/>
  <c r="K152" i="12"/>
  <c r="H152" i="12"/>
  <c r="G152" i="12"/>
  <c r="F152" i="12"/>
  <c r="E152" i="12"/>
  <c r="AV151" i="12"/>
  <c r="AU151" i="12"/>
  <c r="AT151" i="12"/>
  <c r="AS151" i="12"/>
  <c r="AR151" i="12"/>
  <c r="AQ151" i="12"/>
  <c r="AP151" i="12"/>
  <c r="AO151" i="12"/>
  <c r="AN151" i="12"/>
  <c r="AM151" i="12"/>
  <c r="AL151" i="12"/>
  <c r="AK151" i="12"/>
  <c r="AJ151" i="12"/>
  <c r="AI151" i="12"/>
  <c r="AH151" i="12"/>
  <c r="AG151" i="12"/>
  <c r="AF151" i="12"/>
  <c r="AE151" i="12"/>
  <c r="AD151" i="12"/>
  <c r="AC151" i="12"/>
  <c r="AB151" i="12"/>
  <c r="AA151" i="12"/>
  <c r="Z151" i="12"/>
  <c r="Y151" i="12"/>
  <c r="X151" i="12"/>
  <c r="W151" i="12"/>
  <c r="V151" i="12"/>
  <c r="U151" i="12"/>
  <c r="T151" i="12"/>
  <c r="S151" i="12"/>
  <c r="R151" i="12"/>
  <c r="Q151" i="12"/>
  <c r="P151" i="12"/>
  <c r="O151" i="12"/>
  <c r="N151" i="12"/>
  <c r="M151" i="12"/>
  <c r="L151" i="12"/>
  <c r="K151" i="12"/>
  <c r="H151" i="12"/>
  <c r="G151" i="12"/>
  <c r="F151" i="12"/>
  <c r="E151" i="12"/>
  <c r="E150" i="12"/>
  <c r="F150" i="12"/>
  <c r="G150" i="12"/>
  <c r="H150" i="12"/>
  <c r="K150" i="12"/>
  <c r="L150" i="12"/>
  <c r="M150" i="12"/>
  <c r="N150" i="12"/>
  <c r="O150" i="12"/>
  <c r="P150" i="12"/>
  <c r="Q150" i="12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AE150" i="12"/>
  <c r="AF150" i="12"/>
  <c r="AG150" i="12"/>
  <c r="AH150" i="12"/>
  <c r="AI150" i="12"/>
  <c r="AJ150" i="12"/>
  <c r="AK150" i="12"/>
  <c r="AL150" i="12"/>
  <c r="AM150" i="12"/>
  <c r="AN150" i="12"/>
  <c r="AO150" i="12"/>
  <c r="AP150" i="12"/>
  <c r="AQ150" i="12"/>
  <c r="AR150" i="12"/>
  <c r="AS150" i="12"/>
  <c r="AT150" i="12"/>
  <c r="AU150" i="12"/>
  <c r="AV150" i="12"/>
  <c r="E149" i="12"/>
  <c r="F149" i="12"/>
  <c r="G149" i="12"/>
  <c r="H149" i="12"/>
  <c r="K149" i="12"/>
  <c r="L149" i="12"/>
  <c r="M149" i="12"/>
  <c r="N149" i="12"/>
  <c r="O149" i="12"/>
  <c r="P149" i="12"/>
  <c r="Q149" i="12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AE149" i="12"/>
  <c r="AF149" i="12"/>
  <c r="AG149" i="12"/>
  <c r="AH149" i="12"/>
  <c r="AI149" i="12"/>
  <c r="AJ149" i="12"/>
  <c r="AK149" i="12"/>
  <c r="AL149" i="12"/>
  <c r="AM149" i="12"/>
  <c r="AN149" i="12"/>
  <c r="AO149" i="12"/>
  <c r="AP149" i="12"/>
  <c r="AQ149" i="12"/>
  <c r="AR149" i="12"/>
  <c r="AS149" i="12"/>
  <c r="AT149" i="12"/>
  <c r="AU149" i="12"/>
  <c r="AV149" i="12"/>
  <c r="E148" i="12"/>
  <c r="F148" i="12"/>
  <c r="G148" i="12"/>
  <c r="H148" i="12"/>
  <c r="K148" i="12"/>
  <c r="L148" i="12"/>
  <c r="M148" i="12"/>
  <c r="N148" i="12"/>
  <c r="O148" i="12"/>
  <c r="P148" i="12"/>
  <c r="Q148" i="12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AE148" i="12"/>
  <c r="AF148" i="12"/>
  <c r="AG148" i="12"/>
  <c r="AH148" i="12"/>
  <c r="AI148" i="12"/>
  <c r="AJ148" i="12"/>
  <c r="AK148" i="12"/>
  <c r="AL148" i="12"/>
  <c r="AM148" i="12"/>
  <c r="AN148" i="12"/>
  <c r="AO148" i="12"/>
  <c r="AP148" i="12"/>
  <c r="AQ148" i="12"/>
  <c r="AR148" i="12"/>
  <c r="AS148" i="12"/>
  <c r="AT148" i="12"/>
  <c r="AU148" i="12"/>
  <c r="AV148" i="12"/>
  <c r="E151" i="13"/>
  <c r="F151" i="13"/>
  <c r="G151" i="13"/>
  <c r="H151" i="13"/>
  <c r="I151" i="13"/>
  <c r="K151" i="13"/>
  <c r="E150" i="13"/>
  <c r="F150" i="13"/>
  <c r="G150" i="13"/>
  <c r="H150" i="13"/>
  <c r="I150" i="13"/>
  <c r="I213" i="13"/>
  <c r="H213" i="13"/>
  <c r="G213" i="13"/>
  <c r="F213" i="13"/>
  <c r="E213" i="13"/>
  <c r="E175" i="13"/>
  <c r="E157" i="13"/>
  <c r="F157" i="13"/>
  <c r="G157" i="13"/>
  <c r="H157" i="13"/>
  <c r="I157" i="13"/>
  <c r="J157" i="13"/>
  <c r="K157" i="13"/>
  <c r="E159" i="13"/>
  <c r="F159" i="13"/>
  <c r="G159" i="13"/>
  <c r="H159" i="13"/>
  <c r="K159" i="13"/>
  <c r="L159" i="13"/>
  <c r="M159" i="13"/>
  <c r="N159" i="13"/>
  <c r="O159" i="13"/>
  <c r="P159" i="13"/>
  <c r="Q159" i="13"/>
  <c r="R159" i="13"/>
  <c r="S159" i="13"/>
  <c r="T159" i="13"/>
  <c r="U159" i="13"/>
  <c r="V159" i="13"/>
  <c r="W159" i="13"/>
  <c r="X159" i="13"/>
  <c r="Y159" i="13"/>
  <c r="Z159" i="13"/>
  <c r="AA159" i="13"/>
  <c r="AB159" i="13"/>
  <c r="AC159" i="13"/>
  <c r="AD159" i="13"/>
  <c r="AE159" i="13"/>
  <c r="AF159" i="13"/>
  <c r="AG159" i="13"/>
  <c r="AH159" i="13"/>
  <c r="AI159" i="13"/>
  <c r="AJ159" i="13"/>
  <c r="AK159" i="13"/>
  <c r="AL159" i="13"/>
  <c r="AM159" i="13"/>
  <c r="AN159" i="13"/>
  <c r="AO159" i="13"/>
  <c r="AP159" i="13"/>
  <c r="AQ159" i="13"/>
  <c r="AR159" i="13"/>
  <c r="AS159" i="13"/>
  <c r="AT159" i="13"/>
  <c r="AU159" i="13"/>
  <c r="AV159" i="13"/>
  <c r="E158" i="13"/>
  <c r="F158" i="13"/>
  <c r="G158" i="13"/>
  <c r="H158" i="13"/>
  <c r="K158" i="13"/>
  <c r="L158" i="13"/>
  <c r="M158" i="13"/>
  <c r="N158" i="13"/>
  <c r="O158" i="13"/>
  <c r="P158" i="13"/>
  <c r="Q158" i="13"/>
  <c r="R158" i="13"/>
  <c r="S158" i="13"/>
  <c r="T158" i="13"/>
  <c r="U158" i="13"/>
  <c r="V158" i="13"/>
  <c r="W158" i="13"/>
  <c r="X158" i="13"/>
  <c r="Y158" i="13"/>
  <c r="Z158" i="13"/>
  <c r="AA158" i="13"/>
  <c r="AB158" i="13"/>
  <c r="AC158" i="13"/>
  <c r="AD158" i="13"/>
  <c r="AE158" i="13"/>
  <c r="AF158" i="13"/>
  <c r="AG158" i="13"/>
  <c r="AH158" i="13"/>
  <c r="AI158" i="13"/>
  <c r="AJ158" i="13"/>
  <c r="AK158" i="13"/>
  <c r="AL158" i="13"/>
  <c r="AM158" i="13"/>
  <c r="AN158" i="13"/>
  <c r="AO158" i="13"/>
  <c r="AP158" i="13"/>
  <c r="AQ158" i="13"/>
  <c r="AR158" i="13"/>
  <c r="AS158" i="13"/>
  <c r="AT158" i="13"/>
  <c r="AU158" i="13"/>
  <c r="AV158" i="13"/>
  <c r="G142" i="13"/>
  <c r="K139" i="13"/>
  <c r="E132" i="13"/>
  <c r="F132" i="13"/>
  <c r="G132" i="13"/>
  <c r="H132" i="13"/>
  <c r="I132" i="13"/>
  <c r="K132" i="13"/>
  <c r="E128" i="13"/>
  <c r="E138" i="13" s="1"/>
  <c r="F128" i="13"/>
  <c r="G128" i="13"/>
  <c r="H128" i="13"/>
  <c r="K128" i="13"/>
  <c r="L128" i="13"/>
  <c r="M128" i="13"/>
  <c r="N128" i="13"/>
  <c r="O128" i="13"/>
  <c r="P128" i="13"/>
  <c r="Q128" i="13"/>
  <c r="R128" i="13"/>
  <c r="S128" i="13"/>
  <c r="T128" i="13"/>
  <c r="U128" i="13"/>
  <c r="V128" i="13"/>
  <c r="W128" i="13"/>
  <c r="X128" i="13"/>
  <c r="Y128" i="13"/>
  <c r="Z128" i="13"/>
  <c r="AA128" i="13"/>
  <c r="AB128" i="13"/>
  <c r="AC128" i="13"/>
  <c r="AD128" i="13"/>
  <c r="AE128" i="13"/>
  <c r="AF128" i="13"/>
  <c r="AG128" i="13"/>
  <c r="AH128" i="13"/>
  <c r="AI128" i="13"/>
  <c r="AJ128" i="13"/>
  <c r="AK128" i="13"/>
  <c r="AL128" i="13"/>
  <c r="AM128" i="13"/>
  <c r="AN128" i="13"/>
  <c r="AO128" i="13"/>
  <c r="AP128" i="13"/>
  <c r="AQ128" i="13"/>
  <c r="AR128" i="13"/>
  <c r="AS128" i="13"/>
  <c r="AT128" i="13"/>
  <c r="AU128" i="13"/>
  <c r="AV128" i="13"/>
  <c r="E127" i="13"/>
  <c r="E137" i="13" s="1"/>
  <c r="F127" i="13"/>
  <c r="G127" i="13"/>
  <c r="H127" i="13"/>
  <c r="K127" i="13"/>
  <c r="L127" i="13"/>
  <c r="M127" i="13"/>
  <c r="N127" i="13"/>
  <c r="O127" i="13"/>
  <c r="P127" i="13"/>
  <c r="Q127" i="13"/>
  <c r="R127" i="13"/>
  <c r="S127" i="13"/>
  <c r="T127" i="13"/>
  <c r="U127" i="13"/>
  <c r="V127" i="13"/>
  <c r="W127" i="13"/>
  <c r="X127" i="13"/>
  <c r="Y127" i="13"/>
  <c r="Z127" i="13"/>
  <c r="AA127" i="13"/>
  <c r="AB127" i="13"/>
  <c r="AC127" i="13"/>
  <c r="AD127" i="13"/>
  <c r="AE127" i="13"/>
  <c r="AF127" i="13"/>
  <c r="AG127" i="13"/>
  <c r="AH127" i="13"/>
  <c r="AI127" i="13"/>
  <c r="AJ127" i="13"/>
  <c r="AK127" i="13"/>
  <c r="AL127" i="13"/>
  <c r="AM127" i="13"/>
  <c r="AN127" i="13"/>
  <c r="AO127" i="13"/>
  <c r="AP127" i="13"/>
  <c r="AQ127" i="13"/>
  <c r="AR127" i="13"/>
  <c r="AS127" i="13"/>
  <c r="AT127" i="13"/>
  <c r="AU127" i="13"/>
  <c r="AV127" i="13"/>
  <c r="E126" i="13"/>
  <c r="F126" i="13"/>
  <c r="G126" i="13"/>
  <c r="H126" i="13"/>
  <c r="K126" i="13"/>
  <c r="L126" i="13"/>
  <c r="M126" i="13"/>
  <c r="N126" i="13"/>
  <c r="O126" i="13"/>
  <c r="P126" i="13"/>
  <c r="Q126" i="13"/>
  <c r="R126" i="13"/>
  <c r="S126" i="13"/>
  <c r="T126" i="13"/>
  <c r="U126" i="13"/>
  <c r="V126" i="13"/>
  <c r="W126" i="13"/>
  <c r="X126" i="13"/>
  <c r="Y126" i="13"/>
  <c r="Z126" i="13"/>
  <c r="AA126" i="13"/>
  <c r="AB126" i="13"/>
  <c r="AC126" i="13"/>
  <c r="AD126" i="13"/>
  <c r="AE126" i="13"/>
  <c r="AF126" i="13"/>
  <c r="AG126" i="13"/>
  <c r="AH126" i="13"/>
  <c r="AI126" i="13"/>
  <c r="AJ126" i="13"/>
  <c r="AK126" i="13"/>
  <c r="AL126" i="13"/>
  <c r="AM126" i="13"/>
  <c r="AN126" i="13"/>
  <c r="AO126" i="13"/>
  <c r="AP126" i="13"/>
  <c r="AQ126" i="13"/>
  <c r="AR126" i="13"/>
  <c r="AS126" i="13"/>
  <c r="AT126" i="13"/>
  <c r="AU126" i="13"/>
  <c r="AV126" i="13"/>
  <c r="E125" i="13"/>
  <c r="F125" i="13"/>
  <c r="G125" i="13"/>
  <c r="H125" i="13"/>
  <c r="K125" i="13"/>
  <c r="L125" i="13"/>
  <c r="M125" i="13"/>
  <c r="N125" i="13"/>
  <c r="O125" i="13"/>
  <c r="P125" i="13"/>
  <c r="Q125" i="13"/>
  <c r="R125" i="13"/>
  <c r="S125" i="13"/>
  <c r="T125" i="13"/>
  <c r="U125" i="13"/>
  <c r="V125" i="13"/>
  <c r="W125" i="13"/>
  <c r="X125" i="13"/>
  <c r="Y125" i="13"/>
  <c r="Z125" i="13"/>
  <c r="AA125" i="13"/>
  <c r="AB125" i="13"/>
  <c r="AC125" i="13"/>
  <c r="AD125" i="13"/>
  <c r="AE125" i="13"/>
  <c r="AF125" i="13"/>
  <c r="AG125" i="13"/>
  <c r="AH125" i="13"/>
  <c r="AI125" i="13"/>
  <c r="AJ125" i="13"/>
  <c r="AK125" i="13"/>
  <c r="AL125" i="13"/>
  <c r="AM125" i="13"/>
  <c r="AN125" i="13"/>
  <c r="AO125" i="13"/>
  <c r="AP125" i="13"/>
  <c r="AQ125" i="13"/>
  <c r="AR125" i="13"/>
  <c r="AS125" i="13"/>
  <c r="AT125" i="13"/>
  <c r="AU125" i="13"/>
  <c r="AV125" i="13"/>
  <c r="E124" i="13"/>
  <c r="F124" i="13"/>
  <c r="G124" i="13"/>
  <c r="H124" i="13"/>
  <c r="K124" i="13"/>
  <c r="L124" i="13"/>
  <c r="M124" i="13"/>
  <c r="N124" i="13"/>
  <c r="O124" i="13"/>
  <c r="P124" i="13"/>
  <c r="Q124" i="13"/>
  <c r="R124" i="13"/>
  <c r="S124" i="13"/>
  <c r="T124" i="13"/>
  <c r="U124" i="13"/>
  <c r="V124" i="13"/>
  <c r="W124" i="13"/>
  <c r="X124" i="13"/>
  <c r="Y124" i="13"/>
  <c r="Z124" i="13"/>
  <c r="AA124" i="13"/>
  <c r="AB124" i="13"/>
  <c r="AC124" i="13"/>
  <c r="AD124" i="13"/>
  <c r="AE124" i="13"/>
  <c r="AF124" i="13"/>
  <c r="AG124" i="13"/>
  <c r="AH124" i="13"/>
  <c r="AI124" i="13"/>
  <c r="AJ124" i="13"/>
  <c r="AK124" i="13"/>
  <c r="AL124" i="13"/>
  <c r="AM124" i="13"/>
  <c r="AN124" i="13"/>
  <c r="AO124" i="13"/>
  <c r="AP124" i="13"/>
  <c r="AQ124" i="13"/>
  <c r="AR124" i="13"/>
  <c r="AS124" i="13"/>
  <c r="AT124" i="13"/>
  <c r="AU124" i="13"/>
  <c r="AV124" i="13"/>
  <c r="E103" i="13"/>
  <c r="F103" i="13"/>
  <c r="G103" i="13"/>
  <c r="H103" i="13"/>
  <c r="I103" i="13"/>
  <c r="K103" i="13"/>
  <c r="E102" i="13"/>
  <c r="F102" i="13"/>
  <c r="G102" i="13"/>
  <c r="H102" i="13"/>
  <c r="I102" i="13"/>
  <c r="K102" i="13"/>
  <c r="E95" i="13"/>
  <c r="F95" i="13"/>
  <c r="G95" i="13"/>
  <c r="H95" i="13"/>
  <c r="I95" i="13"/>
  <c r="K95" i="13"/>
  <c r="E94" i="13"/>
  <c r="F94" i="13"/>
  <c r="G94" i="13"/>
  <c r="H94" i="13"/>
  <c r="I94" i="13"/>
  <c r="K94" i="13"/>
  <c r="E59" i="13"/>
  <c r="F59" i="13"/>
  <c r="G59" i="13"/>
  <c r="H59" i="13"/>
  <c r="I59" i="13"/>
  <c r="K59" i="13"/>
  <c r="E54" i="12"/>
  <c r="F54" i="12"/>
  <c r="G54" i="12"/>
  <c r="H54" i="12"/>
  <c r="I54" i="12"/>
  <c r="K54" i="12"/>
  <c r="E80" i="13"/>
  <c r="F80" i="13"/>
  <c r="G80" i="13"/>
  <c r="H80" i="13"/>
  <c r="I80" i="13"/>
  <c r="J80" i="13"/>
  <c r="K80" i="13"/>
  <c r="E56" i="13"/>
  <c r="F56" i="13"/>
  <c r="G56" i="13"/>
  <c r="H56" i="13"/>
  <c r="I56" i="13"/>
  <c r="K56" i="13"/>
  <c r="G55" i="13"/>
  <c r="G41" i="13"/>
  <c r="E41" i="13"/>
  <c r="G28" i="13"/>
  <c r="E28" i="13"/>
  <c r="E39" i="13"/>
  <c r="F39" i="13"/>
  <c r="G39" i="13"/>
  <c r="H39" i="13"/>
  <c r="I39" i="13"/>
  <c r="K39" i="13"/>
  <c r="E38" i="13"/>
  <c r="F38" i="13"/>
  <c r="G38" i="13"/>
  <c r="H38" i="13"/>
  <c r="K38" i="13"/>
  <c r="L38" i="13"/>
  <c r="M38" i="13"/>
  <c r="N38" i="13"/>
  <c r="O38" i="13"/>
  <c r="P38" i="13"/>
  <c r="Q38" i="13"/>
  <c r="R38" i="13"/>
  <c r="S38" i="13"/>
  <c r="T38" i="13"/>
  <c r="U38" i="13"/>
  <c r="V38" i="13"/>
  <c r="W38" i="13"/>
  <c r="X38" i="13"/>
  <c r="Y38" i="13"/>
  <c r="Z38" i="13"/>
  <c r="AA38" i="13"/>
  <c r="AB38" i="13"/>
  <c r="AC38" i="13"/>
  <c r="AD38" i="13"/>
  <c r="AE38" i="13"/>
  <c r="AF38" i="13"/>
  <c r="AG38" i="13"/>
  <c r="AH38" i="13"/>
  <c r="AI38" i="13"/>
  <c r="AJ38" i="13"/>
  <c r="AK38" i="13"/>
  <c r="AL38" i="13"/>
  <c r="AM38" i="13"/>
  <c r="AN38" i="13"/>
  <c r="AO38" i="13"/>
  <c r="AP38" i="13"/>
  <c r="AQ38" i="13"/>
  <c r="AR38" i="13"/>
  <c r="AS38" i="13"/>
  <c r="AT38" i="13"/>
  <c r="AU38" i="13"/>
  <c r="AV38" i="13"/>
  <c r="AV25" i="13"/>
  <c r="AU25" i="13"/>
  <c r="AT25" i="13"/>
  <c r="AS25" i="13"/>
  <c r="AR25" i="13"/>
  <c r="AQ25" i="13"/>
  <c r="AP25" i="13"/>
  <c r="AO25" i="13"/>
  <c r="AN25" i="13"/>
  <c r="AM25" i="13"/>
  <c r="AL25" i="13"/>
  <c r="AK25" i="13"/>
  <c r="AJ25" i="13"/>
  <c r="AI25" i="13"/>
  <c r="AH25" i="13"/>
  <c r="AG25" i="13"/>
  <c r="AF25" i="13"/>
  <c r="AE25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M25" i="13"/>
  <c r="L25" i="13"/>
  <c r="K25" i="13"/>
  <c r="H25" i="13"/>
  <c r="G25" i="13"/>
  <c r="F25" i="13"/>
  <c r="E25" i="13"/>
  <c r="K26" i="13"/>
  <c r="I26" i="13"/>
  <c r="H26" i="13"/>
  <c r="G26" i="13"/>
  <c r="F26" i="13"/>
  <c r="E26" i="13"/>
  <c r="E18" i="13"/>
  <c r="E20" i="13" s="1"/>
  <c r="F18" i="13"/>
  <c r="G18" i="13"/>
  <c r="H18" i="13"/>
  <c r="J18" i="13"/>
  <c r="K18" i="13"/>
  <c r="L18" i="13"/>
  <c r="M18" i="13"/>
  <c r="N18" i="13"/>
  <c r="O18" i="13"/>
  <c r="P18" i="13"/>
  <c r="Q18" i="13"/>
  <c r="R18" i="13"/>
  <c r="S18" i="13"/>
  <c r="T18" i="13"/>
  <c r="U18" i="13"/>
  <c r="V18" i="13"/>
  <c r="W18" i="13"/>
  <c r="X18" i="13"/>
  <c r="Y18" i="13"/>
  <c r="Z18" i="13"/>
  <c r="AA18" i="13"/>
  <c r="AB18" i="13"/>
  <c r="AC18" i="13"/>
  <c r="AD18" i="13"/>
  <c r="AE18" i="13"/>
  <c r="AF18" i="13"/>
  <c r="AG18" i="13"/>
  <c r="AH18" i="13"/>
  <c r="AI18" i="13"/>
  <c r="AJ18" i="13"/>
  <c r="AK18" i="13"/>
  <c r="AL18" i="13"/>
  <c r="AM18" i="13"/>
  <c r="AN18" i="13"/>
  <c r="AO18" i="13"/>
  <c r="AP18" i="13"/>
  <c r="AQ18" i="13"/>
  <c r="AR18" i="13"/>
  <c r="AS18" i="13"/>
  <c r="AT18" i="13"/>
  <c r="AU18" i="13"/>
  <c r="AV18" i="13"/>
  <c r="E17" i="13"/>
  <c r="F17" i="13"/>
  <c r="G17" i="13"/>
  <c r="H17" i="13"/>
  <c r="J17" i="13"/>
  <c r="K17" i="13"/>
  <c r="L17" i="13"/>
  <c r="M17" i="13"/>
  <c r="N17" i="13"/>
  <c r="O17" i="13"/>
  <c r="O21" i="13" s="1"/>
  <c r="P17" i="13"/>
  <c r="P21" i="13" s="1"/>
  <c r="Q17" i="13"/>
  <c r="Q21" i="13" s="1"/>
  <c r="R17" i="13"/>
  <c r="R21" i="13" s="1"/>
  <c r="S17" i="13"/>
  <c r="S21" i="13" s="1"/>
  <c r="T17" i="13"/>
  <c r="T21" i="13" s="1"/>
  <c r="U17" i="13"/>
  <c r="U21" i="13" s="1"/>
  <c r="V17" i="13"/>
  <c r="V21" i="13" s="1"/>
  <c r="W17" i="13"/>
  <c r="W21" i="13" s="1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AO17" i="13"/>
  <c r="AP17" i="13"/>
  <c r="AQ17" i="13"/>
  <c r="AR17" i="13"/>
  <c r="AS17" i="13"/>
  <c r="AT17" i="13"/>
  <c r="AU17" i="13"/>
  <c r="AV17" i="13"/>
  <c r="E12" i="13"/>
  <c r="F12" i="13"/>
  <c r="G12" i="13"/>
  <c r="H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W12" i="13"/>
  <c r="X12" i="13"/>
  <c r="Y12" i="13"/>
  <c r="Z12" i="13"/>
  <c r="AA12" i="13"/>
  <c r="AB12" i="13"/>
  <c r="AC12" i="13"/>
  <c r="AD12" i="13"/>
  <c r="AE12" i="13"/>
  <c r="AF12" i="13"/>
  <c r="AG12" i="13"/>
  <c r="AH12" i="13"/>
  <c r="AI12" i="13"/>
  <c r="AJ12" i="13"/>
  <c r="AK12" i="13"/>
  <c r="AL12" i="13"/>
  <c r="AM12" i="13"/>
  <c r="AN12" i="13"/>
  <c r="AO12" i="13"/>
  <c r="AP12" i="13"/>
  <c r="AQ12" i="13"/>
  <c r="AR12" i="13"/>
  <c r="AS12" i="13"/>
  <c r="AT12" i="13"/>
  <c r="AU12" i="13"/>
  <c r="AV12" i="13"/>
  <c r="AV11" i="13"/>
  <c r="AU11" i="13"/>
  <c r="AT11" i="13"/>
  <c r="AS11" i="13"/>
  <c r="AR11" i="13"/>
  <c r="AQ11" i="13"/>
  <c r="AP11" i="13"/>
  <c r="AO11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X13" i="13" s="1"/>
  <c r="W11" i="13"/>
  <c r="W13" i="13" s="1"/>
  <c r="V11" i="13"/>
  <c r="V13" i="13" s="1"/>
  <c r="U11" i="13"/>
  <c r="U13" i="13" s="1"/>
  <c r="T11" i="13"/>
  <c r="T13" i="13" s="1"/>
  <c r="S11" i="13"/>
  <c r="S13" i="13" s="1"/>
  <c r="R11" i="13"/>
  <c r="R13" i="13" s="1"/>
  <c r="Q11" i="13"/>
  <c r="Q13" i="13" s="1"/>
  <c r="P11" i="13"/>
  <c r="P13" i="13" s="1"/>
  <c r="O11" i="13"/>
  <c r="O13" i="13" s="1"/>
  <c r="N11" i="13"/>
  <c r="M11" i="13"/>
  <c r="L11" i="13"/>
  <c r="K11" i="13"/>
  <c r="J11" i="13"/>
  <c r="H11" i="13"/>
  <c r="G11" i="13"/>
  <c r="F11" i="13"/>
  <c r="E11" i="13"/>
  <c r="K296" i="13"/>
  <c r="J296" i="13"/>
  <c r="I296" i="13"/>
  <c r="H296" i="13"/>
  <c r="G296" i="13"/>
  <c r="F296" i="13"/>
  <c r="E296" i="13"/>
  <c r="K277" i="13"/>
  <c r="J277" i="13"/>
  <c r="I277" i="13"/>
  <c r="H277" i="13"/>
  <c r="G277" i="13"/>
  <c r="F277" i="13"/>
  <c r="E277" i="13"/>
  <c r="E222" i="13"/>
  <c r="AV225" i="13"/>
  <c r="AV226" i="13" s="1"/>
  <c r="AU225" i="13"/>
  <c r="AU226" i="13" s="1"/>
  <c r="AT225" i="13"/>
  <c r="AT226" i="13" s="1"/>
  <c r="AS225" i="13"/>
  <c r="AS226" i="13" s="1"/>
  <c r="AR225" i="13"/>
  <c r="AR226" i="13" s="1"/>
  <c r="AQ225" i="13"/>
  <c r="AQ226" i="13" s="1"/>
  <c r="AP225" i="13"/>
  <c r="AP226" i="13" s="1"/>
  <c r="AO225" i="13"/>
  <c r="AO226" i="13" s="1"/>
  <c r="AN225" i="13"/>
  <c r="AN226" i="13" s="1"/>
  <c r="AM225" i="13"/>
  <c r="AM226" i="13" s="1"/>
  <c r="AL225" i="13"/>
  <c r="AL226" i="13" s="1"/>
  <c r="AK225" i="13"/>
  <c r="AK226" i="13" s="1"/>
  <c r="AJ225" i="13"/>
  <c r="AJ226" i="13" s="1"/>
  <c r="AI225" i="13"/>
  <c r="AI226" i="13" s="1"/>
  <c r="AH225" i="13"/>
  <c r="AH226" i="13" s="1"/>
  <c r="AG225" i="13"/>
  <c r="AG226" i="13" s="1"/>
  <c r="AF225" i="13"/>
  <c r="AF226" i="13" s="1"/>
  <c r="AE225" i="13"/>
  <c r="AE226" i="13" s="1"/>
  <c r="AD225" i="13"/>
  <c r="AD226" i="13" s="1"/>
  <c r="AC225" i="13"/>
  <c r="AC226" i="13" s="1"/>
  <c r="AB225" i="13"/>
  <c r="AB226" i="13" s="1"/>
  <c r="AA225" i="13"/>
  <c r="AA226" i="13" s="1"/>
  <c r="Z225" i="13"/>
  <c r="Z226" i="13" s="1"/>
  <c r="Y225" i="13"/>
  <c r="Y226" i="13" s="1"/>
  <c r="X225" i="13"/>
  <c r="X226" i="13" s="1"/>
  <c r="W225" i="13"/>
  <c r="W226" i="13" s="1"/>
  <c r="V225" i="13"/>
  <c r="V226" i="13" s="1"/>
  <c r="U225" i="13"/>
  <c r="U226" i="13" s="1"/>
  <c r="T225" i="13"/>
  <c r="T226" i="13" s="1"/>
  <c r="S225" i="13"/>
  <c r="S226" i="13" s="1"/>
  <c r="R225" i="13"/>
  <c r="R226" i="13" s="1"/>
  <c r="Q225" i="13"/>
  <c r="Q226" i="13" s="1"/>
  <c r="P225" i="13"/>
  <c r="P226" i="13" s="1"/>
  <c r="O225" i="13"/>
  <c r="O226" i="13" s="1"/>
  <c r="N225" i="13"/>
  <c r="N226" i="13" s="1"/>
  <c r="M225" i="13"/>
  <c r="M226" i="13" s="1"/>
  <c r="L225" i="13"/>
  <c r="L226" i="13" s="1"/>
  <c r="K225" i="13"/>
  <c r="H225" i="13"/>
  <c r="G225" i="13"/>
  <c r="G226" i="13" s="1"/>
  <c r="F225" i="13"/>
  <c r="E225" i="13"/>
  <c r="E226" i="13" s="1"/>
  <c r="K215" i="13"/>
  <c r="J215" i="13"/>
  <c r="I215" i="13"/>
  <c r="H215" i="13"/>
  <c r="G215" i="13"/>
  <c r="F215" i="13"/>
  <c r="E215" i="13"/>
  <c r="AV188" i="13"/>
  <c r="AU188" i="13"/>
  <c r="AT188" i="13"/>
  <c r="AS188" i="13"/>
  <c r="AR188" i="13"/>
  <c r="AQ188" i="13"/>
  <c r="AP188" i="13"/>
  <c r="AO188" i="13"/>
  <c r="AN188" i="13"/>
  <c r="AM188" i="13"/>
  <c r="AL188" i="13"/>
  <c r="AK188" i="13"/>
  <c r="AJ188" i="13"/>
  <c r="AI188" i="13"/>
  <c r="AH188" i="13"/>
  <c r="AG188" i="13"/>
  <c r="AF188" i="13"/>
  <c r="AE188" i="13"/>
  <c r="AD188" i="13"/>
  <c r="AC188" i="13"/>
  <c r="AB188" i="13"/>
  <c r="AA188" i="13"/>
  <c r="Z188" i="13"/>
  <c r="Y188" i="13"/>
  <c r="X188" i="13"/>
  <c r="W188" i="13"/>
  <c r="V188" i="13"/>
  <c r="U188" i="13"/>
  <c r="T188" i="13"/>
  <c r="S188" i="13"/>
  <c r="R188" i="13"/>
  <c r="Q188" i="13"/>
  <c r="L186" i="13"/>
  <c r="L189" i="13" s="1"/>
  <c r="L176" i="13"/>
  <c r="L179" i="13" s="1"/>
  <c r="K169" i="13"/>
  <c r="K129" i="13"/>
  <c r="K150" i="13" s="1"/>
  <c r="K57" i="13"/>
  <c r="K198" i="13" s="1"/>
  <c r="K48" i="13"/>
  <c r="I48" i="13"/>
  <c r="H48" i="13"/>
  <c r="G48" i="13"/>
  <c r="F48" i="13"/>
  <c r="E48" i="13"/>
  <c r="K47" i="13"/>
  <c r="I47" i="13"/>
  <c r="H47" i="13"/>
  <c r="G47" i="13"/>
  <c r="F47" i="13"/>
  <c r="E47" i="13"/>
  <c r="G35" i="13"/>
  <c r="G19" i="13"/>
  <c r="F19" i="13"/>
  <c r="E19" i="13"/>
  <c r="A1" i="13"/>
  <c r="E320" i="13" l="1"/>
  <c r="E82" i="42" s="1"/>
  <c r="B51" i="24"/>
  <c r="S473" i="17"/>
  <c r="T473" i="17"/>
  <c r="U473" i="17"/>
  <c r="V473" i="17"/>
  <c r="O473" i="17"/>
  <c r="O508" i="17" s="1"/>
  <c r="W473" i="17"/>
  <c r="P473" i="17"/>
  <c r="P508" i="17" s="1"/>
  <c r="X473" i="17"/>
  <c r="Q473" i="17"/>
  <c r="Q508" i="17" s="1"/>
  <c r="R473" i="17"/>
  <c r="P474" i="17"/>
  <c r="W474" i="17"/>
  <c r="O474" i="17"/>
  <c r="V474" i="17"/>
  <c r="U474" i="17"/>
  <c r="T474" i="17"/>
  <c r="S474" i="17"/>
  <c r="S509" i="17" s="1"/>
  <c r="Q474" i="17"/>
  <c r="R474" i="17"/>
  <c r="K238" i="13"/>
  <c r="K237" i="13"/>
  <c r="K250" i="13" s="1"/>
  <c r="K231" i="13"/>
  <c r="K206" i="13"/>
  <c r="AT160" i="13"/>
  <c r="AL160" i="13"/>
  <c r="AD160" i="13"/>
  <c r="V160" i="13"/>
  <c r="N160" i="13"/>
  <c r="AS160" i="13"/>
  <c r="AK160" i="13"/>
  <c r="AC160" i="13"/>
  <c r="U160" i="13"/>
  <c r="M160" i="13"/>
  <c r="AR160" i="13"/>
  <c r="AJ160" i="13"/>
  <c r="AB160" i="13"/>
  <c r="T160" i="13"/>
  <c r="L160" i="13"/>
  <c r="AO160" i="13"/>
  <c r="AG160" i="13"/>
  <c r="AU160" i="13"/>
  <c r="AM160" i="13"/>
  <c r="AE160" i="13"/>
  <c r="W160" i="13"/>
  <c r="O160" i="13"/>
  <c r="AQ160" i="13"/>
  <c r="AI160" i="13"/>
  <c r="AA160" i="13"/>
  <c r="S160" i="13"/>
  <c r="AP160" i="13"/>
  <c r="AH160" i="13"/>
  <c r="Z160" i="13"/>
  <c r="R160" i="13"/>
  <c r="Y160" i="13"/>
  <c r="Q160" i="13"/>
  <c r="AV160" i="13"/>
  <c r="AN160" i="13"/>
  <c r="AF160" i="13"/>
  <c r="X160" i="13"/>
  <c r="P160" i="13"/>
  <c r="AK129" i="13"/>
  <c r="AK237" i="13" s="1"/>
  <c r="AK250" i="13" s="1"/>
  <c r="AC129" i="13"/>
  <c r="AC237" i="13" s="1"/>
  <c r="AC250" i="13" s="1"/>
  <c r="U129" i="13"/>
  <c r="U237" i="13" s="1"/>
  <c r="U250" i="13" s="1"/>
  <c r="M129" i="13"/>
  <c r="M237" i="13" s="1"/>
  <c r="M250" i="13" s="1"/>
  <c r="AQ129" i="13"/>
  <c r="AQ237" i="13" s="1"/>
  <c r="AQ250" i="13" s="1"/>
  <c r="AI129" i="13"/>
  <c r="AI237" i="13" s="1"/>
  <c r="AI250" i="13" s="1"/>
  <c r="AA129" i="13"/>
  <c r="AA237" i="13" s="1"/>
  <c r="AA250" i="13" s="1"/>
  <c r="S129" i="13"/>
  <c r="S237" i="13" s="1"/>
  <c r="S250" i="13" s="1"/>
  <c r="AS129" i="13"/>
  <c r="AS237" i="13" s="1"/>
  <c r="AS250" i="13" s="1"/>
  <c r="E135" i="13"/>
  <c r="E136" i="13"/>
  <c r="E134" i="13"/>
  <c r="AT129" i="13"/>
  <c r="AT237" i="13" s="1"/>
  <c r="AT250" i="13" s="1"/>
  <c r="AL129" i="13"/>
  <c r="AL237" i="13" s="1"/>
  <c r="AL250" i="13" s="1"/>
  <c r="AD129" i="13"/>
  <c r="AD237" i="13" s="1"/>
  <c r="AD250" i="13" s="1"/>
  <c r="V129" i="13"/>
  <c r="V237" i="13" s="1"/>
  <c r="V250" i="13" s="1"/>
  <c r="N129" i="13"/>
  <c r="N237" i="13" s="1"/>
  <c r="N250" i="13" s="1"/>
  <c r="AP129" i="13"/>
  <c r="AP237" i="13" s="1"/>
  <c r="AP250" i="13" s="1"/>
  <c r="AH129" i="13"/>
  <c r="AH237" i="13" s="1"/>
  <c r="AH250" i="13" s="1"/>
  <c r="Z129" i="13"/>
  <c r="Z237" i="13" s="1"/>
  <c r="Z250" i="13" s="1"/>
  <c r="AR129" i="13"/>
  <c r="AR237" i="13" s="1"/>
  <c r="AR250" i="13" s="1"/>
  <c r="AJ129" i="13"/>
  <c r="AJ237" i="13" s="1"/>
  <c r="AJ250" i="13" s="1"/>
  <c r="AB129" i="13"/>
  <c r="AB237" i="13" s="1"/>
  <c r="AB250" i="13" s="1"/>
  <c r="T129" i="13"/>
  <c r="T237" i="13" s="1"/>
  <c r="T250" i="13" s="1"/>
  <c r="L129" i="13"/>
  <c r="L237" i="13" s="1"/>
  <c r="L250" i="13" s="1"/>
  <c r="AO129" i="13"/>
  <c r="AO237" i="13" s="1"/>
  <c r="AO250" i="13" s="1"/>
  <c r="AG129" i="13"/>
  <c r="AG237" i="13" s="1"/>
  <c r="AG250" i="13" s="1"/>
  <c r="Y129" i="13"/>
  <c r="Y237" i="13" s="1"/>
  <c r="Y250" i="13" s="1"/>
  <c r="Q129" i="13"/>
  <c r="Q237" i="13" s="1"/>
  <c r="Q250" i="13" s="1"/>
  <c r="AV129" i="13"/>
  <c r="AV237" i="13" s="1"/>
  <c r="AV250" i="13" s="1"/>
  <c r="AN129" i="13"/>
  <c r="AN237" i="13" s="1"/>
  <c r="AN250" i="13" s="1"/>
  <c r="AF129" i="13"/>
  <c r="AF237" i="13" s="1"/>
  <c r="AF250" i="13" s="1"/>
  <c r="X129" i="13"/>
  <c r="X237" i="13" s="1"/>
  <c r="X250" i="13" s="1"/>
  <c r="P129" i="13"/>
  <c r="P237" i="13" s="1"/>
  <c r="P250" i="13" s="1"/>
  <c r="AU129" i="13"/>
  <c r="AU237" i="13" s="1"/>
  <c r="AU250" i="13" s="1"/>
  <c r="AM129" i="13"/>
  <c r="AM237" i="13" s="1"/>
  <c r="AM250" i="13" s="1"/>
  <c r="AE129" i="13"/>
  <c r="AE237" i="13" s="1"/>
  <c r="AE250" i="13" s="1"/>
  <c r="W129" i="13"/>
  <c r="W237" i="13" s="1"/>
  <c r="W250" i="13" s="1"/>
  <c r="O129" i="13"/>
  <c r="O237" i="13" s="1"/>
  <c r="O250" i="13" s="1"/>
  <c r="R129" i="13"/>
  <c r="R237" i="13" s="1"/>
  <c r="R250" i="13" s="1"/>
  <c r="Z13" i="13"/>
  <c r="AA13" i="13"/>
  <c r="AA473" i="17" s="1"/>
  <c r="AA20" i="13"/>
  <c r="AA21" i="13" s="1"/>
  <c r="AA474" i="17" s="1"/>
  <c r="AQ20" i="13"/>
  <c r="AI20" i="13"/>
  <c r="S20" i="13"/>
  <c r="M20" i="13"/>
  <c r="AH13" i="13"/>
  <c r="AH473" i="17" s="1"/>
  <c r="AT20" i="13"/>
  <c r="AL20" i="13"/>
  <c r="AD20" i="13"/>
  <c r="AD21" i="13" s="1"/>
  <c r="AD474" i="17" s="1"/>
  <c r="V20" i="13"/>
  <c r="N20" i="13"/>
  <c r="AV20" i="13"/>
  <c r="AN20" i="13"/>
  <c r="AF20" i="13"/>
  <c r="AF21" i="13" s="1"/>
  <c r="X20" i="13"/>
  <c r="X21" i="13" s="1"/>
  <c r="P20" i="13"/>
  <c r="AU20" i="13"/>
  <c r="AM20" i="13"/>
  <c r="AE20" i="13"/>
  <c r="AE21" i="13" s="1"/>
  <c r="W20" i="13"/>
  <c r="O20" i="13"/>
  <c r="AR20" i="13"/>
  <c r="AJ20" i="13"/>
  <c r="AB20" i="13"/>
  <c r="AB21" i="13" s="1"/>
  <c r="AB474" i="17" s="1"/>
  <c r="T20" i="13"/>
  <c r="L20" i="13"/>
  <c r="L21" i="13" s="1"/>
  <c r="AP20" i="13"/>
  <c r="AH20" i="13"/>
  <c r="AH21" i="13" s="1"/>
  <c r="Z20" i="13"/>
  <c r="Z21" i="13" s="1"/>
  <c r="R20" i="13"/>
  <c r="L13" i="13"/>
  <c r="AB13" i="13"/>
  <c r="AO20" i="13"/>
  <c r="AG20" i="13"/>
  <c r="AG21" i="13" s="1"/>
  <c r="Y20" i="13"/>
  <c r="Y21" i="13" s="1"/>
  <c r="Q20" i="13"/>
  <c r="AS20" i="13"/>
  <c r="AK20" i="13"/>
  <c r="AC20" i="13"/>
  <c r="AC21" i="13" s="1"/>
  <c r="AC474" i="17" s="1"/>
  <c r="U20" i="13"/>
  <c r="AC13" i="13"/>
  <c r="AD13" i="13"/>
  <c r="AE13" i="13"/>
  <c r="AE473" i="17" s="1"/>
  <c r="Y13" i="13"/>
  <c r="AG13" i="13"/>
  <c r="AG473" i="17" s="1"/>
  <c r="AF13" i="13"/>
  <c r="AF473" i="17" s="1"/>
  <c r="J226" i="13"/>
  <c r="H221" i="12"/>
  <c r="H24" i="12"/>
  <c r="G24" i="12"/>
  <c r="E24" i="12"/>
  <c r="G380" i="1"/>
  <c r="G379" i="1"/>
  <c r="E159" i="4"/>
  <c r="E380" i="1" s="1"/>
  <c r="E153" i="4"/>
  <c r="E379" i="1" s="1"/>
  <c r="G376" i="1"/>
  <c r="F376" i="1"/>
  <c r="E376" i="1"/>
  <c r="G375" i="1"/>
  <c r="F375" i="1"/>
  <c r="E375" i="1"/>
  <c r="AV18" i="12"/>
  <c r="AV53" i="12" s="1"/>
  <c r="AU18" i="12"/>
  <c r="AU53" i="12" s="1"/>
  <c r="AT18" i="12"/>
  <c r="AT53" i="12" s="1"/>
  <c r="AS18" i="12"/>
  <c r="AS53" i="12" s="1"/>
  <c r="AR18" i="12"/>
  <c r="AQ18" i="12"/>
  <c r="AQ53" i="12" s="1"/>
  <c r="AP18" i="12"/>
  <c r="AP53" i="12" s="1"/>
  <c r="AO18" i="12"/>
  <c r="AO53" i="12" s="1"/>
  <c r="AN18" i="12"/>
  <c r="AN53" i="12" s="1"/>
  <c r="AM18" i="12"/>
  <c r="AM53" i="12" s="1"/>
  <c r="AL18" i="12"/>
  <c r="AL53" i="12" s="1"/>
  <c r="AK18" i="12"/>
  <c r="AK53" i="12" s="1"/>
  <c r="AJ18" i="12"/>
  <c r="AI18" i="12"/>
  <c r="AI53" i="12" s="1"/>
  <c r="AH18" i="12"/>
  <c r="AH53" i="12" s="1"/>
  <c r="AG18" i="12"/>
  <c r="AG53" i="12" s="1"/>
  <c r="AF18" i="12"/>
  <c r="AF53" i="12" s="1"/>
  <c r="AE18" i="12"/>
  <c r="AE53" i="12" s="1"/>
  <c r="AD18" i="12"/>
  <c r="AD53" i="12" s="1"/>
  <c r="AC18" i="12"/>
  <c r="AC53" i="12" s="1"/>
  <c r="AB18" i="12"/>
  <c r="AA18" i="12"/>
  <c r="AA53" i="12" s="1"/>
  <c r="Z18" i="12"/>
  <c r="Z53" i="12" s="1"/>
  <c r="Y18" i="12"/>
  <c r="Y53" i="12" s="1"/>
  <c r="X18" i="12"/>
  <c r="X53" i="12" s="1"/>
  <c r="W18" i="12"/>
  <c r="W53" i="12" s="1"/>
  <c r="V18" i="12"/>
  <c r="V53" i="12" s="1"/>
  <c r="U18" i="12"/>
  <c r="U53" i="12" s="1"/>
  <c r="T18" i="12"/>
  <c r="S18" i="12"/>
  <c r="S53" i="12" s="1"/>
  <c r="R18" i="12"/>
  <c r="R53" i="12" s="1"/>
  <c r="Q18" i="12"/>
  <c r="Q53" i="12" s="1"/>
  <c r="P18" i="12"/>
  <c r="P53" i="12" s="1"/>
  <c r="O18" i="12"/>
  <c r="O53" i="12" s="1"/>
  <c r="N18" i="12"/>
  <c r="N53" i="12" s="1"/>
  <c r="M18" i="12"/>
  <c r="M53" i="12" s="1"/>
  <c r="L18" i="12"/>
  <c r="K18" i="12"/>
  <c r="K53" i="12" s="1"/>
  <c r="H18" i="12"/>
  <c r="H53" i="12" s="1"/>
  <c r="G18" i="12"/>
  <c r="G53" i="12" s="1"/>
  <c r="F18" i="12"/>
  <c r="F53" i="12" s="1"/>
  <c r="E18" i="12"/>
  <c r="E53" i="12" s="1"/>
  <c r="K182" i="12"/>
  <c r="J182" i="12"/>
  <c r="I182" i="12"/>
  <c r="H182" i="12"/>
  <c r="G182" i="12"/>
  <c r="F182" i="12"/>
  <c r="E182" i="12"/>
  <c r="G200" i="12"/>
  <c r="K197" i="12"/>
  <c r="J197" i="12"/>
  <c r="I197" i="12"/>
  <c r="H197" i="12"/>
  <c r="G197" i="12"/>
  <c r="F197" i="12"/>
  <c r="E197" i="12"/>
  <c r="K129" i="12"/>
  <c r="J129" i="12"/>
  <c r="I129" i="12"/>
  <c r="H129" i="12"/>
  <c r="G129" i="12"/>
  <c r="F129" i="12"/>
  <c r="E129" i="12"/>
  <c r="L4" i="26"/>
  <c r="E140" i="12"/>
  <c r="AV163" i="12"/>
  <c r="AU163" i="12"/>
  <c r="AT163" i="12"/>
  <c r="AS163" i="12"/>
  <c r="AR163" i="12"/>
  <c r="AQ163" i="12"/>
  <c r="AP163" i="12"/>
  <c r="AO163" i="12"/>
  <c r="AN163" i="12"/>
  <c r="AM163" i="12"/>
  <c r="AL163" i="12"/>
  <c r="AK163" i="12"/>
  <c r="AJ163" i="12"/>
  <c r="AI163" i="12"/>
  <c r="AH163" i="12"/>
  <c r="AG163" i="12"/>
  <c r="AF163" i="12"/>
  <c r="AE163" i="12"/>
  <c r="AD163" i="12"/>
  <c r="AC163" i="12"/>
  <c r="AB163" i="12"/>
  <c r="AA163" i="12"/>
  <c r="Z163" i="12"/>
  <c r="Y163" i="12"/>
  <c r="X163" i="12"/>
  <c r="W163" i="12"/>
  <c r="V163" i="12"/>
  <c r="U163" i="12"/>
  <c r="T163" i="12"/>
  <c r="S163" i="12"/>
  <c r="R163" i="12"/>
  <c r="Q163" i="12"/>
  <c r="P163" i="12"/>
  <c r="O163" i="12"/>
  <c r="N163" i="12"/>
  <c r="M163" i="12"/>
  <c r="L163" i="12"/>
  <c r="K163" i="12"/>
  <c r="H163" i="12"/>
  <c r="G163" i="12"/>
  <c r="F163" i="12"/>
  <c r="E163" i="12"/>
  <c r="AV162" i="12"/>
  <c r="AV170" i="12" s="1"/>
  <c r="AU162" i="12"/>
  <c r="AU170" i="12" s="1"/>
  <c r="AT162" i="12"/>
  <c r="AT170" i="12" s="1"/>
  <c r="AS162" i="12"/>
  <c r="AS170" i="12" s="1"/>
  <c r="AR162" i="12"/>
  <c r="AR170" i="12" s="1"/>
  <c r="AQ162" i="12"/>
  <c r="AQ170" i="12" s="1"/>
  <c r="AP162" i="12"/>
  <c r="AP170" i="12" s="1"/>
  <c r="AO162" i="12"/>
  <c r="AO170" i="12" s="1"/>
  <c r="AN162" i="12"/>
  <c r="AN170" i="12" s="1"/>
  <c r="AM162" i="12"/>
  <c r="AM170" i="12" s="1"/>
  <c r="AL162" i="12"/>
  <c r="AL170" i="12" s="1"/>
  <c r="AK162" i="12"/>
  <c r="AJ162" i="12"/>
  <c r="AI162" i="12"/>
  <c r="AH162" i="12"/>
  <c r="AG162" i="12"/>
  <c r="AF162" i="12"/>
  <c r="AE162" i="12"/>
  <c r="AD162" i="12"/>
  <c r="AC162" i="12"/>
  <c r="AB162" i="12"/>
  <c r="AA162" i="12"/>
  <c r="Z162" i="12"/>
  <c r="Y162" i="12"/>
  <c r="X162" i="12"/>
  <c r="W162" i="12"/>
  <c r="V162" i="12"/>
  <c r="U162" i="12"/>
  <c r="T162" i="12"/>
  <c r="S162" i="12"/>
  <c r="R162" i="12"/>
  <c r="Q162" i="12"/>
  <c r="P162" i="12"/>
  <c r="P170" i="12" s="1"/>
  <c r="O162" i="12"/>
  <c r="O170" i="12" s="1"/>
  <c r="N162" i="12"/>
  <c r="N170" i="12" s="1"/>
  <c r="M162" i="12"/>
  <c r="M170" i="12" s="1"/>
  <c r="L162" i="12"/>
  <c r="L170" i="12" s="1"/>
  <c r="K162" i="12"/>
  <c r="H162" i="12"/>
  <c r="G162" i="12"/>
  <c r="F162" i="12"/>
  <c r="E162" i="12"/>
  <c r="E170" i="12" s="1"/>
  <c r="AV154" i="12"/>
  <c r="AU154" i="12"/>
  <c r="AT154" i="12"/>
  <c r="AS154" i="12"/>
  <c r="AR154" i="12"/>
  <c r="AQ154" i="12"/>
  <c r="AP154" i="12"/>
  <c r="AO154" i="12"/>
  <c r="AN154" i="12"/>
  <c r="AM154" i="12"/>
  <c r="AL154" i="12"/>
  <c r="AK154" i="12"/>
  <c r="AJ154" i="12"/>
  <c r="AI154" i="12"/>
  <c r="AH154" i="12"/>
  <c r="AG154" i="12"/>
  <c r="AF154" i="12"/>
  <c r="AE154" i="12"/>
  <c r="AD154" i="12"/>
  <c r="AC154" i="12"/>
  <c r="AB154" i="12"/>
  <c r="AA154" i="12"/>
  <c r="Z154" i="12"/>
  <c r="Y154" i="12"/>
  <c r="X154" i="12"/>
  <c r="W154" i="12"/>
  <c r="V154" i="12"/>
  <c r="U154" i="12"/>
  <c r="T154" i="12"/>
  <c r="S154" i="12"/>
  <c r="R154" i="12"/>
  <c r="Q154" i="12"/>
  <c r="P154" i="12"/>
  <c r="O154" i="12"/>
  <c r="N154" i="12"/>
  <c r="M154" i="12"/>
  <c r="L154" i="12"/>
  <c r="K154" i="12"/>
  <c r="H154" i="12"/>
  <c r="G154" i="12"/>
  <c r="F154" i="12"/>
  <c r="E154" i="12"/>
  <c r="AV136" i="12"/>
  <c r="AV137" i="12" s="1"/>
  <c r="AU136" i="12"/>
  <c r="AU137" i="12" s="1"/>
  <c r="AT136" i="12"/>
  <c r="AT137" i="12" s="1"/>
  <c r="AS136" i="12"/>
  <c r="AS137" i="12" s="1"/>
  <c r="AR136" i="12"/>
  <c r="AR137" i="12" s="1"/>
  <c r="AQ136" i="12"/>
  <c r="AQ137" i="12" s="1"/>
  <c r="AP136" i="12"/>
  <c r="AP137" i="12" s="1"/>
  <c r="AO136" i="12"/>
  <c r="AO137" i="12" s="1"/>
  <c r="AN136" i="12"/>
  <c r="AN137" i="12" s="1"/>
  <c r="AM136" i="12"/>
  <c r="AM137" i="12" s="1"/>
  <c r="AL136" i="12"/>
  <c r="AL137" i="12" s="1"/>
  <c r="AK136" i="12"/>
  <c r="AK137" i="12" s="1"/>
  <c r="AJ136" i="12"/>
  <c r="AJ137" i="12" s="1"/>
  <c r="AI136" i="12"/>
  <c r="AI137" i="12" s="1"/>
  <c r="AH136" i="12"/>
  <c r="AH137" i="12" s="1"/>
  <c r="AG136" i="12"/>
  <c r="AG137" i="12" s="1"/>
  <c r="AF136" i="12"/>
  <c r="AF137" i="12" s="1"/>
  <c r="AE136" i="12"/>
  <c r="AE137" i="12" s="1"/>
  <c r="AD136" i="12"/>
  <c r="AD137" i="12" s="1"/>
  <c r="AC136" i="12"/>
  <c r="AC137" i="12" s="1"/>
  <c r="AB136" i="12"/>
  <c r="AB137" i="12" s="1"/>
  <c r="AA136" i="12"/>
  <c r="AA137" i="12" s="1"/>
  <c r="Z136" i="12"/>
  <c r="Z137" i="12" s="1"/>
  <c r="Y136" i="12"/>
  <c r="Y137" i="12" s="1"/>
  <c r="X136" i="12"/>
  <c r="X137" i="12" s="1"/>
  <c r="W136" i="12"/>
  <c r="W137" i="12" s="1"/>
  <c r="V136" i="12"/>
  <c r="V137" i="12" s="1"/>
  <c r="U136" i="12"/>
  <c r="U137" i="12" s="1"/>
  <c r="T136" i="12"/>
  <c r="T137" i="12" s="1"/>
  <c r="S136" i="12"/>
  <c r="S137" i="12" s="1"/>
  <c r="R136" i="12"/>
  <c r="R137" i="12" s="1"/>
  <c r="Q136" i="12"/>
  <c r="Q137" i="12" s="1"/>
  <c r="P136" i="12"/>
  <c r="P137" i="12" s="1"/>
  <c r="O136" i="12"/>
  <c r="O137" i="12" s="1"/>
  <c r="N136" i="12"/>
  <c r="N137" i="12" s="1"/>
  <c r="M136" i="12"/>
  <c r="M137" i="12" s="1"/>
  <c r="L136" i="12"/>
  <c r="L137" i="12" s="1"/>
  <c r="K136" i="12"/>
  <c r="H136" i="12"/>
  <c r="G136" i="12"/>
  <c r="G137" i="12" s="1"/>
  <c r="F136" i="12"/>
  <c r="E136" i="12"/>
  <c r="E143" i="12" s="1"/>
  <c r="AV67" i="12"/>
  <c r="AV82" i="12" s="1"/>
  <c r="AV84" i="12" s="1"/>
  <c r="AU67" i="12"/>
  <c r="AU94" i="12" s="1"/>
  <c r="AU95" i="12" s="1"/>
  <c r="AT67" i="12"/>
  <c r="AT82" i="12" s="1"/>
  <c r="AT84" i="12" s="1"/>
  <c r="AS67" i="12"/>
  <c r="AR67" i="12"/>
  <c r="AR82" i="12" s="1"/>
  <c r="AR84" i="12" s="1"/>
  <c r="AQ67" i="12"/>
  <c r="AQ94" i="12" s="1"/>
  <c r="AQ95" i="12" s="1"/>
  <c r="AP67" i="12"/>
  <c r="AP82" i="12" s="1"/>
  <c r="AP84" i="12" s="1"/>
  <c r="AO67" i="12"/>
  <c r="AO94" i="12" s="1"/>
  <c r="AO95" i="12" s="1"/>
  <c r="AN67" i="12"/>
  <c r="AN82" i="12" s="1"/>
  <c r="AN84" i="12" s="1"/>
  <c r="AM67" i="12"/>
  <c r="AM82" i="12" s="1"/>
  <c r="AM84" i="12" s="1"/>
  <c r="AL67" i="12"/>
  <c r="AL94" i="12" s="1"/>
  <c r="AL95" i="12" s="1"/>
  <c r="AK67" i="12"/>
  <c r="AK94" i="12" s="1"/>
  <c r="AK95" i="12" s="1"/>
  <c r="AJ67" i="12"/>
  <c r="AJ82" i="12" s="1"/>
  <c r="AJ84" i="12" s="1"/>
  <c r="AI67" i="12"/>
  <c r="AI94" i="12" s="1"/>
  <c r="AI95" i="12" s="1"/>
  <c r="AH67" i="12"/>
  <c r="AH82" i="12" s="1"/>
  <c r="AH84" i="12" s="1"/>
  <c r="AG67" i="12"/>
  <c r="AG82" i="12" s="1"/>
  <c r="AG84" i="12" s="1"/>
  <c r="AF67" i="12"/>
  <c r="AF94" i="12" s="1"/>
  <c r="AF95" i="12" s="1"/>
  <c r="AE67" i="12"/>
  <c r="AE82" i="12" s="1"/>
  <c r="AE84" i="12" s="1"/>
  <c r="AD67" i="12"/>
  <c r="AD82" i="12" s="1"/>
  <c r="AD84" i="12" s="1"/>
  <c r="AC67" i="12"/>
  <c r="AC94" i="12" s="1"/>
  <c r="AC95" i="12" s="1"/>
  <c r="AB67" i="12"/>
  <c r="AB82" i="12" s="1"/>
  <c r="AB84" i="12" s="1"/>
  <c r="AA67" i="12"/>
  <c r="AA94" i="12" s="1"/>
  <c r="AA95" i="12" s="1"/>
  <c r="Z67" i="12"/>
  <c r="Z82" i="12" s="1"/>
  <c r="Z84" i="12" s="1"/>
  <c r="Y67" i="12"/>
  <c r="Y82" i="12" s="1"/>
  <c r="Y84" i="12" s="1"/>
  <c r="X67" i="12"/>
  <c r="X82" i="12" s="1"/>
  <c r="X84" i="12" s="1"/>
  <c r="W67" i="12"/>
  <c r="W82" i="12" s="1"/>
  <c r="W84" i="12" s="1"/>
  <c r="V67" i="12"/>
  <c r="V82" i="12" s="1"/>
  <c r="V84" i="12" s="1"/>
  <c r="U67" i="12"/>
  <c r="U82" i="12" s="1"/>
  <c r="U84" i="12" s="1"/>
  <c r="T67" i="12"/>
  <c r="T94" i="12" s="1"/>
  <c r="T95" i="12" s="1"/>
  <c r="S67" i="12"/>
  <c r="S82" i="12" s="1"/>
  <c r="S84" i="12" s="1"/>
  <c r="R67" i="12"/>
  <c r="R82" i="12" s="1"/>
  <c r="R84" i="12" s="1"/>
  <c r="Q67" i="12"/>
  <c r="Q82" i="12" s="1"/>
  <c r="Q84" i="12" s="1"/>
  <c r="P67" i="12"/>
  <c r="P82" i="12" s="1"/>
  <c r="P84" i="12" s="1"/>
  <c r="O67" i="12"/>
  <c r="O94" i="12" s="1"/>
  <c r="O95" i="12" s="1"/>
  <c r="N67" i="12"/>
  <c r="N94" i="12" s="1"/>
  <c r="N95" i="12" s="1"/>
  <c r="M67" i="12"/>
  <c r="M82" i="12" s="1"/>
  <c r="L67" i="12"/>
  <c r="L105" i="12" s="1"/>
  <c r="L106" i="12" s="1"/>
  <c r="K67" i="12"/>
  <c r="H67" i="12"/>
  <c r="G67" i="12"/>
  <c r="F67" i="12"/>
  <c r="E67" i="12"/>
  <c r="AV64" i="12"/>
  <c r="AU64" i="12"/>
  <c r="AT64" i="12"/>
  <c r="AS64" i="12"/>
  <c r="AR64" i="12"/>
  <c r="AQ64" i="12"/>
  <c r="AP64" i="12"/>
  <c r="AO64" i="12"/>
  <c r="AN64" i="12"/>
  <c r="AM64" i="12"/>
  <c r="AL64" i="12"/>
  <c r="AK64" i="12"/>
  <c r="AJ64" i="12"/>
  <c r="AI64" i="12"/>
  <c r="AH64" i="12"/>
  <c r="AG64" i="12"/>
  <c r="AF64" i="12"/>
  <c r="AE64" i="12"/>
  <c r="AD64" i="12"/>
  <c r="AC64" i="12"/>
  <c r="AB64" i="12"/>
  <c r="AA64" i="12"/>
  <c r="Z64" i="12"/>
  <c r="Y64" i="12"/>
  <c r="X64" i="12"/>
  <c r="W64" i="12"/>
  <c r="V64" i="12"/>
  <c r="U64" i="12"/>
  <c r="T64" i="12"/>
  <c r="S64" i="12"/>
  <c r="R64" i="12"/>
  <c r="Q64" i="12"/>
  <c r="P64" i="12"/>
  <c r="O64" i="12"/>
  <c r="N64" i="12"/>
  <c r="M64" i="12"/>
  <c r="L64" i="12"/>
  <c r="K64" i="12"/>
  <c r="H64" i="12"/>
  <c r="G64" i="12"/>
  <c r="F64" i="12"/>
  <c r="E64" i="12"/>
  <c r="AV63" i="12"/>
  <c r="AU63" i="12"/>
  <c r="AT63" i="12"/>
  <c r="AS63" i="12"/>
  <c r="AR63" i="12"/>
  <c r="AQ63" i="12"/>
  <c r="AP63" i="12"/>
  <c r="AO63" i="12"/>
  <c r="AN63" i="12"/>
  <c r="AM63" i="12"/>
  <c r="AL63" i="12"/>
  <c r="AK63" i="12"/>
  <c r="AJ63" i="12"/>
  <c r="AI63" i="12"/>
  <c r="AH63" i="12"/>
  <c r="AG63" i="12"/>
  <c r="AF63" i="12"/>
  <c r="AE63" i="12"/>
  <c r="AD63" i="12"/>
  <c r="AC63" i="12"/>
  <c r="AB63" i="12"/>
  <c r="AA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N63" i="12"/>
  <c r="M63" i="12"/>
  <c r="L63" i="12"/>
  <c r="K63" i="12"/>
  <c r="H63" i="12"/>
  <c r="G63" i="12"/>
  <c r="F63" i="12"/>
  <c r="E63" i="12"/>
  <c r="E76" i="12" s="1"/>
  <c r="AV62" i="12"/>
  <c r="AU62" i="12"/>
  <c r="AT62" i="12"/>
  <c r="AS62" i="12"/>
  <c r="AR62" i="12"/>
  <c r="AQ62" i="12"/>
  <c r="AP62" i="12"/>
  <c r="AO62" i="12"/>
  <c r="AN62" i="12"/>
  <c r="AM62" i="12"/>
  <c r="AL62" i="12"/>
  <c r="AK62" i="12"/>
  <c r="AJ62" i="12"/>
  <c r="AI62" i="12"/>
  <c r="AH62" i="12"/>
  <c r="AG62" i="12"/>
  <c r="AF62" i="12"/>
  <c r="AE62" i="12"/>
  <c r="AD62" i="12"/>
  <c r="AC62" i="12"/>
  <c r="AB62" i="12"/>
  <c r="AA62" i="12"/>
  <c r="Z62" i="12"/>
  <c r="Y62" i="12"/>
  <c r="X62" i="12"/>
  <c r="W62" i="12"/>
  <c r="V62" i="12"/>
  <c r="U62" i="12"/>
  <c r="T62" i="12"/>
  <c r="S62" i="12"/>
  <c r="R62" i="12"/>
  <c r="Q62" i="12"/>
  <c r="P62" i="12"/>
  <c r="O62" i="12"/>
  <c r="N62" i="12"/>
  <c r="M62" i="12"/>
  <c r="L62" i="12"/>
  <c r="K62" i="12"/>
  <c r="H62" i="12"/>
  <c r="G62" i="12"/>
  <c r="F62" i="12"/>
  <c r="E62" i="12"/>
  <c r="E72" i="12" s="1"/>
  <c r="AV61" i="12"/>
  <c r="AU61" i="12"/>
  <c r="AT61" i="12"/>
  <c r="AS61" i="12"/>
  <c r="AR61" i="12"/>
  <c r="AQ61" i="12"/>
  <c r="AP61" i="12"/>
  <c r="AO61" i="12"/>
  <c r="AN61" i="12"/>
  <c r="AM61" i="12"/>
  <c r="AL61" i="12"/>
  <c r="AK61" i="12"/>
  <c r="AJ61" i="12"/>
  <c r="AI61" i="12"/>
  <c r="AH61" i="12"/>
  <c r="AG61" i="12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N61" i="12"/>
  <c r="M61" i="12"/>
  <c r="L61" i="12"/>
  <c r="K61" i="12"/>
  <c r="H61" i="12"/>
  <c r="G61" i="12"/>
  <c r="F61" i="12"/>
  <c r="E61" i="12"/>
  <c r="AV41" i="12"/>
  <c r="AU41" i="12"/>
  <c r="AT41" i="12"/>
  <c r="AS41" i="12"/>
  <c r="AR41" i="12"/>
  <c r="AQ41" i="12"/>
  <c r="AP41" i="12"/>
  <c r="AO41" i="12"/>
  <c r="AN41" i="12"/>
  <c r="AM41" i="12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H41" i="12"/>
  <c r="G41" i="12"/>
  <c r="G42" i="12" s="1"/>
  <c r="F41" i="12"/>
  <c r="E41" i="12"/>
  <c r="AV40" i="12"/>
  <c r="AU40" i="12"/>
  <c r="AT40" i="12"/>
  <c r="AS40" i="12"/>
  <c r="AR40" i="12"/>
  <c r="AQ40" i="12"/>
  <c r="AP40" i="12"/>
  <c r="AO40" i="12"/>
  <c r="AN40" i="12"/>
  <c r="AM40" i="12"/>
  <c r="AL40" i="12"/>
  <c r="AK40" i="12"/>
  <c r="AJ40" i="12"/>
  <c r="AI40" i="12"/>
  <c r="AH40" i="12"/>
  <c r="AG40" i="12"/>
  <c r="AF40" i="12"/>
  <c r="AE40" i="12"/>
  <c r="AD40" i="12"/>
  <c r="AC40" i="12"/>
  <c r="AB40" i="12"/>
  <c r="AA40" i="12"/>
  <c r="Z40" i="12"/>
  <c r="Y40" i="12"/>
  <c r="X40" i="12"/>
  <c r="W40" i="12"/>
  <c r="V40" i="12"/>
  <c r="U40" i="12"/>
  <c r="T40" i="12"/>
  <c r="S40" i="12"/>
  <c r="R40" i="12"/>
  <c r="Q40" i="12"/>
  <c r="P40" i="12"/>
  <c r="O40" i="12"/>
  <c r="N40" i="12"/>
  <c r="M40" i="12"/>
  <c r="L40" i="12"/>
  <c r="K40" i="12"/>
  <c r="H40" i="12"/>
  <c r="G40" i="12"/>
  <c r="F40" i="12"/>
  <c r="E40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H39" i="12"/>
  <c r="G39" i="12"/>
  <c r="F39" i="12"/>
  <c r="E39" i="12"/>
  <c r="E51" i="12" s="1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H36" i="12"/>
  <c r="G36" i="12"/>
  <c r="F36" i="12"/>
  <c r="E36" i="12"/>
  <c r="G221" i="12" s="1"/>
  <c r="K32" i="12"/>
  <c r="I32" i="12"/>
  <c r="H32" i="12"/>
  <c r="G32" i="12"/>
  <c r="F32" i="12"/>
  <c r="K31" i="12"/>
  <c r="I31" i="12"/>
  <c r="H31" i="12"/>
  <c r="G31" i="12"/>
  <c r="F31" i="12"/>
  <c r="V389" i="1"/>
  <c r="V390" i="1" s="1"/>
  <c r="AV386" i="1"/>
  <c r="AU386" i="1"/>
  <c r="AT386" i="1"/>
  <c r="AS386" i="1"/>
  <c r="AR386" i="1"/>
  <c r="AQ386" i="1"/>
  <c r="AP386" i="1"/>
  <c r="AO386" i="1"/>
  <c r="AN386" i="1"/>
  <c r="AM386" i="1"/>
  <c r="AL386" i="1"/>
  <c r="AK386" i="1"/>
  <c r="AJ386" i="1"/>
  <c r="AI386" i="1"/>
  <c r="AH386" i="1"/>
  <c r="AG386" i="1"/>
  <c r="AF386" i="1"/>
  <c r="AE386" i="1"/>
  <c r="AD386" i="1"/>
  <c r="AC386" i="1"/>
  <c r="AB386" i="1"/>
  <c r="AA386" i="1"/>
  <c r="Z386" i="1"/>
  <c r="Y386" i="1"/>
  <c r="X386" i="1"/>
  <c r="W386" i="1"/>
  <c r="V386" i="1"/>
  <c r="U386" i="1"/>
  <c r="T386" i="1"/>
  <c r="S386" i="1"/>
  <c r="R386" i="1"/>
  <c r="Q386" i="1"/>
  <c r="P386" i="1"/>
  <c r="O386" i="1"/>
  <c r="N386" i="1"/>
  <c r="M386" i="1"/>
  <c r="L386" i="1"/>
  <c r="G14" i="12"/>
  <c r="F14" i="12"/>
  <c r="E14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H13" i="12"/>
  <c r="G13" i="12"/>
  <c r="F13" i="12"/>
  <c r="E13" i="12"/>
  <c r="E15" i="12" s="1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H12" i="12"/>
  <c r="G12" i="12"/>
  <c r="F12" i="12"/>
  <c r="E12" i="12"/>
  <c r="A1" i="12"/>
  <c r="B52" i="24" s="1"/>
  <c r="E31" i="12"/>
  <c r="E32" i="12"/>
  <c r="E75" i="12"/>
  <c r="F75" i="12"/>
  <c r="G75" i="12"/>
  <c r="I75" i="12"/>
  <c r="J75" i="12"/>
  <c r="K75" i="12"/>
  <c r="E83" i="12"/>
  <c r="G83" i="12"/>
  <c r="E85" i="12"/>
  <c r="L93" i="12"/>
  <c r="L96" i="12" s="1"/>
  <c r="L104" i="12"/>
  <c r="L107" i="12" s="1"/>
  <c r="Q106" i="12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AE106" i="12"/>
  <c r="AF106" i="12"/>
  <c r="AG106" i="12"/>
  <c r="AH106" i="12"/>
  <c r="AI106" i="12"/>
  <c r="AJ106" i="12"/>
  <c r="AK106" i="12"/>
  <c r="AL106" i="12"/>
  <c r="AM106" i="12"/>
  <c r="AN106" i="12"/>
  <c r="AO106" i="12"/>
  <c r="AP106" i="12"/>
  <c r="AQ106" i="12"/>
  <c r="AR106" i="12"/>
  <c r="AS106" i="12"/>
  <c r="AT106" i="12"/>
  <c r="AU106" i="12"/>
  <c r="AV106" i="12"/>
  <c r="E175" i="12"/>
  <c r="I196" i="12"/>
  <c r="J196" i="12"/>
  <c r="K196" i="12"/>
  <c r="E200" i="12"/>
  <c r="I205" i="12"/>
  <c r="I206" i="12"/>
  <c r="I207" i="12"/>
  <c r="I208" i="12"/>
  <c r="G223" i="12"/>
  <c r="G224" i="12"/>
  <c r="G225" i="12"/>
  <c r="AD473" i="17" l="1"/>
  <c r="AC473" i="17"/>
  <c r="AB473" i="17"/>
  <c r="L473" i="17"/>
  <c r="L508" i="17" s="1"/>
  <c r="L516" i="17" s="1"/>
  <c r="L521" i="17" s="1"/>
  <c r="L528" i="17" s="1"/>
  <c r="Z473" i="17"/>
  <c r="Y473" i="17"/>
  <c r="L474" i="17"/>
  <c r="L509" i="17" s="1"/>
  <c r="L517" i="17" s="1"/>
  <c r="L522" i="17" s="1"/>
  <c r="L529" i="17" s="1"/>
  <c r="X474" i="17"/>
  <c r="AG474" i="17"/>
  <c r="AF474" i="17"/>
  <c r="Z474" i="17"/>
  <c r="AH474" i="17"/>
  <c r="Y474" i="17"/>
  <c r="AE474" i="17"/>
  <c r="E218" i="12"/>
  <c r="L42" i="12"/>
  <c r="L156" i="12"/>
  <c r="L157" i="12" s="1"/>
  <c r="L158" i="12" s="1"/>
  <c r="S15" i="12"/>
  <c r="L4" i="17"/>
  <c r="L567" i="17"/>
  <c r="L569" i="17" s="1"/>
  <c r="AH146" i="13"/>
  <c r="K146" i="13"/>
  <c r="S146" i="13"/>
  <c r="AA146" i="13"/>
  <c r="AI146" i="13"/>
  <c r="AQ146" i="13"/>
  <c r="E164" i="13"/>
  <c r="E165" i="13" s="1"/>
  <c r="O156" i="12"/>
  <c r="W156" i="12"/>
  <c r="AE156" i="12"/>
  <c r="AM156" i="12"/>
  <c r="AU156" i="12"/>
  <c r="H146" i="13"/>
  <c r="AB146" i="13"/>
  <c r="F164" i="13"/>
  <c r="P156" i="12"/>
  <c r="X156" i="12"/>
  <c r="AF156" i="12"/>
  <c r="AN156" i="12"/>
  <c r="AV156" i="12"/>
  <c r="AL156" i="12"/>
  <c r="M146" i="13"/>
  <c r="U146" i="13"/>
  <c r="AC146" i="13"/>
  <c r="AK146" i="13"/>
  <c r="AS146" i="13"/>
  <c r="G164" i="13"/>
  <c r="Q164" i="13"/>
  <c r="Q165" i="13" s="1"/>
  <c r="Y156" i="12"/>
  <c r="AG156" i="12"/>
  <c r="AO156" i="12"/>
  <c r="T146" i="13"/>
  <c r="N146" i="13"/>
  <c r="V146" i="13"/>
  <c r="AD146" i="13"/>
  <c r="AL146" i="13"/>
  <c r="AT146" i="13"/>
  <c r="H164" i="13"/>
  <c r="R156" i="12"/>
  <c r="Z156" i="12"/>
  <c r="AH156" i="12"/>
  <c r="AP156" i="12"/>
  <c r="V156" i="12"/>
  <c r="AR146" i="13"/>
  <c r="O146" i="13"/>
  <c r="W146" i="13"/>
  <c r="AE146" i="13"/>
  <c r="AM146" i="13"/>
  <c r="AU146" i="13"/>
  <c r="K164" i="13"/>
  <c r="S164" i="13"/>
  <c r="S165" i="13" s="1"/>
  <c r="AA156" i="12"/>
  <c r="AI156" i="12"/>
  <c r="AQ156" i="12"/>
  <c r="Z146" i="13"/>
  <c r="N156" i="12"/>
  <c r="AJ146" i="13"/>
  <c r="F146" i="13"/>
  <c r="P146" i="13"/>
  <c r="X146" i="13"/>
  <c r="AF146" i="13"/>
  <c r="AN146" i="13"/>
  <c r="AV146" i="13"/>
  <c r="T156" i="12"/>
  <c r="AB156" i="12"/>
  <c r="AJ156" i="12"/>
  <c r="AR156" i="12"/>
  <c r="AP146" i="13"/>
  <c r="AD156" i="12"/>
  <c r="AT156" i="12"/>
  <c r="G146" i="13"/>
  <c r="Q146" i="13"/>
  <c r="Y146" i="13"/>
  <c r="AG146" i="13"/>
  <c r="AO146" i="13"/>
  <c r="M156" i="12"/>
  <c r="U156" i="12"/>
  <c r="AC156" i="12"/>
  <c r="AK156" i="12"/>
  <c r="AS156" i="12"/>
  <c r="R146" i="13"/>
  <c r="R71" i="12"/>
  <c r="L146" i="13"/>
  <c r="F71" i="12"/>
  <c r="P150" i="13"/>
  <c r="P206" i="13"/>
  <c r="AO150" i="13"/>
  <c r="AO206" i="13"/>
  <c r="AP150" i="13"/>
  <c r="AP206" i="13"/>
  <c r="AC150" i="13"/>
  <c r="AC206" i="13"/>
  <c r="X150" i="13"/>
  <c r="X206" i="13"/>
  <c r="L150" i="13"/>
  <c r="L206" i="13"/>
  <c r="N150" i="13"/>
  <c r="N206" i="13"/>
  <c r="AS150" i="13"/>
  <c r="AS206" i="13"/>
  <c r="AK150" i="13"/>
  <c r="AK206" i="13"/>
  <c r="R150" i="13"/>
  <c r="R206" i="13"/>
  <c r="AF150" i="13"/>
  <c r="AF206" i="13"/>
  <c r="T150" i="13"/>
  <c r="T206" i="13"/>
  <c r="V150" i="13"/>
  <c r="V206" i="13"/>
  <c r="S150" i="13"/>
  <c r="S206" i="13"/>
  <c r="O150" i="13"/>
  <c r="O206" i="13"/>
  <c r="AN150" i="13"/>
  <c r="AN206" i="13"/>
  <c r="AB150" i="13"/>
  <c r="AB206" i="13"/>
  <c r="AD150" i="13"/>
  <c r="AD206" i="13"/>
  <c r="AA150" i="13"/>
  <c r="AA206" i="13"/>
  <c r="W150" i="13"/>
  <c r="W206" i="13"/>
  <c r="AV150" i="13"/>
  <c r="AV206" i="13"/>
  <c r="AJ150" i="13"/>
  <c r="AJ206" i="13"/>
  <c r="AL150" i="13"/>
  <c r="AL206" i="13"/>
  <c r="AI150" i="13"/>
  <c r="AI206" i="13"/>
  <c r="AE150" i="13"/>
  <c r="AE206" i="13"/>
  <c r="Q150" i="13"/>
  <c r="Q206" i="13"/>
  <c r="AR150" i="13"/>
  <c r="AR206" i="13"/>
  <c r="AT150" i="13"/>
  <c r="AT206" i="13"/>
  <c r="AQ150" i="13"/>
  <c r="AQ206" i="13"/>
  <c r="AM150" i="13"/>
  <c r="AM206" i="13"/>
  <c r="Y150" i="13"/>
  <c r="Y206" i="13"/>
  <c r="Z150" i="13"/>
  <c r="Z206" i="13"/>
  <c r="M150" i="13"/>
  <c r="M206" i="13"/>
  <c r="AU150" i="13"/>
  <c r="AU206" i="13"/>
  <c r="AG150" i="13"/>
  <c r="AG206" i="13"/>
  <c r="AH150" i="13"/>
  <c r="AH206" i="13"/>
  <c r="U150" i="13"/>
  <c r="U206" i="13"/>
  <c r="Q156" i="12"/>
  <c r="S156" i="12"/>
  <c r="L215" i="13"/>
  <c r="L217" i="13" s="1"/>
  <c r="L4" i="13"/>
  <c r="Z172" i="12"/>
  <c r="Z164" i="13"/>
  <c r="Z165" i="13" s="1"/>
  <c r="AP172" i="12"/>
  <c r="AP164" i="13"/>
  <c r="AP165" i="13" s="1"/>
  <c r="AA172" i="12"/>
  <c r="AA164" i="13"/>
  <c r="AA165" i="13" s="1"/>
  <c r="AI172" i="12"/>
  <c r="AI164" i="13"/>
  <c r="AI165" i="13" s="1"/>
  <c r="AQ172" i="12"/>
  <c r="AQ164" i="13"/>
  <c r="AQ165" i="13" s="1"/>
  <c r="L172" i="12"/>
  <c r="L164" i="13"/>
  <c r="L165" i="13" s="1"/>
  <c r="AK172" i="12"/>
  <c r="AK164" i="13"/>
  <c r="AK165" i="13" s="1"/>
  <c r="AS172" i="12"/>
  <c r="AS164" i="13"/>
  <c r="AS165" i="13" s="1"/>
  <c r="AB172" i="12"/>
  <c r="AB164" i="13"/>
  <c r="AB165" i="13" s="1"/>
  <c r="U172" i="12"/>
  <c r="U164" i="13"/>
  <c r="U165" i="13" s="1"/>
  <c r="N172" i="12"/>
  <c r="N164" i="13"/>
  <c r="N165" i="13" s="1"/>
  <c r="V172" i="12"/>
  <c r="V164" i="13"/>
  <c r="V165" i="13" s="1"/>
  <c r="AD172" i="12"/>
  <c r="AD164" i="13"/>
  <c r="AD165" i="13" s="1"/>
  <c r="AL172" i="12"/>
  <c r="AL164" i="13"/>
  <c r="AL165" i="13" s="1"/>
  <c r="AT172" i="12"/>
  <c r="AT164" i="13"/>
  <c r="AT165" i="13" s="1"/>
  <c r="AR172" i="12"/>
  <c r="AR164" i="13"/>
  <c r="AR165" i="13" s="1"/>
  <c r="E71" i="12"/>
  <c r="E146" i="13"/>
  <c r="O184" i="12"/>
  <c r="O164" i="13"/>
  <c r="O165" i="13" s="1"/>
  <c r="W172" i="12"/>
  <c r="W164" i="13"/>
  <c r="W165" i="13" s="1"/>
  <c r="AE172" i="12"/>
  <c r="AE164" i="13"/>
  <c r="AE165" i="13" s="1"/>
  <c r="AM172" i="12"/>
  <c r="AM164" i="13"/>
  <c r="AM165" i="13" s="1"/>
  <c r="AU172" i="12"/>
  <c r="AU164" i="13"/>
  <c r="AU165" i="13" s="1"/>
  <c r="M172" i="12"/>
  <c r="M164" i="13"/>
  <c r="M165" i="13" s="1"/>
  <c r="P184" i="12"/>
  <c r="P164" i="13"/>
  <c r="P165" i="13" s="1"/>
  <c r="X172" i="12"/>
  <c r="X164" i="13"/>
  <c r="X165" i="13" s="1"/>
  <c r="AF172" i="12"/>
  <c r="AF164" i="13"/>
  <c r="AF165" i="13" s="1"/>
  <c r="AN172" i="12"/>
  <c r="AN164" i="13"/>
  <c r="AN165" i="13" s="1"/>
  <c r="AV172" i="12"/>
  <c r="AV164" i="13"/>
  <c r="AV165" i="13" s="1"/>
  <c r="T172" i="12"/>
  <c r="T164" i="13"/>
  <c r="T165" i="13" s="1"/>
  <c r="AJ172" i="12"/>
  <c r="AJ164" i="13"/>
  <c r="AJ165" i="13" s="1"/>
  <c r="AC172" i="12"/>
  <c r="AC164" i="13"/>
  <c r="AC165" i="13" s="1"/>
  <c r="Y172" i="12"/>
  <c r="Y164" i="13"/>
  <c r="Y165" i="13" s="1"/>
  <c r="AG172" i="12"/>
  <c r="AG164" i="13"/>
  <c r="AG165" i="13" s="1"/>
  <c r="AO172" i="12"/>
  <c r="AO164" i="13"/>
  <c r="AO165" i="13" s="1"/>
  <c r="R172" i="12"/>
  <c r="R164" i="13"/>
  <c r="R165" i="13" s="1"/>
  <c r="AH172" i="12"/>
  <c r="AH164" i="13"/>
  <c r="AH165" i="13" s="1"/>
  <c r="J160" i="13"/>
  <c r="J129" i="13"/>
  <c r="J237" i="13" s="1"/>
  <c r="J250" i="13" s="1"/>
  <c r="L53" i="12"/>
  <c r="T53" i="12"/>
  <c r="AB53" i="12"/>
  <c r="AJ53" i="12"/>
  <c r="AR53" i="12"/>
  <c r="M13" i="13"/>
  <c r="AI13" i="13"/>
  <c r="AI473" i="17" s="1"/>
  <c r="M21" i="13"/>
  <c r="M474" i="17" s="1"/>
  <c r="AI21" i="13"/>
  <c r="L82" i="12"/>
  <c r="AR94" i="12"/>
  <c r="AR95" i="12" s="1"/>
  <c r="F377" i="1"/>
  <c r="AK82" i="12"/>
  <c r="AK84" i="12" s="1"/>
  <c r="AC82" i="12"/>
  <c r="AC84" i="12" s="1"/>
  <c r="L4" i="12"/>
  <c r="L4" i="10"/>
  <c r="L129" i="12"/>
  <c r="L131" i="12" s="1"/>
  <c r="L4" i="4"/>
  <c r="M71" i="12"/>
  <c r="U71" i="12"/>
  <c r="AC71" i="12"/>
  <c r="AS71" i="12"/>
  <c r="T82" i="12"/>
  <c r="T84" i="12" s="1"/>
  <c r="AJ94" i="12"/>
  <c r="AJ95" i="12" s="1"/>
  <c r="AQ82" i="12"/>
  <c r="AQ84" i="12" s="1"/>
  <c r="T71" i="12"/>
  <c r="AR71" i="12"/>
  <c r="AB94" i="12"/>
  <c r="AB95" i="12" s="1"/>
  <c r="S94" i="12"/>
  <c r="S95" i="12" s="1"/>
  <c r="AU82" i="12"/>
  <c r="AU84" i="12" s="1"/>
  <c r="O172" i="12"/>
  <c r="W94" i="12"/>
  <c r="W95" i="12" s="1"/>
  <c r="AI82" i="12"/>
  <c r="AI84" i="12" s="1"/>
  <c r="AG72" i="12"/>
  <c r="S71" i="12"/>
  <c r="AA82" i="12"/>
  <c r="AA84" i="12" s="1"/>
  <c r="P44" i="12"/>
  <c r="P49" i="12" s="1"/>
  <c r="AN44" i="12"/>
  <c r="AN49" i="12" s="1"/>
  <c r="O72" i="12"/>
  <c r="L4" i="1"/>
  <c r="AA71" i="12"/>
  <c r="AI71" i="12"/>
  <c r="AQ71" i="12"/>
  <c r="X42" i="12"/>
  <c r="AF42" i="12"/>
  <c r="AV42" i="12"/>
  <c r="P65" i="12"/>
  <c r="X65" i="12"/>
  <c r="AF65" i="12"/>
  <c r="AN65" i="12"/>
  <c r="AV65" i="12"/>
  <c r="V72" i="12"/>
  <c r="AR65" i="12"/>
  <c r="W15" i="12"/>
  <c r="AB72" i="12"/>
  <c r="AF82" i="12"/>
  <c r="AF84" i="12" s="1"/>
  <c r="P172" i="12"/>
  <c r="S42" i="12"/>
  <c r="AI42" i="12"/>
  <c r="AQ42" i="12"/>
  <c r="X94" i="12"/>
  <c r="X95" i="12" s="1"/>
  <c r="AJ44" i="12"/>
  <c r="AJ49" i="12" s="1"/>
  <c r="AV19" i="12"/>
  <c r="AT19" i="12"/>
  <c r="L72" i="12"/>
  <c r="T72" i="12"/>
  <c r="AJ72" i="12"/>
  <c r="AR72" i="12"/>
  <c r="U44" i="12"/>
  <c r="U49" i="12" s="1"/>
  <c r="M72" i="12"/>
  <c r="AC72" i="12"/>
  <c r="L184" i="12"/>
  <c r="M184" i="12"/>
  <c r="N184" i="12"/>
  <c r="AV94" i="12"/>
  <c r="AV95" i="12" s="1"/>
  <c r="T44" i="12"/>
  <c r="T49" i="12" s="1"/>
  <c r="P71" i="12"/>
  <c r="AN42" i="12"/>
  <c r="AT72" i="12"/>
  <c r="AJ65" i="12"/>
  <c r="P94" i="12"/>
  <c r="P95" i="12" s="1"/>
  <c r="AN94" i="12"/>
  <c r="AN95" i="12" s="1"/>
  <c r="AV44" i="12"/>
  <c r="AV49" i="12" s="1"/>
  <c r="AF44" i="12"/>
  <c r="AF49" i="12" s="1"/>
  <c r="AO71" i="12"/>
  <c r="AG94" i="12"/>
  <c r="AG95" i="12" s="1"/>
  <c r="Q94" i="12"/>
  <c r="Q95" i="12" s="1"/>
  <c r="AK72" i="12"/>
  <c r="AS72" i="12"/>
  <c r="L44" i="12"/>
  <c r="L49" i="12" s="1"/>
  <c r="AB44" i="12"/>
  <c r="AB49" i="12" s="1"/>
  <c r="AR44" i="12"/>
  <c r="AR49" i="12" s="1"/>
  <c r="P42" i="12"/>
  <c r="L65" i="12"/>
  <c r="T65" i="12"/>
  <c r="AB65" i="12"/>
  <c r="AJ71" i="12"/>
  <c r="X72" i="12"/>
  <c r="AD72" i="12"/>
  <c r="AL72" i="12"/>
  <c r="AC44" i="12"/>
  <c r="AC49" i="12" s="1"/>
  <c r="U65" i="12"/>
  <c r="AK65" i="12"/>
  <c r="AO82" i="12"/>
  <c r="AO84" i="12" s="1"/>
  <c r="AC65" i="12"/>
  <c r="N44" i="12"/>
  <c r="N49" i="12" s="1"/>
  <c r="V44" i="12"/>
  <c r="V49" i="12" s="1"/>
  <c r="AD44" i="12"/>
  <c r="AD49" i="12" s="1"/>
  <c r="AL44" i="12"/>
  <c r="AL49" i="12" s="1"/>
  <c r="AT44" i="12"/>
  <c r="AT49" i="12" s="1"/>
  <c r="R42" i="12"/>
  <c r="Z42" i="12"/>
  <c r="AH42" i="12"/>
  <c r="N65" i="12"/>
  <c r="V65" i="12"/>
  <c r="AD71" i="12"/>
  <c r="AL65" i="12"/>
  <c r="AT65" i="12"/>
  <c r="R65" i="12"/>
  <c r="Z65" i="12"/>
  <c r="AH65" i="12"/>
  <c r="AP65" i="12"/>
  <c r="Y94" i="12"/>
  <c r="Y95" i="12" s="1"/>
  <c r="S72" i="12"/>
  <c r="AA72" i="12"/>
  <c r="AI72" i="12"/>
  <c r="AQ72" i="12"/>
  <c r="W71" i="12"/>
  <c r="AA42" i="12"/>
  <c r="AL82" i="12"/>
  <c r="AL84" i="12" s="1"/>
  <c r="AK71" i="12"/>
  <c r="M22" i="12"/>
  <c r="M31" i="12" s="1"/>
  <c r="U22" i="12"/>
  <c r="U31" i="12" s="1"/>
  <c r="L71" i="12"/>
  <c r="X44" i="12"/>
  <c r="X49" i="12" s="1"/>
  <c r="AH44" i="12"/>
  <c r="AH49" i="12" s="1"/>
  <c r="AT94" i="12"/>
  <c r="AT95" i="12" s="1"/>
  <c r="AN72" i="12"/>
  <c r="AB71" i="12"/>
  <c r="R44" i="12"/>
  <c r="R49" i="12" s="1"/>
  <c r="V42" i="12"/>
  <c r="V94" i="12"/>
  <c r="V95" i="12" s="1"/>
  <c r="U72" i="12"/>
  <c r="AN71" i="12"/>
  <c r="AD65" i="12"/>
  <c r="Q19" i="12"/>
  <c r="Y19" i="12"/>
  <c r="AM71" i="12"/>
  <c r="AE94" i="12"/>
  <c r="AE95" i="12" s="1"/>
  <c r="O82" i="12"/>
  <c r="O84" i="12" s="1"/>
  <c r="N42" i="12"/>
  <c r="AE71" i="12"/>
  <c r="S172" i="12"/>
  <c r="AD94" i="12"/>
  <c r="AD95" i="12" s="1"/>
  <c r="N82" i="12"/>
  <c r="N84" i="12" s="1"/>
  <c r="V71" i="12"/>
  <c r="AT42" i="12"/>
  <c r="AU71" i="12"/>
  <c r="AM94" i="12"/>
  <c r="AM95" i="12" s="1"/>
  <c r="AF72" i="12"/>
  <c r="O71" i="12"/>
  <c r="AV71" i="12"/>
  <c r="AF71" i="12"/>
  <c r="AD42" i="12"/>
  <c r="N71" i="12"/>
  <c r="AS82" i="12"/>
  <c r="AS84" i="12" s="1"/>
  <c r="Q72" i="12"/>
  <c r="AG19" i="12"/>
  <c r="Q172" i="12"/>
  <c r="M105" i="12"/>
  <c r="M106" i="12" s="1"/>
  <c r="S44" i="12"/>
  <c r="S49" i="12" s="1"/>
  <c r="M42" i="12"/>
  <c r="U42" i="12"/>
  <c r="AC42" i="12"/>
  <c r="AK44" i="12"/>
  <c r="AK49" i="12" s="1"/>
  <c r="AS42" i="12"/>
  <c r="Q71" i="12"/>
  <c r="AG71" i="12"/>
  <c r="AS65" i="12"/>
  <c r="S65" i="12"/>
  <c r="U94" i="12"/>
  <c r="U95" i="12" s="1"/>
  <c r="M84" i="12"/>
  <c r="O22" i="12"/>
  <c r="O31" i="12" s="1"/>
  <c r="W22" i="12"/>
  <c r="W31" i="12" s="1"/>
  <c r="Y72" i="12"/>
  <c r="AI44" i="12"/>
  <c r="AI49" i="12" s="1"/>
  <c r="AQ44" i="12"/>
  <c r="AQ49" i="12" s="1"/>
  <c r="Q22" i="12"/>
  <c r="Q31" i="12" s="1"/>
  <c r="Y22" i="12"/>
  <c r="Y31" i="12" s="1"/>
  <c r="AQ19" i="12"/>
  <c r="AS94" i="12"/>
  <c r="AS95" i="12" s="1"/>
  <c r="Y71" i="12"/>
  <c r="AA44" i="12"/>
  <c r="AA49" i="12" s="1"/>
  <c r="AU19" i="12"/>
  <c r="AP44" i="12"/>
  <c r="AP49" i="12" s="1"/>
  <c r="AO19" i="12"/>
  <c r="AK42" i="12"/>
  <c r="AO44" i="12"/>
  <c r="AO49" i="12" s="1"/>
  <c r="M65" i="12"/>
  <c r="AO72" i="12"/>
  <c r="AV72" i="12"/>
  <c r="N72" i="12"/>
  <c r="X71" i="12"/>
  <c r="AS44" i="12"/>
  <c r="AS49" i="12" s="1"/>
  <c r="AI65" i="12"/>
  <c r="M44" i="12"/>
  <c r="M49" i="12" s="1"/>
  <c r="AB42" i="12"/>
  <c r="AJ42" i="12"/>
  <c r="AR42" i="12"/>
  <c r="AL71" i="12"/>
  <c r="AS19" i="12"/>
  <c r="AT71" i="12"/>
  <c r="AR19" i="12"/>
  <c r="L19" i="12"/>
  <c r="T19" i="12"/>
  <c r="AB19" i="12"/>
  <c r="AJ19" i="12"/>
  <c r="P72" i="12"/>
  <c r="N22" i="12"/>
  <c r="N31" i="12" s="1"/>
  <c r="V22" i="12"/>
  <c r="V31" i="12" s="1"/>
  <c r="F143" i="12"/>
  <c r="E137" i="12"/>
  <c r="N105" i="12"/>
  <c r="N106" i="12" s="1"/>
  <c r="AP94" i="12"/>
  <c r="AP95" i="12" s="1"/>
  <c r="AH94" i="12"/>
  <c r="AH95" i="12" s="1"/>
  <c r="Z94" i="12"/>
  <c r="Z95" i="12" s="1"/>
  <c r="R94" i="12"/>
  <c r="R95" i="12" s="1"/>
  <c r="AA65" i="12"/>
  <c r="AQ65" i="12"/>
  <c r="O65" i="12"/>
  <c r="W65" i="12"/>
  <c r="AE65" i="12"/>
  <c r="AM65" i="12"/>
  <c r="AU65" i="12"/>
  <c r="W72" i="12"/>
  <c r="AE72" i="12"/>
  <c r="AM72" i="12"/>
  <c r="Y65" i="12"/>
  <c r="AG65" i="12"/>
  <c r="AO65" i="12"/>
  <c r="AU72" i="12"/>
  <c r="Q65" i="12"/>
  <c r="O42" i="12"/>
  <c r="W42" i="12"/>
  <c r="AE42" i="12"/>
  <c r="AM42" i="12"/>
  <c r="AU42" i="12"/>
  <c r="T42" i="12"/>
  <c r="Z44" i="12"/>
  <c r="Z49" i="12" s="1"/>
  <c r="AP42" i="12"/>
  <c r="Y44" i="12"/>
  <c r="Y49" i="12" s="1"/>
  <c r="Q42" i="12"/>
  <c r="Y42" i="12"/>
  <c r="AG42" i="12"/>
  <c r="AO42" i="12"/>
  <c r="Q44" i="12"/>
  <c r="Q49" i="12" s="1"/>
  <c r="AG44" i="12"/>
  <c r="AG49" i="12" s="1"/>
  <c r="E57" i="12"/>
  <c r="E197" i="17" s="1"/>
  <c r="AL42" i="12"/>
  <c r="AU44" i="12"/>
  <c r="AU49" i="12" s="1"/>
  <c r="AM44" i="12"/>
  <c r="AM49" i="12" s="1"/>
  <c r="AE44" i="12"/>
  <c r="AE49" i="12" s="1"/>
  <c r="W44" i="12"/>
  <c r="W49" i="12" s="1"/>
  <c r="O44" i="12"/>
  <c r="O49" i="12" s="1"/>
  <c r="AI19" i="12"/>
  <c r="AA19" i="12"/>
  <c r="S19" i="12"/>
  <c r="AP19" i="12"/>
  <c r="AH19" i="12"/>
  <c r="Z19" i="12"/>
  <c r="R19" i="12"/>
  <c r="L22" i="12"/>
  <c r="L31" i="12" s="1"/>
  <c r="T22" i="12"/>
  <c r="T31" i="12" s="1"/>
  <c r="AH71" i="12"/>
  <c r="AP72" i="12"/>
  <c r="AH72" i="12"/>
  <c r="Z72" i="12"/>
  <c r="R72" i="12"/>
  <c r="AM19" i="12"/>
  <c r="AE19" i="12"/>
  <c r="W19" i="12"/>
  <c r="O19" i="12"/>
  <c r="Z71" i="12"/>
  <c r="AN19" i="12"/>
  <c r="AL19" i="12"/>
  <c r="AD19" i="12"/>
  <c r="V19" i="12"/>
  <c r="N19" i="12"/>
  <c r="P22" i="12"/>
  <c r="P31" i="12" s="1"/>
  <c r="X22" i="12"/>
  <c r="X31" i="12" s="1"/>
  <c r="AP71" i="12"/>
  <c r="AF19" i="12"/>
  <c r="AK19" i="12"/>
  <c r="AC19" i="12"/>
  <c r="U19" i="12"/>
  <c r="M19" i="12"/>
  <c r="F72" i="12"/>
  <c r="X19" i="12"/>
  <c r="P19" i="12"/>
  <c r="R22" i="12"/>
  <c r="R31" i="12" s="1"/>
  <c r="S22" i="12"/>
  <c r="J386" i="1"/>
  <c r="L15" i="12"/>
  <c r="V391" i="1"/>
  <c r="F391" i="1" s="1"/>
  <c r="AV393" i="1" s="1"/>
  <c r="T15" i="12"/>
  <c r="M15" i="12"/>
  <c r="N15" i="12"/>
  <c r="V15" i="12"/>
  <c r="O15" i="12"/>
  <c r="P15" i="12"/>
  <c r="X15" i="12"/>
  <c r="U15" i="12"/>
  <c r="Q15" i="12"/>
  <c r="Y15" i="12"/>
  <c r="R15" i="12"/>
  <c r="L94" i="12"/>
  <c r="L95" i="12" s="1"/>
  <c r="J137" i="12"/>
  <c r="O105" i="12"/>
  <c r="O106" i="12" s="1"/>
  <c r="L108" i="12"/>
  <c r="M104" i="12" s="1"/>
  <c r="Z405" i="1"/>
  <c r="AA405" i="1"/>
  <c r="AB405" i="1"/>
  <c r="AC405" i="1"/>
  <c r="AD405" i="1"/>
  <c r="AE405" i="1"/>
  <c r="AF405" i="1"/>
  <c r="AG405" i="1"/>
  <c r="AH405" i="1"/>
  <c r="AI405" i="1"/>
  <c r="AJ405" i="1"/>
  <c r="AK405" i="1"/>
  <c r="AL405" i="1"/>
  <c r="AM405" i="1"/>
  <c r="AN405" i="1"/>
  <c r="AO405" i="1"/>
  <c r="AP405" i="1"/>
  <c r="AQ405" i="1"/>
  <c r="AR405" i="1"/>
  <c r="AS405" i="1"/>
  <c r="AT405" i="1"/>
  <c r="AU405" i="1"/>
  <c r="AV405" i="1"/>
  <c r="Z398" i="1"/>
  <c r="Z12" i="12" s="1"/>
  <c r="Z22" i="12" s="1"/>
  <c r="Z31" i="12" s="1"/>
  <c r="AA398" i="1"/>
  <c r="AA12" i="12" s="1"/>
  <c r="AA22" i="12" s="1"/>
  <c r="AA31" i="12" s="1"/>
  <c r="AB398" i="1"/>
  <c r="AB12" i="12" s="1"/>
  <c r="AB22" i="12" s="1"/>
  <c r="AB31" i="12" s="1"/>
  <c r="AC398" i="1"/>
  <c r="AC12" i="12" s="1"/>
  <c r="AC22" i="12" s="1"/>
  <c r="AC31" i="12" s="1"/>
  <c r="AD398" i="1"/>
  <c r="AD12" i="12" s="1"/>
  <c r="AD22" i="12" s="1"/>
  <c r="AD31" i="12" s="1"/>
  <c r="AE398" i="1"/>
  <c r="AE12" i="12" s="1"/>
  <c r="AE22" i="12" s="1"/>
  <c r="AE31" i="12" s="1"/>
  <c r="AF398" i="1"/>
  <c r="AF12" i="12" s="1"/>
  <c r="AF22" i="12" s="1"/>
  <c r="AF31" i="12" s="1"/>
  <c r="AG398" i="1"/>
  <c r="AG12" i="12" s="1"/>
  <c r="AG22" i="12" s="1"/>
  <c r="AG31" i="12" s="1"/>
  <c r="AH398" i="1"/>
  <c r="AH12" i="12" s="1"/>
  <c r="AH22" i="12" s="1"/>
  <c r="AH31" i="12" s="1"/>
  <c r="AI398" i="1"/>
  <c r="AI12" i="12" s="1"/>
  <c r="AI22" i="12" s="1"/>
  <c r="AI31" i="12" s="1"/>
  <c r="AJ398" i="1"/>
  <c r="AJ12" i="12" s="1"/>
  <c r="AJ22" i="12" s="1"/>
  <c r="AJ31" i="12" s="1"/>
  <c r="AK398" i="1"/>
  <c r="AK12" i="12" s="1"/>
  <c r="AK22" i="12" s="1"/>
  <c r="AK31" i="12" s="1"/>
  <c r="AL398" i="1"/>
  <c r="AL12" i="12" s="1"/>
  <c r="AL22" i="12" s="1"/>
  <c r="AL31" i="12" s="1"/>
  <c r="AM398" i="1"/>
  <c r="AM12" i="12" s="1"/>
  <c r="AM22" i="12" s="1"/>
  <c r="AM31" i="12" s="1"/>
  <c r="AN398" i="1"/>
  <c r="AN12" i="12" s="1"/>
  <c r="AN22" i="12" s="1"/>
  <c r="AN31" i="12" s="1"/>
  <c r="AO398" i="1"/>
  <c r="AO12" i="12" s="1"/>
  <c r="AO22" i="12" s="1"/>
  <c r="AO31" i="12" s="1"/>
  <c r="AP398" i="1"/>
  <c r="AP12" i="12" s="1"/>
  <c r="AP22" i="12" s="1"/>
  <c r="AP31" i="12" s="1"/>
  <c r="AQ398" i="1"/>
  <c r="AQ12" i="12" s="1"/>
  <c r="AQ22" i="12" s="1"/>
  <c r="AQ31" i="12" s="1"/>
  <c r="AR398" i="1"/>
  <c r="AR12" i="12" s="1"/>
  <c r="AR22" i="12" s="1"/>
  <c r="AR31" i="12" s="1"/>
  <c r="AS398" i="1"/>
  <c r="AS12" i="12" s="1"/>
  <c r="AS22" i="12" s="1"/>
  <c r="AS31" i="12" s="1"/>
  <c r="AT398" i="1"/>
  <c r="AT12" i="12" s="1"/>
  <c r="AT22" i="12" s="1"/>
  <c r="AT31" i="12" s="1"/>
  <c r="AU398" i="1"/>
  <c r="AU12" i="12" s="1"/>
  <c r="AU22" i="12" s="1"/>
  <c r="AU31" i="12" s="1"/>
  <c r="AV398" i="1"/>
  <c r="AV12" i="12" s="1"/>
  <c r="AV22" i="12" s="1"/>
  <c r="AV31" i="12" s="1"/>
  <c r="A1" i="10"/>
  <c r="M473" i="17" l="1"/>
  <c r="M508" i="17" s="1"/>
  <c r="M516" i="17" s="1"/>
  <c r="M521" i="17" s="1"/>
  <c r="M528" i="17" s="1"/>
  <c r="AI474" i="17"/>
  <c r="L523" i="17"/>
  <c r="L560" i="17" s="1"/>
  <c r="L530" i="17"/>
  <c r="L881" i="17" s="1"/>
  <c r="N21" i="13"/>
  <c r="M509" i="17"/>
  <c r="M517" i="17" s="1"/>
  <c r="M522" i="17" s="1"/>
  <c r="L164" i="12"/>
  <c r="L165" i="12" s="1"/>
  <c r="AS13" i="12"/>
  <c r="AS15" i="12" s="1"/>
  <c r="AT13" i="12"/>
  <c r="AT15" i="12" s="1"/>
  <c r="AL13" i="12"/>
  <c r="AL15" i="12" s="1"/>
  <c r="AD13" i="12"/>
  <c r="AD15" i="12" s="1"/>
  <c r="AK13" i="12"/>
  <c r="AK15" i="12" s="1"/>
  <c r="AA13" i="12"/>
  <c r="AA15" i="12" s="1"/>
  <c r="AB13" i="12"/>
  <c r="AB15" i="12" s="1"/>
  <c r="Z13" i="12"/>
  <c r="Z15" i="12" s="1"/>
  <c r="AQ13" i="12"/>
  <c r="AQ15" i="12" s="1"/>
  <c r="AI13" i="12"/>
  <c r="AI15" i="12" s="1"/>
  <c r="AP13" i="12"/>
  <c r="AP15" i="12" s="1"/>
  <c r="AH13" i="12"/>
  <c r="AH15" i="12" s="1"/>
  <c r="AO13" i="12"/>
  <c r="AO15" i="12" s="1"/>
  <c r="AG13" i="12"/>
  <c r="AG15" i="12" s="1"/>
  <c r="AC13" i="12"/>
  <c r="AC15" i="12" s="1"/>
  <c r="AJ13" i="12"/>
  <c r="AJ15" i="12" s="1"/>
  <c r="AV13" i="12"/>
  <c r="AV15" i="12" s="1"/>
  <c r="AR13" i="12"/>
  <c r="AR15" i="12" s="1"/>
  <c r="AN13" i="12"/>
  <c r="AN15" i="12" s="1"/>
  <c r="AF13" i="12"/>
  <c r="AF15" i="12" s="1"/>
  <c r="AU13" i="12"/>
  <c r="AU15" i="12" s="1"/>
  <c r="AM13" i="12"/>
  <c r="AM15" i="12" s="1"/>
  <c r="AE13" i="12"/>
  <c r="AE15" i="12" s="1"/>
  <c r="E83" i="42"/>
  <c r="L16" i="1"/>
  <c r="L692" i="17"/>
  <c r="M4" i="12"/>
  <c r="M4" i="26"/>
  <c r="L12" i="26"/>
  <c r="L53" i="26"/>
  <c r="L137" i="26"/>
  <c r="L2" i="26"/>
  <c r="L91" i="26"/>
  <c r="L221" i="1"/>
  <c r="L285" i="1"/>
  <c r="L279" i="1"/>
  <c r="L215" i="1"/>
  <c r="L2" i="1"/>
  <c r="M4" i="10"/>
  <c r="M567" i="17"/>
  <c r="M4" i="17"/>
  <c r="L230" i="17"/>
  <c r="L232" i="17" s="1"/>
  <c r="L936" i="17"/>
  <c r="L939" i="17" s="1"/>
  <c r="L2" i="17"/>
  <c r="M4" i="1"/>
  <c r="M4" i="4"/>
  <c r="E55" i="13"/>
  <c r="L84" i="12"/>
  <c r="J84" i="12" s="1"/>
  <c r="F83" i="12"/>
  <c r="AL85" i="12" s="1"/>
  <c r="J150" i="13"/>
  <c r="J206" i="13"/>
  <c r="M129" i="12"/>
  <c r="M215" i="13"/>
  <c r="M4" i="13"/>
  <c r="L80" i="13"/>
  <c r="L277" i="13"/>
  <c r="L278" i="13" s="1"/>
  <c r="L2" i="13"/>
  <c r="L296" i="13"/>
  <c r="L157" i="13"/>
  <c r="L162" i="13" s="1"/>
  <c r="J165" i="13"/>
  <c r="N13" i="13"/>
  <c r="AJ21" i="13"/>
  <c r="AJ13" i="13"/>
  <c r="AJ473" i="17" s="1"/>
  <c r="L197" i="12"/>
  <c r="L198" i="12" s="1"/>
  <c r="L199" i="12" s="1"/>
  <c r="L2" i="10"/>
  <c r="L2" i="12"/>
  <c r="L196" i="12" s="1"/>
  <c r="L2" i="4"/>
  <c r="L182" i="12"/>
  <c r="L183" i="12" s="1"/>
  <c r="L185" i="12" s="1"/>
  <c r="J184" i="12"/>
  <c r="P105" i="12"/>
  <c r="P106" i="12" s="1"/>
  <c r="J106" i="12" s="1"/>
  <c r="M94" i="12"/>
  <c r="M95" i="12" s="1"/>
  <c r="J95" i="12" s="1"/>
  <c r="J82" i="12"/>
  <c r="J65" i="12"/>
  <c r="S31" i="12"/>
  <c r="J19" i="12"/>
  <c r="J42" i="12"/>
  <c r="J44" i="12"/>
  <c r="AK393" i="1"/>
  <c r="T393" i="1"/>
  <c r="Z393" i="1"/>
  <c r="AU393" i="1"/>
  <c r="AM393" i="1"/>
  <c r="AE393" i="1"/>
  <c r="W393" i="1"/>
  <c r="O393" i="1"/>
  <c r="AQ393" i="1"/>
  <c r="AI393" i="1"/>
  <c r="AA393" i="1"/>
  <c r="S393" i="1"/>
  <c r="AO393" i="1"/>
  <c r="AG393" i="1"/>
  <c r="Y393" i="1"/>
  <c r="Q393" i="1"/>
  <c r="AJ393" i="1"/>
  <c r="AS393" i="1"/>
  <c r="AB393" i="1"/>
  <c r="R393" i="1"/>
  <c r="AC393" i="1"/>
  <c r="P393" i="1"/>
  <c r="AN393" i="1"/>
  <c r="U393" i="1"/>
  <c r="AD393" i="1"/>
  <c r="AF393" i="1"/>
  <c r="M393" i="1"/>
  <c r="V393" i="1"/>
  <c r="X393" i="1"/>
  <c r="AT393" i="1"/>
  <c r="AP393" i="1"/>
  <c r="AL393" i="1"/>
  <c r="L393" i="1"/>
  <c r="AR393" i="1"/>
  <c r="AH393" i="1"/>
  <c r="N393" i="1"/>
  <c r="J22" i="12"/>
  <c r="J31" i="12" s="1"/>
  <c r="M107" i="12"/>
  <c r="M108" i="12" s="1"/>
  <c r="N104" i="12" s="1"/>
  <c r="L99" i="12"/>
  <c r="L97" i="12"/>
  <c r="M93" i="12" s="1"/>
  <c r="L745" i="17" l="1"/>
  <c r="L748" i="17" s="1"/>
  <c r="L688" i="17"/>
  <c r="L695" i="17" s="1"/>
  <c r="L371" i="17"/>
  <c r="L374" i="17" s="1"/>
  <c r="L401" i="17"/>
  <c r="L410" i="17" s="1"/>
  <c r="L673" i="17"/>
  <c r="L406" i="17"/>
  <c r="L354" i="17"/>
  <c r="N473" i="17"/>
  <c r="N508" i="17" s="1"/>
  <c r="N516" i="17" s="1"/>
  <c r="N521" i="17" s="1"/>
  <c r="N528" i="17" s="1"/>
  <c r="L44" i="38"/>
  <c r="L599" i="17"/>
  <c r="L786" i="17"/>
  <c r="L145" i="26" s="1"/>
  <c r="N474" i="17"/>
  <c r="N509" i="17" s="1"/>
  <c r="N517" i="17" s="1"/>
  <c r="N522" i="17" s="1"/>
  <c r="N529" i="17" s="1"/>
  <c r="AJ474" i="17"/>
  <c r="M529" i="17"/>
  <c r="M530" i="17" s="1"/>
  <c r="M523" i="17"/>
  <c r="M560" i="17" s="1"/>
  <c r="L18" i="1"/>
  <c r="L25" i="17" s="1"/>
  <c r="L26" i="17" s="1"/>
  <c r="L19" i="1"/>
  <c r="L20" i="1"/>
  <c r="L17" i="1"/>
  <c r="L15" i="17" s="1"/>
  <c r="L16" i="17" s="1"/>
  <c r="L377" i="17" s="1"/>
  <c r="L944" i="17"/>
  <c r="M16" i="1"/>
  <c r="M17" i="1" s="1"/>
  <c r="M692" i="17"/>
  <c r="O4" i="26"/>
  <c r="N4" i="26"/>
  <c r="M91" i="26"/>
  <c r="M137" i="26"/>
  <c r="M12" i="26"/>
  <c r="M53" i="26"/>
  <c r="M2" i="26"/>
  <c r="L231" i="1"/>
  <c r="M285" i="1"/>
  <c r="M279" i="1"/>
  <c r="M215" i="1"/>
  <c r="M221" i="1"/>
  <c r="M2" i="17"/>
  <c r="M230" i="17"/>
  <c r="M936" i="17"/>
  <c r="M939" i="17" s="1"/>
  <c r="M944" i="17" s="1"/>
  <c r="N4" i="10"/>
  <c r="N4" i="13"/>
  <c r="N4" i="12"/>
  <c r="L938" i="17"/>
  <c r="L937" i="17"/>
  <c r="N4" i="1"/>
  <c r="N129" i="12"/>
  <c r="N4" i="17"/>
  <c r="N567" i="17"/>
  <c r="N4" i="4"/>
  <c r="N215" i="13"/>
  <c r="L233" i="17"/>
  <c r="L231" i="17"/>
  <c r="L100" i="12"/>
  <c r="L121" i="12"/>
  <c r="L123" i="12" s="1"/>
  <c r="L75" i="12"/>
  <c r="L297" i="13"/>
  <c r="L298" i="13" s="1"/>
  <c r="L300" i="13"/>
  <c r="L301" i="13" s="1"/>
  <c r="L279" i="13"/>
  <c r="L83" i="13"/>
  <c r="L81" i="13"/>
  <c r="L82" i="13"/>
  <c r="M80" i="13"/>
  <c r="M157" i="13"/>
  <c r="M162" i="13" s="1"/>
  <c r="M296" i="13"/>
  <c r="M277" i="13"/>
  <c r="M2" i="13"/>
  <c r="U85" i="12"/>
  <c r="AK21" i="13"/>
  <c r="AK13" i="13"/>
  <c r="AK473" i="17" s="1"/>
  <c r="AB85" i="12"/>
  <c r="S85" i="12"/>
  <c r="AQ85" i="12"/>
  <c r="AP85" i="12"/>
  <c r="T85" i="12"/>
  <c r="L85" i="12"/>
  <c r="AN85" i="12"/>
  <c r="AM85" i="12"/>
  <c r="M85" i="12"/>
  <c r="N85" i="12"/>
  <c r="AF85" i="12"/>
  <c r="AJ85" i="12"/>
  <c r="AV85" i="12"/>
  <c r="AC85" i="12"/>
  <c r="AI85" i="12"/>
  <c r="P85" i="12"/>
  <c r="AH85" i="12"/>
  <c r="AO85" i="12"/>
  <c r="R85" i="12"/>
  <c r="AS85" i="12"/>
  <c r="Z85" i="12"/>
  <c r="AE85" i="12"/>
  <c r="AU85" i="12"/>
  <c r="M197" i="12"/>
  <c r="M198" i="12" s="1"/>
  <c r="M199" i="12" s="1"/>
  <c r="M75" i="12" s="1"/>
  <c r="M2" i="10"/>
  <c r="M2" i="4"/>
  <c r="M2" i="12"/>
  <c r="M196" i="12" s="1"/>
  <c r="M182" i="12"/>
  <c r="L187" i="12"/>
  <c r="J105" i="12"/>
  <c r="J94" i="12"/>
  <c r="W85" i="12"/>
  <c r="AD85" i="12"/>
  <c r="Q85" i="12"/>
  <c r="X85" i="12"/>
  <c r="V85" i="12"/>
  <c r="AR85" i="12"/>
  <c r="O85" i="12"/>
  <c r="Y85" i="12"/>
  <c r="AT85" i="12"/>
  <c r="AA85" i="12"/>
  <c r="AG85" i="12"/>
  <c r="M2" i="1"/>
  <c r="AK85" i="12"/>
  <c r="J393" i="1"/>
  <c r="M96" i="12"/>
  <c r="N107" i="12"/>
  <c r="N108" i="12" s="1"/>
  <c r="O104" i="12" s="1"/>
  <c r="M745" i="17" l="1"/>
  <c r="M748" i="17" s="1"/>
  <c r="L836" i="17"/>
  <c r="L64" i="37"/>
  <c r="L364" i="17"/>
  <c r="L379" i="17"/>
  <c r="L350" i="17"/>
  <c r="L378" i="17"/>
  <c r="M688" i="17"/>
  <c r="M695" i="17" s="1"/>
  <c r="M717" i="17" s="1"/>
  <c r="M371" i="17"/>
  <c r="M374" i="17" s="1"/>
  <c r="L349" i="17"/>
  <c r="L717" i="17"/>
  <c r="L411" i="17"/>
  <c r="L608" i="17"/>
  <c r="L620" i="17"/>
  <c r="L597" i="17"/>
  <c r="L680" i="17"/>
  <c r="L451" i="17"/>
  <c r="L416" i="17"/>
  <c r="M401" i="17"/>
  <c r="M410" i="17" s="1"/>
  <c r="M673" i="17"/>
  <c r="M680" i="17" s="1"/>
  <c r="M716" i="17" s="1"/>
  <c r="L40" i="17"/>
  <c r="L486" i="17"/>
  <c r="M406" i="17"/>
  <c r="M354" i="17"/>
  <c r="N530" i="17"/>
  <c r="N599" i="17" s="1"/>
  <c r="N523" i="17"/>
  <c r="N560" i="17" s="1"/>
  <c r="AK474" i="17"/>
  <c r="M881" i="17"/>
  <c r="M599" i="17"/>
  <c r="M786" i="17"/>
  <c r="M145" i="26" s="1"/>
  <c r="M20" i="1"/>
  <c r="M19" i="1"/>
  <c r="M18" i="1"/>
  <c r="M25" i="17" s="1"/>
  <c r="M26" i="17" s="1"/>
  <c r="M15" i="17"/>
  <c r="M16" i="17" s="1"/>
  <c r="M377" i="17" s="1"/>
  <c r="L942" i="17"/>
  <c r="L263" i="17" s="1"/>
  <c r="L943" i="17"/>
  <c r="N16" i="1"/>
  <c r="N692" i="17"/>
  <c r="P4" i="26"/>
  <c r="O4" i="13"/>
  <c r="O4" i="4"/>
  <c r="O4" i="12"/>
  <c r="O4" i="1"/>
  <c r="O4" i="10"/>
  <c r="O129" i="12"/>
  <c r="L295" i="1"/>
  <c r="L101" i="17" s="1"/>
  <c r="O567" i="17"/>
  <c r="O4" i="17"/>
  <c r="O215" i="13"/>
  <c r="N53" i="26"/>
  <c r="N12" i="26"/>
  <c r="N91" i="26"/>
  <c r="N137" i="26"/>
  <c r="N2" i="26"/>
  <c r="N285" i="1"/>
  <c r="N279" i="1"/>
  <c r="N215" i="1"/>
  <c r="N221" i="1"/>
  <c r="M231" i="1"/>
  <c r="M486" i="17" s="1"/>
  <c r="P4" i="17"/>
  <c r="P567" i="17"/>
  <c r="N230" i="17"/>
  <c r="N936" i="17"/>
  <c r="N939" i="17" s="1"/>
  <c r="N2" i="17"/>
  <c r="M938" i="17"/>
  <c r="M943" i="17" s="1"/>
  <c r="M937" i="17"/>
  <c r="M942" i="17" s="1"/>
  <c r="M263" i="17" s="1"/>
  <c r="M233" i="17"/>
  <c r="M231" i="17"/>
  <c r="M232" i="17"/>
  <c r="M297" i="13"/>
  <c r="M298" i="13" s="1"/>
  <c r="M300" i="13"/>
  <c r="M301" i="13" s="1"/>
  <c r="L125" i="12"/>
  <c r="L130" i="12" s="1"/>
  <c r="L132" i="12" s="1"/>
  <c r="M131" i="12" s="1"/>
  <c r="P215" i="13"/>
  <c r="P4" i="13"/>
  <c r="M83" i="13"/>
  <c r="M81" i="13"/>
  <c r="M82" i="13"/>
  <c r="N80" i="13"/>
  <c r="N296" i="13"/>
  <c r="N277" i="13"/>
  <c r="N157" i="13"/>
  <c r="N2" i="13"/>
  <c r="AL13" i="13"/>
  <c r="AL473" i="17" s="1"/>
  <c r="AL21" i="13"/>
  <c r="M183" i="12"/>
  <c r="M185" i="12" s="1"/>
  <c r="M187" i="12" s="1"/>
  <c r="P4" i="10"/>
  <c r="P4" i="12"/>
  <c r="P4" i="4"/>
  <c r="P129" i="12"/>
  <c r="N197" i="12"/>
  <c r="N2" i="10"/>
  <c r="N2" i="4"/>
  <c r="N182" i="12"/>
  <c r="N2" i="12"/>
  <c r="N196" i="12" s="1"/>
  <c r="F85" i="12"/>
  <c r="N2" i="1"/>
  <c r="Q4" i="26"/>
  <c r="P4" i="1"/>
  <c r="O107" i="12"/>
  <c r="O108" i="12" s="1"/>
  <c r="P104" i="12" s="1"/>
  <c r="M99" i="12"/>
  <c r="M97" i="12"/>
  <c r="N93" i="12" s="1"/>
  <c r="N745" i="17" l="1"/>
  <c r="N748" i="17" s="1"/>
  <c r="M836" i="17"/>
  <c r="M64" i="37"/>
  <c r="M364" i="17"/>
  <c r="M379" i="17"/>
  <c r="L359" i="17"/>
  <c r="M350" i="17"/>
  <c r="M378" i="17"/>
  <c r="N688" i="17"/>
  <c r="N695" i="17" s="1"/>
  <c r="N717" i="17" s="1"/>
  <c r="N371" i="17"/>
  <c r="N374" i="17" s="1"/>
  <c r="L352" i="17"/>
  <c r="L355" i="17" s="1"/>
  <c r="L373" i="17" s="1"/>
  <c r="L375" i="17" s="1"/>
  <c r="L380" i="17" s="1"/>
  <c r="L385" i="17" s="1"/>
  <c r="M349" i="17"/>
  <c r="L681" i="17"/>
  <c r="L716" i="17"/>
  <c r="M451" i="17"/>
  <c r="M597" i="17"/>
  <c r="M620" i="17"/>
  <c r="M608" i="17"/>
  <c r="N401" i="17"/>
  <c r="N410" i="17" s="1"/>
  <c r="N673" i="17"/>
  <c r="N680" i="17" s="1"/>
  <c r="N716" i="17" s="1"/>
  <c r="M411" i="17"/>
  <c r="M416" i="17"/>
  <c r="N406" i="17"/>
  <c r="N354" i="17"/>
  <c r="N881" i="17"/>
  <c r="N44" i="38" s="1"/>
  <c r="N786" i="17"/>
  <c r="N145" i="26" s="1"/>
  <c r="M44" i="38"/>
  <c r="AL474" i="17"/>
  <c r="N19" i="1"/>
  <c r="N20" i="1"/>
  <c r="N18" i="1"/>
  <c r="N17" i="1"/>
  <c r="N15" i="17" s="1"/>
  <c r="N16" i="17" s="1"/>
  <c r="N377" i="17" s="1"/>
  <c r="N944" i="17"/>
  <c r="O16" i="1"/>
  <c r="O692" i="17"/>
  <c r="M295" i="1"/>
  <c r="M101" i="17" s="1"/>
  <c r="O91" i="26"/>
  <c r="O137" i="26"/>
  <c r="O12" i="26"/>
  <c r="O53" i="26"/>
  <c r="O2" i="26"/>
  <c r="O285" i="1"/>
  <c r="O279" i="1"/>
  <c r="M40" i="17"/>
  <c r="O215" i="1"/>
  <c r="O221" i="1"/>
  <c r="N231" i="1"/>
  <c r="N486" i="17" s="1"/>
  <c r="Q567" i="17"/>
  <c r="Q4" i="17"/>
  <c r="O936" i="17"/>
  <c r="O939" i="17" s="1"/>
  <c r="O230" i="17"/>
  <c r="O2" i="17"/>
  <c r="N938" i="17"/>
  <c r="N937" i="17"/>
  <c r="N231" i="17"/>
  <c r="N233" i="17"/>
  <c r="N232" i="17"/>
  <c r="M100" i="12"/>
  <c r="M121" i="12"/>
  <c r="M123" i="12" s="1"/>
  <c r="N297" i="13"/>
  <c r="N298" i="13" s="1"/>
  <c r="N300" i="13"/>
  <c r="N301" i="13" s="1"/>
  <c r="L135" i="12"/>
  <c r="N83" i="13"/>
  <c r="N81" i="13"/>
  <c r="N82" i="13"/>
  <c r="Q215" i="13"/>
  <c r="Q4" i="13"/>
  <c r="O80" i="13"/>
  <c r="O296" i="13"/>
  <c r="O277" i="13"/>
  <c r="O2" i="13"/>
  <c r="O157" i="13"/>
  <c r="N162" i="13"/>
  <c r="AM21" i="13"/>
  <c r="AM13" i="13"/>
  <c r="AM473" i="17" s="1"/>
  <c r="N183" i="12"/>
  <c r="N185" i="12" s="1"/>
  <c r="N187" i="12" s="1"/>
  <c r="O197" i="12"/>
  <c r="O2" i="10"/>
  <c r="O2" i="4"/>
  <c r="O182" i="12"/>
  <c r="O2" i="12"/>
  <c r="O196" i="12" s="1"/>
  <c r="N198" i="12"/>
  <c r="N199" i="12" s="1"/>
  <c r="Q4" i="10"/>
  <c r="Q4" i="4"/>
  <c r="Q4" i="12"/>
  <c r="Q129" i="12"/>
  <c r="O2" i="1"/>
  <c r="R4" i="26"/>
  <c r="Q4" i="1"/>
  <c r="P107" i="12"/>
  <c r="P108" i="12" s="1"/>
  <c r="Q104" i="12" s="1"/>
  <c r="N96" i="12"/>
  <c r="L173" i="12"/>
  <c r="O745" i="17" l="1"/>
  <c r="O748" i="17" s="1"/>
  <c r="N836" i="17"/>
  <c r="N64" i="37"/>
  <c r="N364" i="17"/>
  <c r="N379" i="17"/>
  <c r="M352" i="17"/>
  <c r="M355" i="17" s="1"/>
  <c r="M373" i="17" s="1"/>
  <c r="M375" i="17" s="1"/>
  <c r="M380" i="17" s="1"/>
  <c r="M385" i="17" s="1"/>
  <c r="O688" i="17"/>
  <c r="O695" i="17" s="1"/>
  <c r="O717" i="17" s="1"/>
  <c r="O371" i="17"/>
  <c r="O374" i="17" s="1"/>
  <c r="M359" i="17"/>
  <c r="N349" i="17"/>
  <c r="L682" i="17"/>
  <c r="M678" i="17" s="1"/>
  <c r="M679" i="17" s="1"/>
  <c r="L718" i="17"/>
  <c r="N608" i="17"/>
  <c r="N597" i="17"/>
  <c r="N620" i="17"/>
  <c r="N411" i="17"/>
  <c r="N451" i="17"/>
  <c r="O401" i="17"/>
  <c r="O410" i="17" s="1"/>
  <c r="O673" i="17"/>
  <c r="O680" i="17" s="1"/>
  <c r="O716" i="17" s="1"/>
  <c r="N416" i="17"/>
  <c r="O406" i="17"/>
  <c r="O354" i="17"/>
  <c r="N25" i="17"/>
  <c r="N26" i="17" s="1"/>
  <c r="N378" i="17" s="1"/>
  <c r="AM474" i="17"/>
  <c r="O20" i="1"/>
  <c r="O18" i="1"/>
  <c r="O17" i="1"/>
  <c r="O15" i="17" s="1"/>
  <c r="O16" i="17" s="1"/>
  <c r="O377" i="17" s="1"/>
  <c r="O19" i="1"/>
  <c r="O944" i="17"/>
  <c r="N943" i="17"/>
  <c r="N942" i="17"/>
  <c r="N263" i="17" s="1"/>
  <c r="P16" i="1"/>
  <c r="P692" i="17"/>
  <c r="N295" i="1"/>
  <c r="N101" i="17" s="1"/>
  <c r="P53" i="26"/>
  <c r="P137" i="26"/>
  <c r="P12" i="26"/>
  <c r="P91" i="26"/>
  <c r="P2" i="26"/>
  <c r="P279" i="1"/>
  <c r="P285" i="1"/>
  <c r="N40" i="17"/>
  <c r="P215" i="1"/>
  <c r="P221" i="1"/>
  <c r="O231" i="1"/>
  <c r="O486" i="17" s="1"/>
  <c r="O233" i="17"/>
  <c r="O231" i="17"/>
  <c r="O232" i="17"/>
  <c r="O937" i="17"/>
  <c r="O938" i="17"/>
  <c r="R567" i="17"/>
  <c r="R4" i="17"/>
  <c r="P936" i="17"/>
  <c r="P939" i="17" s="1"/>
  <c r="P2" i="17"/>
  <c r="P230" i="17"/>
  <c r="N75" i="12"/>
  <c r="O297" i="13"/>
  <c r="O298" i="13" s="1"/>
  <c r="O300" i="13"/>
  <c r="O301" i="13" s="1"/>
  <c r="M125" i="12"/>
  <c r="M130" i="12" s="1"/>
  <c r="M132" i="12" s="1"/>
  <c r="N131" i="12" s="1"/>
  <c r="O81" i="13"/>
  <c r="O82" i="13"/>
  <c r="O83" i="13"/>
  <c r="P157" i="13"/>
  <c r="P296" i="13"/>
  <c r="P80" i="13"/>
  <c r="P277" i="13"/>
  <c r="P2" i="13"/>
  <c r="O162" i="13"/>
  <c r="R215" i="13"/>
  <c r="R4" i="13"/>
  <c r="AN13" i="13"/>
  <c r="AN473" i="17" s="1"/>
  <c r="AN21" i="13"/>
  <c r="O183" i="12"/>
  <c r="O185" i="12" s="1"/>
  <c r="O187" i="12" s="1"/>
  <c r="O198" i="12"/>
  <c r="O199" i="12" s="1"/>
  <c r="O75" i="12" s="1"/>
  <c r="R4" i="10"/>
  <c r="R4" i="4"/>
  <c r="R129" i="12"/>
  <c r="R4" i="12"/>
  <c r="P2" i="4"/>
  <c r="P182" i="12"/>
  <c r="P197" i="12"/>
  <c r="P2" i="12"/>
  <c r="P196" i="12" s="1"/>
  <c r="P2" i="10"/>
  <c r="P2" i="1"/>
  <c r="S4" i="26"/>
  <c r="R4" i="1"/>
  <c r="Q107" i="12"/>
  <c r="Q110" i="12" s="1"/>
  <c r="N99" i="12"/>
  <c r="L174" i="12"/>
  <c r="L175" i="12" s="1"/>
  <c r="N97" i="12"/>
  <c r="O93" i="12" s="1"/>
  <c r="P745" i="17" l="1"/>
  <c r="P748" i="17" s="1"/>
  <c r="M701" i="17"/>
  <c r="O836" i="17"/>
  <c r="O64" i="37"/>
  <c r="O364" i="17"/>
  <c r="O379" i="17"/>
  <c r="P688" i="17"/>
  <c r="P695" i="17" s="1"/>
  <c r="P717" i="17" s="1"/>
  <c r="P371" i="17"/>
  <c r="P374" i="17" s="1"/>
  <c r="O349" i="17"/>
  <c r="M681" i="17"/>
  <c r="O416" i="17"/>
  <c r="O620" i="17"/>
  <c r="O597" i="17"/>
  <c r="O608" i="17"/>
  <c r="O451" i="17"/>
  <c r="O411" i="17"/>
  <c r="P401" i="17"/>
  <c r="P410" i="17" s="1"/>
  <c r="P673" i="17"/>
  <c r="P680" i="17" s="1"/>
  <c r="P716" i="17" s="1"/>
  <c r="P406" i="17"/>
  <c r="P354" i="17"/>
  <c r="N820" i="17"/>
  <c r="N10" i="38" s="1"/>
  <c r="N350" i="17"/>
  <c r="N179" i="17"/>
  <c r="N14" i="26"/>
  <c r="O25" i="17"/>
  <c r="O26" i="17" s="1"/>
  <c r="O378" i="17" s="1"/>
  <c r="AN474" i="17"/>
  <c r="O819" i="17"/>
  <c r="O9" i="38" s="1"/>
  <c r="N819" i="17"/>
  <c r="N9" i="38" s="1"/>
  <c r="N165" i="17"/>
  <c r="N167" i="17" s="1"/>
  <c r="N13" i="26"/>
  <c r="N29" i="17"/>
  <c r="N30" i="17" s="1"/>
  <c r="P20" i="1"/>
  <c r="P17" i="1"/>
  <c r="P15" i="17" s="1"/>
  <c r="P16" i="17" s="1"/>
  <c r="P377" i="17" s="1"/>
  <c r="P19" i="1"/>
  <c r="P18" i="1"/>
  <c r="O942" i="17"/>
  <c r="O263" i="17" s="1"/>
  <c r="P944" i="17"/>
  <c r="O943" i="17"/>
  <c r="O13" i="26"/>
  <c r="Q16" i="1"/>
  <c r="Q692" i="17"/>
  <c r="O165" i="17"/>
  <c r="O174" i="17" s="1"/>
  <c r="O29" i="17"/>
  <c r="O295" i="1"/>
  <c r="O101" i="17" s="1"/>
  <c r="Q91" i="26"/>
  <c r="Q137" i="26"/>
  <c r="Q53" i="26"/>
  <c r="Q12" i="26"/>
  <c r="Q2" i="26"/>
  <c r="Q285" i="1"/>
  <c r="Q279" i="1"/>
  <c r="O40" i="17"/>
  <c r="Q215" i="1"/>
  <c r="Q221" i="1"/>
  <c r="P231" i="1"/>
  <c r="P486" i="17" s="1"/>
  <c r="P233" i="17"/>
  <c r="P232" i="17"/>
  <c r="P231" i="17"/>
  <c r="Q2" i="17"/>
  <c r="Q230" i="17"/>
  <c r="Q936" i="17"/>
  <c r="Q939" i="17" s="1"/>
  <c r="P938" i="17"/>
  <c r="P937" i="17"/>
  <c r="S567" i="17"/>
  <c r="S4" i="17"/>
  <c r="N100" i="12"/>
  <c r="N121" i="12"/>
  <c r="N123" i="12" s="1"/>
  <c r="P297" i="13"/>
  <c r="P298" i="13" s="1"/>
  <c r="P300" i="13"/>
  <c r="P301" i="13" s="1"/>
  <c r="M135" i="12"/>
  <c r="P83" i="13"/>
  <c r="P82" i="13"/>
  <c r="P81" i="13"/>
  <c r="P162" i="13"/>
  <c r="Q157" i="13"/>
  <c r="Q296" i="13"/>
  <c r="Q277" i="13"/>
  <c r="Q2" i="13"/>
  <c r="Q80" i="13"/>
  <c r="S215" i="13"/>
  <c r="S4" i="13"/>
  <c r="AO21" i="13"/>
  <c r="AO13" i="13"/>
  <c r="AO473" i="17" s="1"/>
  <c r="P183" i="12"/>
  <c r="P185" i="12" s="1"/>
  <c r="P187" i="12" s="1"/>
  <c r="S4" i="10"/>
  <c r="S4" i="4"/>
  <c r="S129" i="12"/>
  <c r="S4" i="12"/>
  <c r="Q2" i="4"/>
  <c r="Q2" i="12"/>
  <c r="Q196" i="12" s="1"/>
  <c r="Q182" i="12"/>
  <c r="Q197" i="12"/>
  <c r="Q2" i="10"/>
  <c r="P198" i="12"/>
  <c r="P199" i="12" s="1"/>
  <c r="P75" i="12" s="1"/>
  <c r="Q2" i="1"/>
  <c r="T4" i="26"/>
  <c r="S4" i="1"/>
  <c r="M173" i="12"/>
  <c r="M157" i="12"/>
  <c r="M158" i="12" s="1"/>
  <c r="M164" i="12"/>
  <c r="M165" i="12" s="1"/>
  <c r="O96" i="12"/>
  <c r="O97" i="12" s="1"/>
  <c r="P93" i="12" s="1"/>
  <c r="Q108" i="12"/>
  <c r="R104" i="12" s="1"/>
  <c r="R107" i="12" s="1"/>
  <c r="M718" i="17" l="1"/>
  <c r="Q745" i="17"/>
  <c r="Q748" i="17" s="1"/>
  <c r="P836" i="17"/>
  <c r="P64" i="37"/>
  <c r="P364" i="17"/>
  <c r="P379" i="17"/>
  <c r="Q688" i="17"/>
  <c r="Q695" i="17" s="1"/>
  <c r="Q717" i="17" s="1"/>
  <c r="Q371" i="17"/>
  <c r="Q374" i="17" s="1"/>
  <c r="P349" i="17"/>
  <c r="M682" i="17"/>
  <c r="N678" i="17" s="1"/>
  <c r="N679" i="17" s="1"/>
  <c r="P620" i="17"/>
  <c r="P597" i="17"/>
  <c r="P608" i="17"/>
  <c r="P411" i="17"/>
  <c r="P451" i="17"/>
  <c r="P416" i="17"/>
  <c r="Q401" i="17"/>
  <c r="Q410" i="17" s="1"/>
  <c r="Q673" i="17"/>
  <c r="Q680" i="17" s="1"/>
  <c r="Q716" i="17" s="1"/>
  <c r="Q406" i="17"/>
  <c r="Q354" i="17"/>
  <c r="N352" i="17"/>
  <c r="N355" i="17" s="1"/>
  <c r="N373" i="17" s="1"/>
  <c r="N375" i="17" s="1"/>
  <c r="N380" i="17" s="1"/>
  <c r="N385" i="17" s="1"/>
  <c r="N359" i="17"/>
  <c r="O179" i="17"/>
  <c r="O350" i="17"/>
  <c r="O14" i="26"/>
  <c r="O820" i="17"/>
  <c r="O10" i="38" s="1"/>
  <c r="O30" i="17"/>
  <c r="N207" i="17"/>
  <c r="N209" i="17" s="1"/>
  <c r="P25" i="17"/>
  <c r="P26" i="17" s="1"/>
  <c r="P378" i="17" s="1"/>
  <c r="Q183" i="12"/>
  <c r="Q185" i="12" s="1"/>
  <c r="AO474" i="17"/>
  <c r="P819" i="17"/>
  <c r="P9" i="38" s="1"/>
  <c r="N174" i="17"/>
  <c r="N204" i="17"/>
  <c r="Q17" i="1"/>
  <c r="Q15" i="17" s="1"/>
  <c r="Q16" i="17" s="1"/>
  <c r="Q377" i="17" s="1"/>
  <c r="Q18" i="1"/>
  <c r="Q19" i="1"/>
  <c r="Q20" i="1"/>
  <c r="P943" i="17"/>
  <c r="Q944" i="17"/>
  <c r="P942" i="17"/>
  <c r="P263" i="17" s="1"/>
  <c r="O822" i="17"/>
  <c r="O17" i="38" s="1"/>
  <c r="P165" i="17"/>
  <c r="R16" i="1"/>
  <c r="R692" i="17"/>
  <c r="O167" i="17"/>
  <c r="O204" i="17"/>
  <c r="P29" i="17"/>
  <c r="P13" i="26"/>
  <c r="O138" i="26"/>
  <c r="O92" i="26"/>
  <c r="O187" i="17"/>
  <c r="O442" i="17" s="1"/>
  <c r="P295" i="1"/>
  <c r="P101" i="17" s="1"/>
  <c r="R137" i="26"/>
  <c r="R53" i="26"/>
  <c r="R2" i="26"/>
  <c r="R12" i="26"/>
  <c r="R91" i="26"/>
  <c r="R285" i="1"/>
  <c r="R279" i="1"/>
  <c r="P40" i="17"/>
  <c r="R215" i="1"/>
  <c r="R221" i="1"/>
  <c r="Q231" i="1"/>
  <c r="Q486" i="17" s="1"/>
  <c r="Q231" i="17"/>
  <c r="Q232" i="17"/>
  <c r="Q233" i="17"/>
  <c r="Q938" i="17"/>
  <c r="Q943" i="17" s="1"/>
  <c r="Q937" i="17"/>
  <c r="Q942" i="17" s="1"/>
  <c r="Q263" i="17" s="1"/>
  <c r="T4" i="17"/>
  <c r="T567" i="17"/>
  <c r="R2" i="17"/>
  <c r="R230" i="17"/>
  <c r="R936" i="17"/>
  <c r="R939" i="17" s="1"/>
  <c r="R2" i="12"/>
  <c r="R196" i="12" s="1"/>
  <c r="Q297" i="13"/>
  <c r="Q298" i="13" s="1"/>
  <c r="Q300" i="13"/>
  <c r="Q301" i="13" s="1"/>
  <c r="N125" i="12"/>
  <c r="N130" i="12" s="1"/>
  <c r="N132" i="12" s="1"/>
  <c r="O131" i="12" s="1"/>
  <c r="Q81" i="13"/>
  <c r="Q82" i="13"/>
  <c r="Q83" i="13"/>
  <c r="R296" i="13"/>
  <c r="R80" i="13"/>
  <c r="R157" i="13"/>
  <c r="R277" i="13"/>
  <c r="R2" i="13"/>
  <c r="T215" i="13"/>
  <c r="T4" i="13"/>
  <c r="Q162" i="13"/>
  <c r="AP13" i="13"/>
  <c r="AP473" i="17" s="1"/>
  <c r="AP21" i="13"/>
  <c r="R182" i="12"/>
  <c r="R2" i="4"/>
  <c r="R197" i="12"/>
  <c r="R2" i="10"/>
  <c r="T4" i="4"/>
  <c r="T129" i="12"/>
  <c r="T4" i="10"/>
  <c r="T4" i="12"/>
  <c r="Q198" i="12"/>
  <c r="Q199" i="12" s="1"/>
  <c r="Q75" i="12" s="1"/>
  <c r="R2" i="1"/>
  <c r="U4" i="26"/>
  <c r="T4" i="1"/>
  <c r="P96" i="12"/>
  <c r="P99" i="12" s="1"/>
  <c r="R110" i="12"/>
  <c r="O99" i="12"/>
  <c r="M174" i="12"/>
  <c r="M175" i="12" s="1"/>
  <c r="R745" i="17" l="1"/>
  <c r="R748" i="17" s="1"/>
  <c r="N701" i="17"/>
  <c r="Q836" i="17"/>
  <c r="Q64" i="37"/>
  <c r="Q364" i="17"/>
  <c r="Q379" i="17"/>
  <c r="R688" i="17"/>
  <c r="R695" i="17" s="1"/>
  <c r="R717" i="17" s="1"/>
  <c r="R371" i="17"/>
  <c r="R374" i="17" s="1"/>
  <c r="Q349" i="17"/>
  <c r="N681" i="17"/>
  <c r="Q416" i="17"/>
  <c r="Q608" i="17"/>
  <c r="Q597" i="17"/>
  <c r="Q620" i="17"/>
  <c r="Q451" i="17"/>
  <c r="Q411" i="17"/>
  <c r="R401" i="17"/>
  <c r="R410" i="17" s="1"/>
  <c r="R673" i="17"/>
  <c r="R680" i="17" s="1"/>
  <c r="R716" i="17" s="1"/>
  <c r="R406" i="17"/>
  <c r="R354" i="17"/>
  <c r="O352" i="17"/>
  <c r="O355" i="17" s="1"/>
  <c r="O373" i="17" s="1"/>
  <c r="O375" i="17" s="1"/>
  <c r="O380" i="17" s="1"/>
  <c r="O385" i="17" s="1"/>
  <c r="O359" i="17"/>
  <c r="O207" i="17"/>
  <c r="O209" i="17" s="1"/>
  <c r="P179" i="17"/>
  <c r="P350" i="17"/>
  <c r="P820" i="17"/>
  <c r="P10" i="38" s="1"/>
  <c r="P14" i="26"/>
  <c r="P30" i="17"/>
  <c r="Q25" i="17"/>
  <c r="Q26" i="17" s="1"/>
  <c r="Q378" i="17" s="1"/>
  <c r="AP474" i="17"/>
  <c r="N822" i="17"/>
  <c r="N17" i="38" s="1"/>
  <c r="Q819" i="17"/>
  <c r="Q9" i="38" s="1"/>
  <c r="N187" i="17"/>
  <c r="N442" i="17" s="1"/>
  <c r="N92" i="26"/>
  <c r="N138" i="26"/>
  <c r="R17" i="1"/>
  <c r="R15" i="17" s="1"/>
  <c r="R16" i="17" s="1"/>
  <c r="R377" i="17" s="1"/>
  <c r="R19" i="1"/>
  <c r="R18" i="1"/>
  <c r="R20" i="1"/>
  <c r="R944" i="17"/>
  <c r="P167" i="17"/>
  <c r="P174" i="17"/>
  <c r="Q13" i="26"/>
  <c r="P204" i="17"/>
  <c r="S16" i="1"/>
  <c r="S692" i="17"/>
  <c r="Q165" i="17"/>
  <c r="Q29" i="17"/>
  <c r="Q295" i="1"/>
  <c r="Q101" i="17" s="1"/>
  <c r="S137" i="26"/>
  <c r="S53" i="26"/>
  <c r="S2" i="26"/>
  <c r="S12" i="26"/>
  <c r="S91" i="26"/>
  <c r="S285" i="1"/>
  <c r="S279" i="1"/>
  <c r="Q40" i="17"/>
  <c r="S215" i="1"/>
  <c r="S221" i="1"/>
  <c r="R231" i="1"/>
  <c r="R486" i="17" s="1"/>
  <c r="R503" i="17" s="1"/>
  <c r="R508" i="17" s="1"/>
  <c r="S2" i="17"/>
  <c r="S230" i="17"/>
  <c r="S936" i="17"/>
  <c r="S939" i="17" s="1"/>
  <c r="R938" i="17"/>
  <c r="R937" i="17"/>
  <c r="R231" i="17"/>
  <c r="R232" i="17"/>
  <c r="R233" i="17"/>
  <c r="U4" i="17"/>
  <c r="U567" i="17"/>
  <c r="P100" i="12"/>
  <c r="P121" i="12"/>
  <c r="P123" i="12" s="1"/>
  <c r="P125" i="12" s="1"/>
  <c r="P130" i="12" s="1"/>
  <c r="O100" i="12"/>
  <c r="O121" i="12"/>
  <c r="O123" i="12" s="1"/>
  <c r="R297" i="13"/>
  <c r="R298" i="13" s="1"/>
  <c r="R300" i="13"/>
  <c r="R301" i="13" s="1"/>
  <c r="N135" i="12"/>
  <c r="R162" i="13"/>
  <c r="S2" i="13"/>
  <c r="S277" i="13"/>
  <c r="S157" i="13"/>
  <c r="S80" i="13"/>
  <c r="S296" i="13"/>
  <c r="R81" i="13"/>
  <c r="R83" i="13"/>
  <c r="R82" i="13"/>
  <c r="U215" i="13"/>
  <c r="U4" i="13"/>
  <c r="AQ21" i="13"/>
  <c r="AQ13" i="13"/>
  <c r="AQ473" i="17" s="1"/>
  <c r="R198" i="12"/>
  <c r="R199" i="12" s="1"/>
  <c r="R75" i="12" s="1"/>
  <c r="U129" i="12"/>
  <c r="U4" i="4"/>
  <c r="U4" i="12"/>
  <c r="U4" i="10"/>
  <c r="S2" i="4"/>
  <c r="S2" i="12"/>
  <c r="S196" i="12" s="1"/>
  <c r="S197" i="12"/>
  <c r="S2" i="10"/>
  <c r="S182" i="12"/>
  <c r="S2" i="1"/>
  <c r="V4" i="26"/>
  <c r="U4" i="1"/>
  <c r="R108" i="12"/>
  <c r="S104" i="12" s="1"/>
  <c r="S107" i="12" s="1"/>
  <c r="S110" i="12" s="1"/>
  <c r="N164" i="12"/>
  <c r="N165" i="12" s="1"/>
  <c r="N157" i="12"/>
  <c r="N158" i="12" s="1"/>
  <c r="N173" i="12"/>
  <c r="P97" i="12"/>
  <c r="Q93" i="12" s="1"/>
  <c r="N682" i="17" l="1"/>
  <c r="O678" i="17" s="1"/>
  <c r="O679" i="17" s="1"/>
  <c r="O701" i="17" s="1"/>
  <c r="S745" i="17"/>
  <c r="S748" i="17" s="1"/>
  <c r="R836" i="17"/>
  <c r="R64" i="37"/>
  <c r="R364" i="17"/>
  <c r="R379" i="17"/>
  <c r="S688" i="17"/>
  <c r="S695" i="17" s="1"/>
  <c r="S717" i="17" s="1"/>
  <c r="S371" i="17"/>
  <c r="S374" i="17" s="1"/>
  <c r="R349" i="17"/>
  <c r="N718" i="17"/>
  <c r="R451" i="17"/>
  <c r="R608" i="17"/>
  <c r="R620" i="17"/>
  <c r="R597" i="17"/>
  <c r="R416" i="17"/>
  <c r="R411" i="17"/>
  <c r="S401" i="17"/>
  <c r="S410" i="17" s="1"/>
  <c r="S673" i="17"/>
  <c r="S680" i="17" s="1"/>
  <c r="S716" i="17" s="1"/>
  <c r="S406" i="17"/>
  <c r="S359" i="17"/>
  <c r="S354" i="17"/>
  <c r="P352" i="17"/>
  <c r="P355" i="17" s="1"/>
  <c r="P373" i="17" s="1"/>
  <c r="P375" i="17" s="1"/>
  <c r="P380" i="17" s="1"/>
  <c r="P385" i="17" s="1"/>
  <c r="P359" i="17"/>
  <c r="P207" i="17"/>
  <c r="P209" i="17" s="1"/>
  <c r="Q14" i="26"/>
  <c r="Q350" i="17"/>
  <c r="Q820" i="17"/>
  <c r="Q10" i="38" s="1"/>
  <c r="Q179" i="17"/>
  <c r="Q30" i="17"/>
  <c r="R25" i="17"/>
  <c r="R26" i="17" s="1"/>
  <c r="R378" i="17" s="1"/>
  <c r="AQ474" i="17"/>
  <c r="P822" i="17"/>
  <c r="P17" i="38" s="1"/>
  <c r="R819" i="17"/>
  <c r="R9" i="38" s="1"/>
  <c r="S19" i="1"/>
  <c r="S17" i="1"/>
  <c r="S15" i="17" s="1"/>
  <c r="S16" i="17" s="1"/>
  <c r="S377" i="17" s="1"/>
  <c r="S18" i="1"/>
  <c r="S25" i="17" s="1"/>
  <c r="S26" i="17" s="1"/>
  <c r="S20" i="1"/>
  <c r="S944" i="17"/>
  <c r="R942" i="17"/>
  <c r="R263" i="17" s="1"/>
  <c r="R943" i="17"/>
  <c r="P138" i="26"/>
  <c r="P92" i="26"/>
  <c r="P187" i="17"/>
  <c r="P442" i="17" s="1"/>
  <c r="R13" i="26"/>
  <c r="T16" i="1"/>
  <c r="T692" i="17"/>
  <c r="Q174" i="17"/>
  <c r="Q204" i="17"/>
  <c r="Q167" i="17"/>
  <c r="R165" i="17"/>
  <c r="R29" i="17"/>
  <c r="R295" i="1"/>
  <c r="R101" i="17" s="1"/>
  <c r="T12" i="26"/>
  <c r="T53" i="26"/>
  <c r="T2" i="26"/>
  <c r="T91" i="26"/>
  <c r="T137" i="26"/>
  <c r="T285" i="1"/>
  <c r="T279" i="1"/>
  <c r="R40" i="17"/>
  <c r="T215" i="1"/>
  <c r="T221" i="1"/>
  <c r="S231" i="1"/>
  <c r="S486" i="17" s="1"/>
  <c r="S503" i="17" s="1"/>
  <c r="S508" i="17" s="1"/>
  <c r="S516" i="17" s="1"/>
  <c r="S521" i="17" s="1"/>
  <c r="S528" i="17" s="1"/>
  <c r="V4" i="17"/>
  <c r="V567" i="17"/>
  <c r="S938" i="17"/>
  <c r="S943" i="17" s="1"/>
  <c r="S937" i="17"/>
  <c r="T2" i="17"/>
  <c r="T230" i="17"/>
  <c r="T936" i="17"/>
  <c r="T939" i="17" s="1"/>
  <c r="T944" i="17" s="1"/>
  <c r="S232" i="17"/>
  <c r="S233" i="17"/>
  <c r="S231" i="17"/>
  <c r="S297" i="13"/>
  <c r="S298" i="13" s="1"/>
  <c r="S300" i="13"/>
  <c r="S301" i="13" s="1"/>
  <c r="O125" i="12"/>
  <c r="O130" i="12" s="1"/>
  <c r="O132" i="12" s="1"/>
  <c r="P131" i="12" s="1"/>
  <c r="P132" i="12" s="1"/>
  <c r="Q131" i="12" s="1"/>
  <c r="V215" i="13"/>
  <c r="V4" i="13"/>
  <c r="S83" i="13"/>
  <c r="S82" i="13"/>
  <c r="S81" i="13"/>
  <c r="S162" i="13"/>
  <c r="T80" i="13"/>
  <c r="T277" i="13"/>
  <c r="T2" i="13"/>
  <c r="T157" i="13"/>
  <c r="T296" i="13"/>
  <c r="S198" i="12"/>
  <c r="S199" i="12" s="1"/>
  <c r="S75" i="12" s="1"/>
  <c r="AR13" i="13"/>
  <c r="AR473" i="17" s="1"/>
  <c r="AR21" i="13"/>
  <c r="V129" i="12"/>
  <c r="V4" i="12"/>
  <c r="V4" i="10"/>
  <c r="V4" i="4"/>
  <c r="T182" i="12"/>
  <c r="T197" i="12"/>
  <c r="T2" i="10"/>
  <c r="T2" i="12"/>
  <c r="T196" i="12" s="1"/>
  <c r="T2" i="4"/>
  <c r="T2" i="1"/>
  <c r="W4" i="26"/>
  <c r="V4" i="1"/>
  <c r="Q96" i="12"/>
  <c r="Q99" i="12" s="1"/>
  <c r="S108" i="12"/>
  <c r="T104" i="12" s="1"/>
  <c r="P164" i="12"/>
  <c r="P165" i="12" s="1"/>
  <c r="P173" i="12"/>
  <c r="P174" i="12" s="1"/>
  <c r="P157" i="12"/>
  <c r="P158" i="12" s="1"/>
  <c r="N174" i="12"/>
  <c r="O681" i="17" l="1"/>
  <c r="O682" i="17" s="1"/>
  <c r="P678" i="17" s="1"/>
  <c r="P679" i="17" s="1"/>
  <c r="P701" i="17" s="1"/>
  <c r="T745" i="17"/>
  <c r="T748" i="17" s="1"/>
  <c r="S836" i="17"/>
  <c r="S64" i="37"/>
  <c r="S364" i="17"/>
  <c r="S379" i="17"/>
  <c r="R359" i="17"/>
  <c r="T688" i="17"/>
  <c r="T695" i="17" s="1"/>
  <c r="T717" i="17" s="1"/>
  <c r="T371" i="17"/>
  <c r="T374" i="17" s="1"/>
  <c r="S350" i="17"/>
  <c r="S378" i="17"/>
  <c r="S349" i="17"/>
  <c r="O718" i="17"/>
  <c r="S416" i="17"/>
  <c r="S608" i="17"/>
  <c r="S620" i="17"/>
  <c r="S597" i="17"/>
  <c r="S411" i="17"/>
  <c r="S451" i="17"/>
  <c r="T401" i="17"/>
  <c r="T410" i="17" s="1"/>
  <c r="T673" i="17"/>
  <c r="T680" i="17" s="1"/>
  <c r="T716" i="17" s="1"/>
  <c r="T406" i="17"/>
  <c r="T359" i="17"/>
  <c r="T354" i="17"/>
  <c r="Q352" i="17"/>
  <c r="Q355" i="17" s="1"/>
  <c r="Q373" i="17" s="1"/>
  <c r="Q375" i="17" s="1"/>
  <c r="Q380" i="17" s="1"/>
  <c r="Q385" i="17" s="1"/>
  <c r="Q359" i="17"/>
  <c r="R14" i="26"/>
  <c r="R350" i="17"/>
  <c r="R352" i="17" s="1"/>
  <c r="R355" i="17" s="1"/>
  <c r="R373" i="17" s="1"/>
  <c r="R375" i="17" s="1"/>
  <c r="R380" i="17" s="1"/>
  <c r="R385" i="17" s="1"/>
  <c r="Q207" i="17"/>
  <c r="Q209" i="17" s="1"/>
  <c r="R30" i="17"/>
  <c r="R179" i="17"/>
  <c r="R820" i="17"/>
  <c r="R10" i="38" s="1"/>
  <c r="S14" i="26"/>
  <c r="S179" i="17"/>
  <c r="S820" i="17"/>
  <c r="S10" i="38" s="1"/>
  <c r="S819" i="17"/>
  <c r="S9" i="38" s="1"/>
  <c r="S29" i="17"/>
  <c r="S30" i="17" s="1"/>
  <c r="S13" i="26"/>
  <c r="S165" i="17"/>
  <c r="AR474" i="17"/>
  <c r="Q822" i="17"/>
  <c r="Q17" i="38" s="1"/>
  <c r="T18" i="1"/>
  <c r="T25" i="17" s="1"/>
  <c r="T26" i="17" s="1"/>
  <c r="T19" i="1"/>
  <c r="T17" i="1"/>
  <c r="T15" i="17" s="1"/>
  <c r="T16" i="17" s="1"/>
  <c r="T377" i="17" s="1"/>
  <c r="T20" i="1"/>
  <c r="S942" i="17"/>
  <c r="S263" i="17" s="1"/>
  <c r="Q92" i="26"/>
  <c r="U16" i="1"/>
  <c r="U692" i="17"/>
  <c r="R167" i="17"/>
  <c r="R174" i="17"/>
  <c r="R204" i="17"/>
  <c r="Q138" i="26"/>
  <c r="Q187" i="17"/>
  <c r="Q442" i="17" s="1"/>
  <c r="S295" i="1"/>
  <c r="S101" i="17" s="1"/>
  <c r="U91" i="26"/>
  <c r="U137" i="26"/>
  <c r="U53" i="26"/>
  <c r="U12" i="26"/>
  <c r="U2" i="26"/>
  <c r="T295" i="1"/>
  <c r="T101" i="17" s="1"/>
  <c r="U285" i="1"/>
  <c r="U279" i="1"/>
  <c r="S40" i="17"/>
  <c r="U215" i="1"/>
  <c r="U221" i="1"/>
  <c r="T231" i="1"/>
  <c r="T486" i="17" s="1"/>
  <c r="T503" i="17" s="1"/>
  <c r="T508" i="17" s="1"/>
  <c r="T516" i="17" s="1"/>
  <c r="T521" i="17" s="1"/>
  <c r="T528" i="17" s="1"/>
  <c r="W4" i="17"/>
  <c r="W567" i="17"/>
  <c r="T938" i="17"/>
  <c r="T943" i="17" s="1"/>
  <c r="T937" i="17"/>
  <c r="T942" i="17" s="1"/>
  <c r="T263" i="17" s="1"/>
  <c r="T232" i="17"/>
  <c r="T233" i="17"/>
  <c r="T231" i="17"/>
  <c r="U2" i="17"/>
  <c r="U310" i="17" s="1"/>
  <c r="U327" i="17" s="1"/>
  <c r="U329" i="17" s="1"/>
  <c r="U894" i="17" s="1"/>
  <c r="U230" i="17"/>
  <c r="U936" i="17"/>
  <c r="U939" i="17" s="1"/>
  <c r="U944" i="17" s="1"/>
  <c r="Q100" i="12"/>
  <c r="Q121" i="12"/>
  <c r="Q123" i="12" s="1"/>
  <c r="T297" i="13"/>
  <c r="T298" i="13" s="1"/>
  <c r="T300" i="13"/>
  <c r="T301" i="13" s="1"/>
  <c r="O135" i="12"/>
  <c r="T162" i="13"/>
  <c r="W215" i="13"/>
  <c r="W4" i="13"/>
  <c r="U80" i="13"/>
  <c r="U157" i="13"/>
  <c r="U296" i="13"/>
  <c r="U277" i="13"/>
  <c r="U2" i="13"/>
  <c r="T83" i="13"/>
  <c r="T82" i="13"/>
  <c r="T81" i="13"/>
  <c r="T198" i="12"/>
  <c r="T199" i="12" s="1"/>
  <c r="T75" i="12" s="1"/>
  <c r="AS13" i="13"/>
  <c r="AS473" i="17" s="1"/>
  <c r="AS21" i="13"/>
  <c r="W129" i="12"/>
  <c r="W4" i="12"/>
  <c r="W4" i="10"/>
  <c r="W4" i="4"/>
  <c r="U197" i="12"/>
  <c r="U2" i="10"/>
  <c r="U2" i="4"/>
  <c r="U2" i="12"/>
  <c r="U196" i="12" s="1"/>
  <c r="U182" i="12"/>
  <c r="U2" i="1"/>
  <c r="X4" i="26"/>
  <c r="W4" i="1"/>
  <c r="P135" i="12"/>
  <c r="T107" i="12"/>
  <c r="T110" i="12" s="1"/>
  <c r="N175" i="12"/>
  <c r="Q97" i="12"/>
  <c r="R93" i="12" s="1"/>
  <c r="O173" i="12"/>
  <c r="O157" i="12"/>
  <c r="O158" i="12" s="1"/>
  <c r="O164" i="12"/>
  <c r="O165" i="12" s="1"/>
  <c r="P681" i="17" l="1"/>
  <c r="U688" i="17"/>
  <c r="U695" i="17" s="1"/>
  <c r="U717" i="17" s="1"/>
  <c r="U745" i="17"/>
  <c r="U748" i="17" s="1"/>
  <c r="T836" i="17"/>
  <c r="T64" i="37"/>
  <c r="S352" i="17"/>
  <c r="S355" i="17" s="1"/>
  <c r="S373" i="17" s="1"/>
  <c r="S375" i="17" s="1"/>
  <c r="S380" i="17" s="1"/>
  <c r="S385" i="17" s="1"/>
  <c r="T364" i="17"/>
  <c r="T379" i="17"/>
  <c r="T350" i="17"/>
  <c r="T378" i="17"/>
  <c r="T349" i="17"/>
  <c r="T416" i="17"/>
  <c r="T608" i="17"/>
  <c r="T620" i="17"/>
  <c r="T597" i="17"/>
  <c r="T451" i="17"/>
  <c r="T411" i="17"/>
  <c r="U401" i="17"/>
  <c r="U410" i="17" s="1"/>
  <c r="U673" i="17"/>
  <c r="U680" i="17" s="1"/>
  <c r="U716" i="17" s="1"/>
  <c r="U406" i="17"/>
  <c r="U359" i="17"/>
  <c r="U354" i="17"/>
  <c r="R207" i="17"/>
  <c r="R209" i="17" s="1"/>
  <c r="T179" i="17"/>
  <c r="T14" i="26"/>
  <c r="T820" i="17"/>
  <c r="S207" i="17"/>
  <c r="S209" i="17" s="1"/>
  <c r="S184" i="17"/>
  <c r="S204" i="17"/>
  <c r="S167" i="17"/>
  <c r="S174" i="17"/>
  <c r="T13" i="26"/>
  <c r="T819" i="17"/>
  <c r="T29" i="17"/>
  <c r="T30" i="17" s="1"/>
  <c r="T165" i="17"/>
  <c r="AS474" i="17"/>
  <c r="R822" i="17"/>
  <c r="R17" i="38" s="1"/>
  <c r="U19" i="1"/>
  <c r="U17" i="1"/>
  <c r="U15" i="17" s="1"/>
  <c r="U16" i="17" s="1"/>
  <c r="U377" i="17" s="1"/>
  <c r="U18" i="1"/>
  <c r="U25" i="17" s="1"/>
  <c r="U26" i="17" s="1"/>
  <c r="U20" i="1"/>
  <c r="R92" i="26"/>
  <c r="V16" i="1"/>
  <c r="V692" i="17"/>
  <c r="R187" i="17"/>
  <c r="R442" i="17" s="1"/>
  <c r="R138" i="26"/>
  <c r="V53" i="26"/>
  <c r="V91" i="26"/>
  <c r="V137" i="26"/>
  <c r="V2" i="26"/>
  <c r="V12" i="26"/>
  <c r="U295" i="1"/>
  <c r="U101" i="17" s="1"/>
  <c r="V285" i="1"/>
  <c r="V279" i="1"/>
  <c r="T40" i="17"/>
  <c r="V215" i="1"/>
  <c r="V221" i="1"/>
  <c r="U231" i="1"/>
  <c r="U486" i="17" s="1"/>
  <c r="U503" i="17" s="1"/>
  <c r="U508" i="17" s="1"/>
  <c r="X4" i="17"/>
  <c r="X567" i="17"/>
  <c r="V230" i="17"/>
  <c r="V936" i="17"/>
  <c r="V939" i="17" s="1"/>
  <c r="V944" i="17" s="1"/>
  <c r="V2" i="17"/>
  <c r="V310" i="17" s="1"/>
  <c r="V327" i="17" s="1"/>
  <c r="V329" i="17" s="1"/>
  <c r="V894" i="17" s="1"/>
  <c r="U938" i="17"/>
  <c r="U943" i="17" s="1"/>
  <c r="U937" i="17"/>
  <c r="U942" i="17" s="1"/>
  <c r="U263" i="17" s="1"/>
  <c r="U233" i="17"/>
  <c r="U231" i="17"/>
  <c r="U232" i="17"/>
  <c r="U297" i="13"/>
  <c r="U298" i="13" s="1"/>
  <c r="U300" i="13"/>
  <c r="U301" i="13" s="1"/>
  <c r="Q125" i="12"/>
  <c r="Q130" i="12" s="1"/>
  <c r="Q132" i="12" s="1"/>
  <c r="R131" i="12" s="1"/>
  <c r="U83" i="13"/>
  <c r="U81" i="13"/>
  <c r="U82" i="13"/>
  <c r="V80" i="13"/>
  <c r="V157" i="13"/>
  <c r="V296" i="13"/>
  <c r="V277" i="13"/>
  <c r="V2" i="13"/>
  <c r="X215" i="13"/>
  <c r="X4" i="13"/>
  <c r="U162" i="13"/>
  <c r="U198" i="12"/>
  <c r="U199" i="12" s="1"/>
  <c r="U75" i="12" s="1"/>
  <c r="AT13" i="13"/>
  <c r="AT473" i="17" s="1"/>
  <c r="AT21" i="13"/>
  <c r="V197" i="12"/>
  <c r="V2" i="10"/>
  <c r="V2" i="4"/>
  <c r="V182" i="12"/>
  <c r="V2" i="12"/>
  <c r="V196" i="12" s="1"/>
  <c r="X129" i="12"/>
  <c r="X4" i="10"/>
  <c r="X4" i="12"/>
  <c r="X4" i="4"/>
  <c r="V2" i="1"/>
  <c r="Y4" i="26"/>
  <c r="X4" i="1"/>
  <c r="O174" i="12"/>
  <c r="O175" i="12" s="1"/>
  <c r="P175" i="12" s="1"/>
  <c r="R96" i="12"/>
  <c r="R99" i="12" s="1"/>
  <c r="T108" i="12"/>
  <c r="U104" i="12" s="1"/>
  <c r="P682" i="17" l="1"/>
  <c r="Q678" i="17" s="1"/>
  <c r="Q679" i="17" s="1"/>
  <c r="Q701" i="17" s="1"/>
  <c r="P718" i="17"/>
  <c r="V688" i="17"/>
  <c r="V695" i="17" s="1"/>
  <c r="V717" i="17" s="1"/>
  <c r="V745" i="17"/>
  <c r="V748" i="17" s="1"/>
  <c r="U836" i="17"/>
  <c r="U64" i="37"/>
  <c r="U364" i="17"/>
  <c r="U379" i="17"/>
  <c r="T352" i="17"/>
  <c r="T355" i="17" s="1"/>
  <c r="T373" i="17" s="1"/>
  <c r="T375" i="17" s="1"/>
  <c r="T380" i="17" s="1"/>
  <c r="T385" i="17" s="1"/>
  <c r="U350" i="17"/>
  <c r="U378" i="17"/>
  <c r="U349" i="17"/>
  <c r="U451" i="17"/>
  <c r="U597" i="17"/>
  <c r="U620" i="17"/>
  <c r="U608" i="17"/>
  <c r="U416" i="17"/>
  <c r="U411" i="17"/>
  <c r="V401" i="17"/>
  <c r="V410" i="17" s="1"/>
  <c r="V673" i="17"/>
  <c r="V680" i="17" s="1"/>
  <c r="V716" i="17" s="1"/>
  <c r="V406" i="17"/>
  <c r="V359" i="17"/>
  <c r="V354" i="17"/>
  <c r="S139" i="26"/>
  <c r="S93" i="26"/>
  <c r="S188" i="17"/>
  <c r="S823" i="17"/>
  <c r="S18" i="38" s="1"/>
  <c r="T10" i="38"/>
  <c r="G853" i="17" a="1"/>
  <c r="G853" i="17" s="1"/>
  <c r="D141" i="43" s="1"/>
  <c r="U14" i="26"/>
  <c r="U820" i="17"/>
  <c r="U10" i="38" s="1"/>
  <c r="U179" i="17"/>
  <c r="T207" i="17"/>
  <c r="T209" i="17" s="1"/>
  <c r="T167" i="17"/>
  <c r="T204" i="17"/>
  <c r="T174" i="17"/>
  <c r="S187" i="17"/>
  <c r="S138" i="26"/>
  <c r="S92" i="26"/>
  <c r="S822" i="17"/>
  <c r="S17" i="38" s="1"/>
  <c r="U819" i="17"/>
  <c r="U9" i="38" s="1"/>
  <c r="U29" i="17"/>
  <c r="U30" i="17" s="1"/>
  <c r="U13" i="26"/>
  <c r="U165" i="17"/>
  <c r="T9" i="38"/>
  <c r="AT474" i="17"/>
  <c r="V19" i="1"/>
  <c r="V20" i="1"/>
  <c r="V18" i="1"/>
  <c r="V25" i="17" s="1"/>
  <c r="V26" i="17" s="1"/>
  <c r="V17" i="1"/>
  <c r="V15" i="17" s="1"/>
  <c r="V16" i="17" s="1"/>
  <c r="V377" i="17" s="1"/>
  <c r="W16" i="1"/>
  <c r="W692" i="17"/>
  <c r="W91" i="26"/>
  <c r="W137" i="26"/>
  <c r="W12" i="26"/>
  <c r="W2" i="26"/>
  <c r="W53" i="26"/>
  <c r="V295" i="1"/>
  <c r="V101" i="17" s="1"/>
  <c r="W285" i="1"/>
  <c r="W279" i="1"/>
  <c r="U40" i="17"/>
  <c r="W215" i="1"/>
  <c r="W221" i="1"/>
  <c r="V231" i="1"/>
  <c r="V486" i="17" s="1"/>
  <c r="V503" i="17" s="1"/>
  <c r="V508" i="17" s="1"/>
  <c r="V938" i="17"/>
  <c r="V943" i="17" s="1"/>
  <c r="V937" i="17"/>
  <c r="V942" i="17" s="1"/>
  <c r="V263" i="17" s="1"/>
  <c r="V231" i="17"/>
  <c r="V232" i="17"/>
  <c r="V233" i="17"/>
  <c r="W936" i="17"/>
  <c r="W939" i="17" s="1"/>
  <c r="W944" i="17" s="1"/>
  <c r="W230" i="17"/>
  <c r="W2" i="17"/>
  <c r="W310" i="17" s="1"/>
  <c r="W327" i="17" s="1"/>
  <c r="W329" i="17" s="1"/>
  <c r="W894" i="17" s="1"/>
  <c r="Y567" i="17"/>
  <c r="Y4" i="17"/>
  <c r="R100" i="12"/>
  <c r="R121" i="12"/>
  <c r="R123" i="12" s="1"/>
  <c r="R125" i="12" s="1"/>
  <c r="R130" i="12" s="1"/>
  <c r="R132" i="12" s="1"/>
  <c r="S131" i="12" s="1"/>
  <c r="V297" i="13"/>
  <c r="V298" i="13" s="1"/>
  <c r="V300" i="13"/>
  <c r="V301" i="13" s="1"/>
  <c r="W80" i="13"/>
  <c r="W296" i="13"/>
  <c r="W277" i="13"/>
  <c r="W2" i="13"/>
  <c r="W157" i="13"/>
  <c r="Y215" i="13"/>
  <c r="Y4" i="13"/>
  <c r="V162" i="13"/>
  <c r="V83" i="13"/>
  <c r="V81" i="13"/>
  <c r="V82" i="13"/>
  <c r="V198" i="12"/>
  <c r="V199" i="12" s="1"/>
  <c r="V75" i="12" s="1"/>
  <c r="AU21" i="13"/>
  <c r="AU13" i="13"/>
  <c r="AU473" i="17" s="1"/>
  <c r="Y4" i="10"/>
  <c r="Y4" i="4"/>
  <c r="Y4" i="12"/>
  <c r="Y129" i="12"/>
  <c r="W197" i="12"/>
  <c r="W2" i="10"/>
  <c r="W2" i="4"/>
  <c r="W182" i="12"/>
  <c r="W2" i="12"/>
  <c r="W196" i="12" s="1"/>
  <c r="W2" i="1"/>
  <c r="Z4" i="26"/>
  <c r="Y4" i="1"/>
  <c r="R97" i="12"/>
  <c r="S93" i="12" s="1"/>
  <c r="S96" i="12" s="1"/>
  <c r="S99" i="12" s="1"/>
  <c r="Q135" i="12"/>
  <c r="Q157" i="12"/>
  <c r="Q158" i="12" s="1"/>
  <c r="Q164" i="12"/>
  <c r="Q165" i="12" s="1"/>
  <c r="Q173" i="12"/>
  <c r="Q170" i="12"/>
  <c r="U107" i="12"/>
  <c r="U110" i="12" s="1"/>
  <c r="Q681" i="17" l="1"/>
  <c r="Q682" i="17" s="1"/>
  <c r="R678" i="17" s="1"/>
  <c r="W688" i="17"/>
  <c r="W695" i="17" s="1"/>
  <c r="W717" i="17" s="1"/>
  <c r="W745" i="17"/>
  <c r="W748" i="17" s="1"/>
  <c r="V836" i="17"/>
  <c r="V64" i="37"/>
  <c r="V364" i="17"/>
  <c r="V379" i="17"/>
  <c r="G852" i="17" a="1"/>
  <c r="G852" i="17" s="1"/>
  <c r="D140" i="43" s="1"/>
  <c r="U352" i="17"/>
  <c r="U355" i="17" s="1"/>
  <c r="U373" i="17" s="1"/>
  <c r="V350" i="17"/>
  <c r="V378" i="17"/>
  <c r="V349" i="17"/>
  <c r="V597" i="17"/>
  <c r="V620" i="17"/>
  <c r="V608" i="17"/>
  <c r="V411" i="17"/>
  <c r="V416" i="17"/>
  <c r="V451" i="17"/>
  <c r="W401" i="17"/>
  <c r="W410" i="17" s="1"/>
  <c r="W673" i="17"/>
  <c r="W680" i="17" s="1"/>
  <c r="W716" i="17" s="1"/>
  <c r="W406" i="17"/>
  <c r="W359" i="17"/>
  <c r="W354" i="17"/>
  <c r="U207" i="17"/>
  <c r="U209" i="17" s="1"/>
  <c r="S443" i="17"/>
  <c r="V14" i="26"/>
  <c r="V179" i="17"/>
  <c r="V820" i="17"/>
  <c r="V10" i="38" s="1"/>
  <c r="U167" i="17"/>
  <c r="U204" i="17"/>
  <c r="U174" i="17"/>
  <c r="S189" i="17"/>
  <c r="S442" i="17"/>
  <c r="V13" i="26"/>
  <c r="V819" i="17"/>
  <c r="V9" i="38" s="1"/>
  <c r="V29" i="17"/>
  <c r="V30" i="17" s="1"/>
  <c r="V165" i="17"/>
  <c r="T92" i="26"/>
  <c r="T138" i="26"/>
  <c r="T187" i="17"/>
  <c r="T822" i="17"/>
  <c r="AU474" i="17"/>
  <c r="W20" i="1"/>
  <c r="W18" i="1"/>
  <c r="W25" i="17" s="1"/>
  <c r="W26" i="17" s="1"/>
  <c r="W17" i="1"/>
  <c r="W15" i="17" s="1"/>
  <c r="W16" i="17" s="1"/>
  <c r="W377" i="17" s="1"/>
  <c r="W19" i="1"/>
  <c r="X16" i="1"/>
  <c r="X692" i="17"/>
  <c r="X53" i="26"/>
  <c r="X137" i="26"/>
  <c r="X12" i="26"/>
  <c r="X91" i="26"/>
  <c r="X2" i="26"/>
  <c r="X285" i="1"/>
  <c r="X279" i="1"/>
  <c r="V40" i="17"/>
  <c r="W231" i="1"/>
  <c r="W486" i="17" s="1"/>
  <c r="W503" i="17" s="1"/>
  <c r="X215" i="1"/>
  <c r="X221" i="1"/>
  <c r="W233" i="17"/>
  <c r="W231" i="17"/>
  <c r="W232" i="17"/>
  <c r="X936" i="17"/>
  <c r="X939" i="17" s="1"/>
  <c r="X944" i="17" s="1"/>
  <c r="X2" i="17"/>
  <c r="X310" i="17" s="1"/>
  <c r="X327" i="17" s="1"/>
  <c r="X329" i="17" s="1"/>
  <c r="X894" i="17" s="1"/>
  <c r="X230" i="17"/>
  <c r="Z567" i="17"/>
  <c r="Z4" i="17"/>
  <c r="W938" i="17"/>
  <c r="W943" i="17" s="1"/>
  <c r="W937" i="17"/>
  <c r="W942" i="17" s="1"/>
  <c r="W263" i="17" s="1"/>
  <c r="S100" i="12"/>
  <c r="S121" i="12"/>
  <c r="S123" i="12" s="1"/>
  <c r="S125" i="12" s="1"/>
  <c r="S130" i="12" s="1"/>
  <c r="S132" i="12" s="1"/>
  <c r="T131" i="12" s="1"/>
  <c r="W297" i="13"/>
  <c r="W298" i="13" s="1"/>
  <c r="W300" i="13"/>
  <c r="W301" i="13" s="1"/>
  <c r="X157" i="13"/>
  <c r="X296" i="13"/>
  <c r="X80" i="13"/>
  <c r="X277" i="13"/>
  <c r="X2" i="13"/>
  <c r="W162" i="13"/>
  <c r="Z215" i="13"/>
  <c r="Z4" i="13"/>
  <c r="W81" i="13"/>
  <c r="W83" i="13"/>
  <c r="W82" i="13"/>
  <c r="W198" i="12"/>
  <c r="W199" i="12" s="1"/>
  <c r="W75" i="12" s="1"/>
  <c r="AV13" i="13"/>
  <c r="AV473" i="17" s="1"/>
  <c r="AV21" i="13"/>
  <c r="Z4" i="10"/>
  <c r="Z4" i="4"/>
  <c r="Z129" i="12"/>
  <c r="Z4" i="12"/>
  <c r="X2" i="4"/>
  <c r="X182" i="12"/>
  <c r="X2" i="10"/>
  <c r="X197" i="12"/>
  <c r="X2" i="12"/>
  <c r="X196" i="12" s="1"/>
  <c r="X2" i="1"/>
  <c r="AA4" i="26"/>
  <c r="Z4" i="1"/>
  <c r="R135" i="12"/>
  <c r="Q174" i="12"/>
  <c r="R157" i="12"/>
  <c r="R158" i="12" s="1"/>
  <c r="R170" i="12"/>
  <c r="R173" i="12"/>
  <c r="R174" i="12" s="1"/>
  <c r="R186" i="12" s="1"/>
  <c r="R164" i="12"/>
  <c r="R165" i="12" s="1"/>
  <c r="S97" i="12"/>
  <c r="T93" i="12" s="1"/>
  <c r="U108" i="12"/>
  <c r="V104" i="12" s="1"/>
  <c r="Q718" i="17" l="1"/>
  <c r="R679" i="17"/>
  <c r="R701" i="17" s="1"/>
  <c r="X688" i="17"/>
  <c r="X695" i="17" s="1"/>
  <c r="X717" i="17" s="1"/>
  <c r="X745" i="17"/>
  <c r="X748" i="17" s="1"/>
  <c r="W836" i="17"/>
  <c r="W64" i="37"/>
  <c r="W364" i="17"/>
  <c r="W379" i="17"/>
  <c r="V352" i="17"/>
  <c r="V355" i="17" s="1"/>
  <c r="V373" i="17" s="1"/>
  <c r="W350" i="17"/>
  <c r="W378" i="17"/>
  <c r="W349" i="17"/>
  <c r="W416" i="17"/>
  <c r="W620" i="17"/>
  <c r="W597" i="17"/>
  <c r="W608" i="17"/>
  <c r="W411" i="17"/>
  <c r="W451" i="17"/>
  <c r="X401" i="17"/>
  <c r="X410" i="17" s="1"/>
  <c r="X673" i="17"/>
  <c r="X680" i="17" s="1"/>
  <c r="X716" i="17" s="1"/>
  <c r="X406" i="17"/>
  <c r="X359" i="17"/>
  <c r="X354" i="17"/>
  <c r="V207" i="17"/>
  <c r="V209" i="17" s="1"/>
  <c r="S824" i="17"/>
  <c r="S19" i="38" s="1"/>
  <c r="S444" i="17"/>
  <c r="S588" i="17"/>
  <c r="S547" i="17"/>
  <c r="U92" i="26"/>
  <c r="U187" i="17"/>
  <c r="U822" i="17"/>
  <c r="U17" i="38" s="1"/>
  <c r="U138" i="26"/>
  <c r="V167" i="17"/>
  <c r="V204" i="17"/>
  <c r="V174" i="17"/>
  <c r="T17" i="38"/>
  <c r="G855" i="17" a="1"/>
  <c r="G855" i="17" s="1"/>
  <c r="D143" i="43" s="1"/>
  <c r="T442" i="17"/>
  <c r="W13" i="26"/>
  <c r="W819" i="17"/>
  <c r="W9" i="38" s="1"/>
  <c r="W29" i="17"/>
  <c r="W165" i="17"/>
  <c r="AV474" i="17"/>
  <c r="X18" i="1"/>
  <c r="X20" i="1"/>
  <c r="X17" i="1"/>
  <c r="X15" i="17" s="1"/>
  <c r="X16" i="17" s="1"/>
  <c r="X377" i="17" s="1"/>
  <c r="X19" i="1"/>
  <c r="Y16" i="1"/>
  <c r="Y692" i="17"/>
  <c r="W295" i="1"/>
  <c r="W101" i="17" s="1"/>
  <c r="W103" i="17" s="1"/>
  <c r="W487" i="17" s="1"/>
  <c r="W504" i="17" s="1"/>
  <c r="Y91" i="26"/>
  <c r="Y137" i="26"/>
  <c r="Y12" i="26"/>
  <c r="Y2" i="26"/>
  <c r="Y53" i="26"/>
  <c r="Y285" i="1"/>
  <c r="Y279" i="1"/>
  <c r="W40" i="17"/>
  <c r="W42" i="17" s="1"/>
  <c r="X231" i="1"/>
  <c r="X486" i="17" s="1"/>
  <c r="X503" i="17" s="1"/>
  <c r="Y215" i="1"/>
  <c r="Y221" i="1"/>
  <c r="Y2" i="17"/>
  <c r="Y310" i="17" s="1"/>
  <c r="Y327" i="17" s="1"/>
  <c r="Y329" i="17" s="1"/>
  <c r="Y894" i="17" s="1"/>
  <c r="Y230" i="17"/>
  <c r="Y936" i="17"/>
  <c r="Y939" i="17" s="1"/>
  <c r="Y944" i="17" s="1"/>
  <c r="X938" i="17"/>
  <c r="X943" i="17" s="1"/>
  <c r="X937" i="17"/>
  <c r="X942" i="17" s="1"/>
  <c r="X263" i="17" s="1"/>
  <c r="X233" i="17"/>
  <c r="X232" i="17"/>
  <c r="X231" i="17"/>
  <c r="AA567" i="17"/>
  <c r="AA4" i="17"/>
  <c r="X297" i="13"/>
  <c r="X298" i="13" s="1"/>
  <c r="X300" i="13"/>
  <c r="X301" i="13" s="1"/>
  <c r="Y157" i="13"/>
  <c r="Y296" i="13"/>
  <c r="Y277" i="13"/>
  <c r="Y2" i="13"/>
  <c r="Y80" i="13"/>
  <c r="X83" i="13"/>
  <c r="X82" i="13"/>
  <c r="X81" i="13"/>
  <c r="X162" i="13"/>
  <c r="AA215" i="13"/>
  <c r="AA4" i="13"/>
  <c r="X198" i="12"/>
  <c r="X199" i="12" s="1"/>
  <c r="X75" i="12" s="1"/>
  <c r="AA4" i="4"/>
  <c r="AA4" i="10"/>
  <c r="AA129" i="12"/>
  <c r="AA4" i="12"/>
  <c r="Y2" i="4"/>
  <c r="Y2" i="12"/>
  <c r="Y196" i="12" s="1"/>
  <c r="Y182" i="12"/>
  <c r="Y197" i="12"/>
  <c r="Y2" i="10"/>
  <c r="Y2" i="1"/>
  <c r="AB4" i="26"/>
  <c r="AA4" i="1"/>
  <c r="S135" i="12"/>
  <c r="S173" i="12"/>
  <c r="S174" i="12" s="1"/>
  <c r="S186" i="12" s="1"/>
  <c r="S170" i="12"/>
  <c r="S157" i="12"/>
  <c r="S158" i="12" s="1"/>
  <c r="S164" i="12"/>
  <c r="S165" i="12" s="1"/>
  <c r="V107" i="12"/>
  <c r="V110" i="12" s="1"/>
  <c r="T96" i="12"/>
  <c r="T99" i="12" s="1"/>
  <c r="Q186" i="12"/>
  <c r="Q175" i="12"/>
  <c r="R175" i="12" s="1"/>
  <c r="R681" i="17" l="1"/>
  <c r="Y688" i="17"/>
  <c r="Y695" i="17" s="1"/>
  <c r="Y717" i="17" s="1"/>
  <c r="Y745" i="17"/>
  <c r="Y748" i="17" s="1"/>
  <c r="X836" i="17"/>
  <c r="X64" i="37"/>
  <c r="X364" i="17"/>
  <c r="X379" i="17"/>
  <c r="W352" i="17"/>
  <c r="W355" i="17" s="1"/>
  <c r="W373" i="17" s="1"/>
  <c r="X349" i="17"/>
  <c r="X451" i="17"/>
  <c r="X620" i="17"/>
  <c r="X597" i="17"/>
  <c r="X608" i="17"/>
  <c r="X416" i="17"/>
  <c r="X411" i="17"/>
  <c r="Y401" i="17"/>
  <c r="Y410" i="17" s="1"/>
  <c r="Y673" i="17"/>
  <c r="Y680" i="17" s="1"/>
  <c r="Y716" i="17" s="1"/>
  <c r="Y406" i="17"/>
  <c r="Y359" i="17"/>
  <c r="Y354" i="17"/>
  <c r="W124" i="17"/>
  <c r="W125" i="17" s="1"/>
  <c r="W130" i="17"/>
  <c r="W132" i="17" s="1"/>
  <c r="W138" i="17" s="1"/>
  <c r="W145" i="17" s="1"/>
  <c r="W147" i="17"/>
  <c r="W112" i="17"/>
  <c r="W114" i="17" s="1"/>
  <c r="W117" i="17"/>
  <c r="W56" i="17"/>
  <c r="W57" i="17" s="1"/>
  <c r="W63" i="17"/>
  <c r="W64" i="17" s="1"/>
  <c r="W72" i="17"/>
  <c r="W79" i="17" s="1"/>
  <c r="X25" i="17"/>
  <c r="X26" i="17" s="1"/>
  <c r="X378" i="17" s="1"/>
  <c r="U442" i="17"/>
  <c r="V822" i="17"/>
  <c r="V17" i="38" s="1"/>
  <c r="V138" i="26"/>
  <c r="V92" i="26"/>
  <c r="V187" i="17"/>
  <c r="W204" i="17"/>
  <c r="W167" i="17"/>
  <c r="X13" i="26"/>
  <c r="X819" i="17"/>
  <c r="X9" i="38" s="1"/>
  <c r="X29" i="17"/>
  <c r="X165" i="17"/>
  <c r="Y20" i="1"/>
  <c r="Y17" i="1"/>
  <c r="Y15" i="17" s="1"/>
  <c r="Y16" i="17" s="1"/>
  <c r="Y377" i="17" s="1"/>
  <c r="Y18" i="1"/>
  <c r="Y19" i="1"/>
  <c r="Z16" i="1"/>
  <c r="Z692" i="17"/>
  <c r="X295" i="1"/>
  <c r="X101" i="17" s="1"/>
  <c r="X103" i="17" s="1"/>
  <c r="X487" i="17" s="1"/>
  <c r="X504" i="17" s="1"/>
  <c r="Z137" i="26"/>
  <c r="Z91" i="26"/>
  <c r="Z2" i="26"/>
  <c r="Z12" i="26"/>
  <c r="Z53" i="26"/>
  <c r="Z285" i="1"/>
  <c r="Z279" i="1"/>
  <c r="X40" i="17"/>
  <c r="X42" i="17" s="1"/>
  <c r="Y231" i="1"/>
  <c r="Y486" i="17" s="1"/>
  <c r="Y503" i="17" s="1"/>
  <c r="Z215" i="1"/>
  <c r="Z221" i="1"/>
  <c r="Y938" i="17"/>
  <c r="Y943" i="17" s="1"/>
  <c r="Y937" i="17"/>
  <c r="Y942" i="17" s="1"/>
  <c r="Y263" i="17" s="1"/>
  <c r="AB4" i="17"/>
  <c r="AB567" i="17"/>
  <c r="Y231" i="17"/>
  <c r="Y232" i="17"/>
  <c r="Y233" i="17"/>
  <c r="Z936" i="17"/>
  <c r="Z939" i="17" s="1"/>
  <c r="Z944" i="17" s="1"/>
  <c r="Z2" i="17"/>
  <c r="Z310" i="17" s="1"/>
  <c r="Z327" i="17" s="1"/>
  <c r="Z329" i="17" s="1"/>
  <c r="Z894" i="17" s="1"/>
  <c r="Z230" i="17"/>
  <c r="T100" i="12"/>
  <c r="T121" i="12"/>
  <c r="T123" i="12" s="1"/>
  <c r="T125" i="12" s="1"/>
  <c r="T130" i="12" s="1"/>
  <c r="T132" i="12" s="1"/>
  <c r="U131" i="12" s="1"/>
  <c r="Y297" i="13"/>
  <c r="Y298" i="13" s="1"/>
  <c r="Y300" i="13"/>
  <c r="Y301" i="13" s="1"/>
  <c r="Z296" i="13"/>
  <c r="Z157" i="13"/>
  <c r="Z277" i="13"/>
  <c r="Z2" i="13"/>
  <c r="Z80" i="13"/>
  <c r="Y81" i="13"/>
  <c r="Y82" i="13"/>
  <c r="Y83" i="13"/>
  <c r="AB215" i="13"/>
  <c r="AB4" i="13"/>
  <c r="Y162" i="13"/>
  <c r="Y198" i="12"/>
  <c r="Y199" i="12" s="1"/>
  <c r="Y75" i="12" s="1"/>
  <c r="AB4" i="4"/>
  <c r="AB129" i="12"/>
  <c r="AB4" i="12"/>
  <c r="AB4" i="10"/>
  <c r="Z182" i="12"/>
  <c r="Z2" i="12"/>
  <c r="Z196" i="12" s="1"/>
  <c r="Z2" i="4"/>
  <c r="Z197" i="12"/>
  <c r="Z2" i="10"/>
  <c r="Q187" i="12"/>
  <c r="R183" i="12" s="1"/>
  <c r="R185" i="12" s="1"/>
  <c r="Z2" i="1"/>
  <c r="AC4" i="26"/>
  <c r="AB4" i="1"/>
  <c r="V108" i="12"/>
  <c r="W104" i="12" s="1"/>
  <c r="W107" i="12" s="1"/>
  <c r="W110" i="12" s="1"/>
  <c r="S175" i="12"/>
  <c r="T97" i="12"/>
  <c r="U93" i="12" s="1"/>
  <c r="R718" i="17" l="1"/>
  <c r="R682" i="17"/>
  <c r="S678" i="17" s="1"/>
  <c r="Z688" i="17"/>
  <c r="Z695" i="17" s="1"/>
  <c r="Z717" i="17" s="1"/>
  <c r="Z745" i="17"/>
  <c r="Z748" i="17" s="1"/>
  <c r="Y836" i="17"/>
  <c r="Y64" i="37"/>
  <c r="Y364" i="17"/>
  <c r="Y379" i="17"/>
  <c r="Y349" i="17"/>
  <c r="Y416" i="17"/>
  <c r="Y608" i="17"/>
  <c r="Y597" i="17"/>
  <c r="Y620" i="17"/>
  <c r="Y451" i="17"/>
  <c r="Y411" i="17"/>
  <c r="Z401" i="17"/>
  <c r="Z410" i="17" s="1"/>
  <c r="Z673" i="17"/>
  <c r="Z680" i="17" s="1"/>
  <c r="Z716" i="17" s="1"/>
  <c r="Z406" i="17"/>
  <c r="Z359" i="17"/>
  <c r="Z354" i="17"/>
  <c r="X14" i="26"/>
  <c r="X350" i="17"/>
  <c r="X352" i="17" s="1"/>
  <c r="X355" i="17" s="1"/>
  <c r="X373" i="17" s="1"/>
  <c r="X130" i="17"/>
  <c r="X132" i="17" s="1"/>
  <c r="X138" i="17" s="1"/>
  <c r="X145" i="17" s="1"/>
  <c r="X112" i="17"/>
  <c r="X114" i="17" s="1"/>
  <c r="X124" i="17"/>
  <c r="X125" i="17" s="1"/>
  <c r="X147" i="17"/>
  <c r="X117" i="17"/>
  <c r="W154" i="17"/>
  <c r="W148" i="17"/>
  <c r="W126" i="17"/>
  <c r="W153" i="17"/>
  <c r="X56" i="17"/>
  <c r="X57" i="17" s="1"/>
  <c r="X63" i="17"/>
  <c r="X64" i="17" s="1"/>
  <c r="X72" i="17"/>
  <c r="X79" i="17" s="1"/>
  <c r="W80" i="17"/>
  <c r="W86" i="17"/>
  <c r="W91" i="17" s="1"/>
  <c r="W65" i="17"/>
  <c r="W85" i="17"/>
  <c r="W84" i="17"/>
  <c r="X179" i="17"/>
  <c r="X820" i="17"/>
  <c r="X10" i="38" s="1"/>
  <c r="X30" i="17"/>
  <c r="Y25" i="17"/>
  <c r="Y26" i="17" s="1"/>
  <c r="Y378" i="17" s="1"/>
  <c r="V442" i="17"/>
  <c r="X167" i="17"/>
  <c r="X204" i="17"/>
  <c r="Z20" i="1"/>
  <c r="Z17" i="1"/>
  <c r="Z15" i="17" s="1"/>
  <c r="Z16" i="17" s="1"/>
  <c r="Z377" i="17" s="1"/>
  <c r="Z19" i="1"/>
  <c r="Z18" i="1"/>
  <c r="AA16" i="1"/>
  <c r="AA692" i="17"/>
  <c r="Y295" i="1"/>
  <c r="Y101" i="17" s="1"/>
  <c r="Y103" i="17" s="1"/>
  <c r="Y487" i="17" s="1"/>
  <c r="Y504" i="17" s="1"/>
  <c r="AA137" i="26"/>
  <c r="AA91" i="26"/>
  <c r="AA2" i="26"/>
  <c r="AA53" i="26"/>
  <c r="AA12" i="26"/>
  <c r="AA285" i="1"/>
  <c r="AA279" i="1"/>
  <c r="Y40" i="17"/>
  <c r="Y42" i="17" s="1"/>
  <c r="Z231" i="1"/>
  <c r="Z486" i="17" s="1"/>
  <c r="Z503" i="17" s="1"/>
  <c r="AA215" i="1"/>
  <c r="AA221" i="1"/>
  <c r="Z938" i="17"/>
  <c r="Z943" i="17" s="1"/>
  <c r="Z937" i="17"/>
  <c r="Z942" i="17" s="1"/>
  <c r="Z263" i="17" s="1"/>
  <c r="Z233" i="17"/>
  <c r="Z231" i="17"/>
  <c r="Z232" i="17"/>
  <c r="AA2" i="17"/>
  <c r="AA310" i="17" s="1"/>
  <c r="AA327" i="17" s="1"/>
  <c r="AA329" i="17" s="1"/>
  <c r="AA894" i="17" s="1"/>
  <c r="AA230" i="17"/>
  <c r="AA936" i="17"/>
  <c r="AA939" i="17" s="1"/>
  <c r="AA944" i="17" s="1"/>
  <c r="AC4" i="17"/>
  <c r="AC567" i="17"/>
  <c r="Z297" i="13"/>
  <c r="Z298" i="13" s="1"/>
  <c r="Z300" i="13"/>
  <c r="Z198" i="12"/>
  <c r="Z199" i="12" s="1"/>
  <c r="Z75" i="12" s="1"/>
  <c r="AC215" i="13"/>
  <c r="AC4" i="13"/>
  <c r="AA277" i="13"/>
  <c r="AA157" i="13"/>
  <c r="AA80" i="13"/>
  <c r="AA296" i="13"/>
  <c r="AA2" i="13"/>
  <c r="Z81" i="13"/>
  <c r="Z82" i="13"/>
  <c r="Z83" i="13"/>
  <c r="Z162" i="13"/>
  <c r="AA182" i="12"/>
  <c r="AA2" i="12"/>
  <c r="AA196" i="12" s="1"/>
  <c r="AA2" i="4"/>
  <c r="AA197" i="12"/>
  <c r="AA2" i="10"/>
  <c r="AC4" i="4"/>
  <c r="AC4" i="12"/>
  <c r="AC129" i="12"/>
  <c r="AC4" i="10"/>
  <c r="R187" i="12"/>
  <c r="S183" i="12" s="1"/>
  <c r="AA2" i="1"/>
  <c r="AD4" i="26"/>
  <c r="AC4" i="1"/>
  <c r="T135" i="12"/>
  <c r="T164" i="12"/>
  <c r="T165" i="12" s="1"/>
  <c r="T157" i="12"/>
  <c r="T158" i="12" s="1"/>
  <c r="T173" i="12"/>
  <c r="T174" i="12" s="1"/>
  <c r="T186" i="12" s="1"/>
  <c r="T170" i="12"/>
  <c r="U96" i="12"/>
  <c r="U99" i="12" s="1"/>
  <c r="W108" i="12"/>
  <c r="X104" i="12" s="1"/>
  <c r="S679" i="17" l="1"/>
  <c r="S681" i="17" s="1"/>
  <c r="S718" i="17" s="1"/>
  <c r="AA688" i="17"/>
  <c r="AA695" i="17" s="1"/>
  <c r="AA717" i="17" s="1"/>
  <c r="AA745" i="17"/>
  <c r="AA748" i="17" s="1"/>
  <c r="Z836" i="17"/>
  <c r="Z64" i="37"/>
  <c r="Z364" i="17"/>
  <c r="Z379" i="17"/>
  <c r="Z349" i="17"/>
  <c r="Z416" i="17"/>
  <c r="Z608" i="17"/>
  <c r="Z620" i="17"/>
  <c r="Z597" i="17"/>
  <c r="Z411" i="17"/>
  <c r="Z451" i="17"/>
  <c r="AA401" i="17"/>
  <c r="AA410" i="17" s="1"/>
  <c r="AA673" i="17"/>
  <c r="AA680" i="17" s="1"/>
  <c r="AA716" i="17" s="1"/>
  <c r="AA406" i="17"/>
  <c r="AA359" i="17"/>
  <c r="AA354" i="17"/>
  <c r="Y14" i="26"/>
  <c r="Y350" i="17"/>
  <c r="Y352" i="17" s="1"/>
  <c r="Y355" i="17" s="1"/>
  <c r="Y373" i="17" s="1"/>
  <c r="Y130" i="17"/>
  <c r="Y132" i="17" s="1"/>
  <c r="Y138" i="17" s="1"/>
  <c r="Y145" i="17" s="1"/>
  <c r="Y112" i="17"/>
  <c r="Y114" i="17" s="1"/>
  <c r="Y147" i="17"/>
  <c r="Y124" i="17"/>
  <c r="Y125" i="17" s="1"/>
  <c r="Y117" i="17"/>
  <c r="X126" i="17"/>
  <c r="X153" i="17"/>
  <c r="X207" i="17"/>
  <c r="X209" i="17" s="1"/>
  <c r="X154" i="17"/>
  <c r="X159" i="17" s="1"/>
  <c r="X148" i="17"/>
  <c r="X84" i="17"/>
  <c r="W13" i="38"/>
  <c r="W54" i="26"/>
  <c r="W508" i="17"/>
  <c r="W172" i="17"/>
  <c r="W174" i="17" s="1"/>
  <c r="X80" i="17"/>
  <c r="X86" i="17"/>
  <c r="X91" i="17" s="1"/>
  <c r="Y56" i="17"/>
  <c r="Y57" i="17" s="1"/>
  <c r="Y63" i="17"/>
  <c r="Y64" i="17" s="1"/>
  <c r="Y72" i="17"/>
  <c r="Y79" i="17" s="1"/>
  <c r="X85" i="17"/>
  <c r="X65" i="17"/>
  <c r="Y179" i="17"/>
  <c r="Y820" i="17"/>
  <c r="Y10" i="38" s="1"/>
  <c r="Z25" i="17"/>
  <c r="Z26" i="17" s="1"/>
  <c r="Z378" i="17" s="1"/>
  <c r="AA17" i="1"/>
  <c r="AA15" i="17" s="1"/>
  <c r="AA16" i="17" s="1"/>
  <c r="AA377" i="17" s="1"/>
  <c r="AA18" i="1"/>
  <c r="AA19" i="1"/>
  <c r="AA20" i="1"/>
  <c r="AB16" i="1"/>
  <c r="AB692" i="17"/>
  <c r="Z295" i="1"/>
  <c r="Z101" i="17" s="1"/>
  <c r="Z103" i="17" s="1"/>
  <c r="Z487" i="17" s="1"/>
  <c r="Z504" i="17" s="1"/>
  <c r="AB12" i="26"/>
  <c r="AB53" i="26"/>
  <c r="AB91" i="26"/>
  <c r="AB2" i="26"/>
  <c r="AB137" i="26"/>
  <c r="AA295" i="1"/>
  <c r="AA101" i="17" s="1"/>
  <c r="AA103" i="17" s="1"/>
  <c r="AA487" i="17" s="1"/>
  <c r="AA504" i="17" s="1"/>
  <c r="AB285" i="1"/>
  <c r="AB279" i="1"/>
  <c r="Z40" i="17"/>
  <c r="Z42" i="17" s="1"/>
  <c r="AA231" i="1"/>
  <c r="AA486" i="17" s="1"/>
  <c r="AA503" i="17" s="1"/>
  <c r="AB215" i="1"/>
  <c r="AB221" i="1"/>
  <c r="AA938" i="17"/>
  <c r="AA943" i="17" s="1"/>
  <c r="AA937" i="17"/>
  <c r="AA942" i="17" s="1"/>
  <c r="AA263" i="17" s="1"/>
  <c r="AD567" i="17"/>
  <c r="AD4" i="17"/>
  <c r="AA232" i="17"/>
  <c r="AA231" i="17"/>
  <c r="AA233" i="17"/>
  <c r="AB2" i="17"/>
  <c r="AB310" i="17" s="1"/>
  <c r="AB327" i="17" s="1"/>
  <c r="AB329" i="17" s="1"/>
  <c r="AB894" i="17" s="1"/>
  <c r="AB230" i="17"/>
  <c r="AB936" i="17"/>
  <c r="AB939" i="17" s="1"/>
  <c r="AB944" i="17" s="1"/>
  <c r="U100" i="12"/>
  <c r="U121" i="12"/>
  <c r="U123" i="12" s="1"/>
  <c r="U125" i="12" s="1"/>
  <c r="U130" i="12" s="1"/>
  <c r="U132" i="12" s="1"/>
  <c r="V131" i="12" s="1"/>
  <c r="AA198" i="12"/>
  <c r="AA199" i="12" s="1"/>
  <c r="AA75" i="12" s="1"/>
  <c r="AA297" i="13"/>
  <c r="AA298" i="13" s="1"/>
  <c r="AA300" i="13"/>
  <c r="Z301" i="13"/>
  <c r="AA81" i="13"/>
  <c r="AA82" i="13"/>
  <c r="AA83" i="13"/>
  <c r="AA162" i="13"/>
  <c r="AD215" i="13"/>
  <c r="AD4" i="13"/>
  <c r="AB80" i="13"/>
  <c r="AB277" i="13"/>
  <c r="AB2" i="13"/>
  <c r="AB296" i="13"/>
  <c r="AB157" i="13"/>
  <c r="AB197" i="12"/>
  <c r="AB2" i="10"/>
  <c r="AB2" i="12"/>
  <c r="AB196" i="12" s="1"/>
  <c r="AB2" i="4"/>
  <c r="AB182" i="12"/>
  <c r="AD129" i="12"/>
  <c r="AD4" i="12"/>
  <c r="AD4" i="10"/>
  <c r="AD4" i="4"/>
  <c r="AB2" i="1"/>
  <c r="AE4" i="26"/>
  <c r="AD4" i="1"/>
  <c r="S185" i="12"/>
  <c r="S187" i="12" s="1"/>
  <c r="T183" i="12" s="1"/>
  <c r="T175" i="12"/>
  <c r="X107" i="12"/>
  <c r="X110" i="12" s="1"/>
  <c r="U97" i="12"/>
  <c r="V93" i="12" s="1"/>
  <c r="S701" i="17" l="1"/>
  <c r="S682" i="17"/>
  <c r="T678" i="17" s="1"/>
  <c r="T679" i="17" s="1"/>
  <c r="T701" i="17" s="1"/>
  <c r="AB688" i="17"/>
  <c r="AB695" i="17" s="1"/>
  <c r="AB717" i="17" s="1"/>
  <c r="AB745" i="17"/>
  <c r="AB748" i="17" s="1"/>
  <c r="AA836" i="17"/>
  <c r="AA64" i="37"/>
  <c r="AA364" i="17"/>
  <c r="AA379" i="17"/>
  <c r="AA349" i="17"/>
  <c r="AA608" i="17"/>
  <c r="AA597" i="17"/>
  <c r="AA620" i="17"/>
  <c r="AA411" i="17"/>
  <c r="AA416" i="17"/>
  <c r="AA451" i="17"/>
  <c r="AB401" i="17"/>
  <c r="AB410" i="17" s="1"/>
  <c r="AB673" i="17"/>
  <c r="AB680" i="17" s="1"/>
  <c r="AB716" i="17" s="1"/>
  <c r="AB406" i="17"/>
  <c r="AB359" i="17"/>
  <c r="AB354" i="17"/>
  <c r="Z14" i="26"/>
  <c r="Z350" i="17"/>
  <c r="Z352" i="17" s="1"/>
  <c r="Z355" i="17" s="1"/>
  <c r="Z373" i="17" s="1"/>
  <c r="AA117" i="17"/>
  <c r="AA112" i="17"/>
  <c r="AA114" i="17" s="1"/>
  <c r="AA130" i="17"/>
  <c r="AA132" i="17" s="1"/>
  <c r="AA138" i="17" s="1"/>
  <c r="AA145" i="17" s="1"/>
  <c r="AA124" i="17"/>
  <c r="AA125" i="17" s="1"/>
  <c r="AA147" i="17"/>
  <c r="Y126" i="17"/>
  <c r="Y153" i="17"/>
  <c r="Z117" i="17"/>
  <c r="Z112" i="17"/>
  <c r="Z114" i="17" s="1"/>
  <c r="Z124" i="17"/>
  <c r="Z125" i="17" s="1"/>
  <c r="Z130" i="17"/>
  <c r="Z132" i="17" s="1"/>
  <c r="Z138" i="17" s="1"/>
  <c r="Z145" i="17" s="1"/>
  <c r="Z147" i="17"/>
  <c r="X14" i="38"/>
  <c r="X509" i="17"/>
  <c r="X517" i="17" s="1"/>
  <c r="X522" i="17" s="1"/>
  <c r="X529" i="17" s="1"/>
  <c r="X55" i="26"/>
  <c r="X182" i="17"/>
  <c r="X184" i="17" s="1"/>
  <c r="Y154" i="17"/>
  <c r="Y159" i="17" s="1"/>
  <c r="Y148" i="17"/>
  <c r="Z179" i="17"/>
  <c r="Z820" i="17"/>
  <c r="Z10" i="38" s="1"/>
  <c r="X54" i="26"/>
  <c r="X13" i="38"/>
  <c r="X172" i="17"/>
  <c r="X174" i="17" s="1"/>
  <c r="X508" i="17"/>
  <c r="X516" i="17" s="1"/>
  <c r="X521" i="17" s="1"/>
  <c r="Z56" i="17"/>
  <c r="Z57" i="17" s="1"/>
  <c r="Z72" i="17"/>
  <c r="Z79" i="17" s="1"/>
  <c r="Z63" i="17"/>
  <c r="Z64" i="17" s="1"/>
  <c r="W138" i="26"/>
  <c r="W822" i="17"/>
  <c r="W17" i="38" s="1"/>
  <c r="W187" i="17"/>
  <c r="W92" i="26"/>
  <c r="Y80" i="17"/>
  <c r="Y86" i="17"/>
  <c r="Y91" i="17" s="1"/>
  <c r="Y65" i="17"/>
  <c r="Y85" i="17"/>
  <c r="Y84" i="17"/>
  <c r="Y207" i="17"/>
  <c r="Y209" i="17" s="1"/>
  <c r="AA25" i="17"/>
  <c r="AA26" i="17" s="1"/>
  <c r="AA378" i="17" s="1"/>
  <c r="AB18" i="1"/>
  <c r="AB19" i="1"/>
  <c r="AB17" i="1"/>
  <c r="AB15" i="17" s="1"/>
  <c r="AB16" i="17" s="1"/>
  <c r="AB377" i="17" s="1"/>
  <c r="AB20" i="1"/>
  <c r="AC16" i="1"/>
  <c r="AC692" i="17"/>
  <c r="AC91" i="26"/>
  <c r="AC137" i="26"/>
  <c r="AC53" i="26"/>
  <c r="AC12" i="26"/>
  <c r="AC2" i="26"/>
  <c r="AC285" i="1"/>
  <c r="AC279" i="1"/>
  <c r="AA40" i="17"/>
  <c r="AA42" i="17" s="1"/>
  <c r="AB231" i="1"/>
  <c r="AB486" i="17" s="1"/>
  <c r="AB503" i="17" s="1"/>
  <c r="AC215" i="1"/>
  <c r="AC221" i="1"/>
  <c r="AE4" i="17"/>
  <c r="AE567" i="17"/>
  <c r="AB232" i="17"/>
  <c r="AB233" i="17"/>
  <c r="AB231" i="17"/>
  <c r="AC2" i="17"/>
  <c r="AC310" i="17" s="1"/>
  <c r="AC327" i="17" s="1"/>
  <c r="AC329" i="17" s="1"/>
  <c r="AC894" i="17" s="1"/>
  <c r="AC230" i="17"/>
  <c r="AC936" i="17"/>
  <c r="AC939" i="17" s="1"/>
  <c r="AC944" i="17" s="1"/>
  <c r="AB938" i="17"/>
  <c r="AB943" i="17" s="1"/>
  <c r="AB937" i="17"/>
  <c r="AB942" i="17" s="1"/>
  <c r="AB263" i="17" s="1"/>
  <c r="AB198" i="12"/>
  <c r="AB199" i="12" s="1"/>
  <c r="AB75" i="12" s="1"/>
  <c r="AB297" i="13"/>
  <c r="AB298" i="13" s="1"/>
  <c r="AB300" i="13"/>
  <c r="AA301" i="13"/>
  <c r="AB83" i="13"/>
  <c r="AB82" i="13"/>
  <c r="AB81" i="13"/>
  <c r="AC80" i="13"/>
  <c r="AC157" i="13"/>
  <c r="AC296" i="13"/>
  <c r="AC277" i="13"/>
  <c r="AC2" i="13"/>
  <c r="AB162" i="13"/>
  <c r="AE215" i="13"/>
  <c r="AE4" i="13"/>
  <c r="AE4" i="12"/>
  <c r="AE4" i="10"/>
  <c r="AE129" i="12"/>
  <c r="AE4" i="4"/>
  <c r="AC197" i="12"/>
  <c r="AC2" i="10"/>
  <c r="AC2" i="4"/>
  <c r="AC2" i="12"/>
  <c r="AC196" i="12" s="1"/>
  <c r="AC182" i="12"/>
  <c r="AC2" i="1"/>
  <c r="AF4" i="26"/>
  <c r="AE4" i="1"/>
  <c r="X108" i="12"/>
  <c r="Y104" i="12" s="1"/>
  <c r="Y107" i="12" s="1"/>
  <c r="Y110" i="12" s="1"/>
  <c r="U135" i="12"/>
  <c r="V96" i="12"/>
  <c r="V99" i="12" s="1"/>
  <c r="U173" i="12"/>
  <c r="U174" i="12" s="1"/>
  <c r="U164" i="12"/>
  <c r="U165" i="12" s="1"/>
  <c r="U157" i="12"/>
  <c r="U158" i="12" s="1"/>
  <c r="U170" i="12"/>
  <c r="T681" i="17" l="1"/>
  <c r="T718" i="17" s="1"/>
  <c r="AC688" i="17"/>
  <c r="AC695" i="17" s="1"/>
  <c r="AC717" i="17" s="1"/>
  <c r="AC745" i="17"/>
  <c r="AC748" i="17" s="1"/>
  <c r="AB836" i="17"/>
  <c r="AB64" i="37"/>
  <c r="AB364" i="17"/>
  <c r="AB379" i="17"/>
  <c r="AB349" i="17"/>
  <c r="AB451" i="17"/>
  <c r="AB608" i="17"/>
  <c r="AB620" i="17"/>
  <c r="AB597" i="17"/>
  <c r="AB411" i="17"/>
  <c r="AB416" i="17"/>
  <c r="AC401" i="17"/>
  <c r="AC410" i="17" s="1"/>
  <c r="AC673" i="17"/>
  <c r="AC680" i="17" s="1"/>
  <c r="AC716" i="17" s="1"/>
  <c r="AC406" i="17"/>
  <c r="AC359" i="17"/>
  <c r="AC354" i="17"/>
  <c r="AA14" i="26"/>
  <c r="AA350" i="17"/>
  <c r="AA352" i="17" s="1"/>
  <c r="AA355" i="17" s="1"/>
  <c r="AA373" i="17" s="1"/>
  <c r="AA126" i="17"/>
  <c r="AA153" i="17"/>
  <c r="Z148" i="17"/>
  <c r="Z154" i="17"/>
  <c r="Z159" i="17" s="1"/>
  <c r="AA154" i="17"/>
  <c r="AA159" i="17" s="1"/>
  <c r="AA148" i="17"/>
  <c r="X139" i="26"/>
  <c r="X823" i="17"/>
  <c r="X18" i="38" s="1"/>
  <c r="X188" i="17"/>
  <c r="X93" i="26"/>
  <c r="Y55" i="26"/>
  <c r="Y182" i="17"/>
  <c r="Y184" i="17" s="1"/>
  <c r="Y823" i="17" s="1"/>
  <c r="Y18" i="38" s="1"/>
  <c r="Y14" i="38"/>
  <c r="Y509" i="17"/>
  <c r="Y517" i="17" s="1"/>
  <c r="Y522" i="17" s="1"/>
  <c r="Y529" i="17" s="1"/>
  <c r="Z126" i="17"/>
  <c r="Z153" i="17"/>
  <c r="AA820" i="17"/>
  <c r="AA10" i="38" s="1"/>
  <c r="Z207" i="17"/>
  <c r="Z209" i="17" s="1"/>
  <c r="AA179" i="17"/>
  <c r="AA207" i="17" s="1"/>
  <c r="AA209" i="17" s="1"/>
  <c r="AA56" i="17"/>
  <c r="AA57" i="17" s="1"/>
  <c r="AA72" i="17"/>
  <c r="AA79" i="17" s="1"/>
  <c r="AA63" i="17"/>
  <c r="AA64" i="17" s="1"/>
  <c r="Y54" i="26"/>
  <c r="Y13" i="38"/>
  <c r="Y508" i="17"/>
  <c r="Y172" i="17"/>
  <c r="Z84" i="17"/>
  <c r="Z86" i="17"/>
  <c r="Z91" i="17" s="1"/>
  <c r="Z80" i="17"/>
  <c r="X528" i="17"/>
  <c r="X530" i="17" s="1"/>
  <c r="X523" i="17"/>
  <c r="X560" i="17" s="1"/>
  <c r="Z85" i="17"/>
  <c r="Z65" i="17"/>
  <c r="X187" i="17"/>
  <c r="X822" i="17"/>
  <c r="X17" i="38" s="1"/>
  <c r="X92" i="26"/>
  <c r="X138" i="26"/>
  <c r="W442" i="17"/>
  <c r="AB25" i="17"/>
  <c r="AB26" i="17" s="1"/>
  <c r="AB378" i="17" s="1"/>
  <c r="AC19" i="1"/>
  <c r="AC17" i="1"/>
  <c r="AC15" i="17" s="1"/>
  <c r="AC16" i="17" s="1"/>
  <c r="AC377" i="17" s="1"/>
  <c r="AC20" i="1"/>
  <c r="AC18" i="1"/>
  <c r="AD16" i="1"/>
  <c r="AD692" i="17"/>
  <c r="AB295" i="1"/>
  <c r="AB101" i="17" s="1"/>
  <c r="AB103" i="17" s="1"/>
  <c r="AB487" i="17" s="1"/>
  <c r="AB504" i="17" s="1"/>
  <c r="AD53" i="26"/>
  <c r="AD137" i="26"/>
  <c r="AD12" i="26"/>
  <c r="AD2" i="26"/>
  <c r="AD91" i="26"/>
  <c r="AD285" i="1"/>
  <c r="AD279" i="1"/>
  <c r="AB40" i="17"/>
  <c r="AB42" i="17" s="1"/>
  <c r="AC231" i="1"/>
  <c r="AC486" i="17" s="1"/>
  <c r="AC503" i="17" s="1"/>
  <c r="AD215" i="1"/>
  <c r="AD221" i="1"/>
  <c r="AC198" i="12"/>
  <c r="AC199" i="12" s="1"/>
  <c r="AC75" i="12" s="1"/>
  <c r="AF4" i="17"/>
  <c r="AF567" i="17"/>
  <c r="AC938" i="17"/>
  <c r="AC943" i="17" s="1"/>
  <c r="AC937" i="17"/>
  <c r="AC942" i="17" s="1"/>
  <c r="AC263" i="17" s="1"/>
  <c r="AC233" i="17"/>
  <c r="AC232" i="17"/>
  <c r="AC231" i="17"/>
  <c r="AD230" i="17"/>
  <c r="AD936" i="17"/>
  <c r="AD939" i="17" s="1"/>
  <c r="AD2" i="17"/>
  <c r="AD310" i="17" s="1"/>
  <c r="AD327" i="17" s="1"/>
  <c r="AD329" i="17" s="1"/>
  <c r="AD894" i="17" s="1"/>
  <c r="V100" i="12"/>
  <c r="V121" i="12"/>
  <c r="V123" i="12" s="1"/>
  <c r="V125" i="12" s="1"/>
  <c r="V130" i="12" s="1"/>
  <c r="V132" i="12" s="1"/>
  <c r="W131" i="12" s="1"/>
  <c r="AC297" i="13"/>
  <c r="AC298" i="13" s="1"/>
  <c r="AC300" i="13"/>
  <c r="AB301" i="13"/>
  <c r="AC162" i="13"/>
  <c r="AC81" i="13"/>
  <c r="AC83" i="13"/>
  <c r="AC82" i="13"/>
  <c r="AF215" i="13"/>
  <c r="AF4" i="13"/>
  <c r="AD80" i="13"/>
  <c r="AD157" i="13"/>
  <c r="AD277" i="13"/>
  <c r="AD296" i="13"/>
  <c r="AD2" i="13"/>
  <c r="AF4" i="10"/>
  <c r="AF4" i="12"/>
  <c r="AF4" i="4"/>
  <c r="AF129" i="12"/>
  <c r="AD197" i="12"/>
  <c r="AD2" i="10"/>
  <c r="AD2" i="4"/>
  <c r="AD182" i="12"/>
  <c r="AD2" i="12"/>
  <c r="AD196" i="12" s="1"/>
  <c r="AD2" i="1"/>
  <c r="AG4" i="26"/>
  <c r="AF4" i="1"/>
  <c r="T185" i="12"/>
  <c r="T187" i="12" s="1"/>
  <c r="U183" i="12" s="1"/>
  <c r="Y108" i="12"/>
  <c r="Z104" i="12" s="1"/>
  <c r="Z107" i="12" s="1"/>
  <c r="Z110" i="12" s="1"/>
  <c r="F110" i="12" s="1"/>
  <c r="V97" i="12"/>
  <c r="W93" i="12" s="1"/>
  <c r="W96" i="12" s="1"/>
  <c r="W99" i="12" s="1"/>
  <c r="U186" i="12"/>
  <c r="U175" i="12"/>
  <c r="T682" i="17" l="1"/>
  <c r="U678" i="17" s="1"/>
  <c r="U679" i="17" s="1"/>
  <c r="U701" i="17" s="1"/>
  <c r="AD688" i="17"/>
  <c r="AD695" i="17" s="1"/>
  <c r="AD717" i="17" s="1"/>
  <c r="AD745" i="17"/>
  <c r="AD748" i="17" s="1"/>
  <c r="AC836" i="17"/>
  <c r="AC64" i="37"/>
  <c r="AC364" i="17"/>
  <c r="AC379" i="17"/>
  <c r="AC349" i="17"/>
  <c r="U681" i="17"/>
  <c r="AC451" i="17"/>
  <c r="AC597" i="17"/>
  <c r="AC620" i="17"/>
  <c r="AC608" i="17"/>
  <c r="AC416" i="17"/>
  <c r="AC411" i="17"/>
  <c r="AD401" i="17"/>
  <c r="AD410" i="17" s="1"/>
  <c r="AD673" i="17"/>
  <c r="AD680" i="17" s="1"/>
  <c r="AD716" i="17" s="1"/>
  <c r="AD406" i="17"/>
  <c r="AD359" i="17"/>
  <c r="AD354" i="17"/>
  <c r="AB14" i="26"/>
  <c r="AB350" i="17"/>
  <c r="AB352" i="17" s="1"/>
  <c r="AB355" i="17" s="1"/>
  <c r="AB373" i="17" s="1"/>
  <c r="Y93" i="26"/>
  <c r="AA55" i="26"/>
  <c r="AA14" i="38"/>
  <c r="AA509" i="17"/>
  <c r="AA182" i="17"/>
  <c r="AA184" i="17" s="1"/>
  <c r="AB130" i="17"/>
  <c r="AB132" i="17" s="1"/>
  <c r="AB138" i="17" s="1"/>
  <c r="AB145" i="17" s="1"/>
  <c r="AB112" i="17"/>
  <c r="AB114" i="17" s="1"/>
  <c r="AB124" i="17"/>
  <c r="AB125" i="17" s="1"/>
  <c r="AB147" i="17"/>
  <c r="AB117" i="17"/>
  <c r="Y188" i="17"/>
  <c r="Z509" i="17"/>
  <c r="Z517" i="17" s="1"/>
  <c r="Z522" i="17" s="1"/>
  <c r="Z529" i="17" s="1"/>
  <c r="Z182" i="17"/>
  <c r="Z184" i="17" s="1"/>
  <c r="Z93" i="26" s="1"/>
  <c r="Z55" i="26"/>
  <c r="Z14" i="38"/>
  <c r="Y139" i="26"/>
  <c r="X443" i="17"/>
  <c r="AB820" i="17"/>
  <c r="AB10" i="38" s="1"/>
  <c r="AB179" i="17"/>
  <c r="AB207" i="17" s="1"/>
  <c r="AB209" i="17" s="1"/>
  <c r="AB63" i="17"/>
  <c r="AB64" i="17" s="1"/>
  <c r="AB56" i="17"/>
  <c r="AB57" i="17" s="1"/>
  <c r="AB72" i="17"/>
  <c r="AB79" i="17" s="1"/>
  <c r="X442" i="17"/>
  <c r="X189" i="17"/>
  <c r="AA84" i="17"/>
  <c r="X786" i="17"/>
  <c r="X145" i="26" s="1"/>
  <c r="X881" i="17"/>
  <c r="X44" i="38" s="1"/>
  <c r="X599" i="17"/>
  <c r="AA85" i="17"/>
  <c r="AA65" i="17"/>
  <c r="Z54" i="26"/>
  <c r="Z13" i="38"/>
  <c r="Z508" i="17"/>
  <c r="Z172" i="17"/>
  <c r="AA80" i="17"/>
  <c r="AA86" i="17"/>
  <c r="AA91" i="17" s="1"/>
  <c r="AC25" i="17"/>
  <c r="AC26" i="17" s="1"/>
  <c r="AC378" i="17" s="1"/>
  <c r="AD19" i="1"/>
  <c r="AD20" i="1"/>
  <c r="AD18" i="1"/>
  <c r="AD17" i="1"/>
  <c r="AD15" i="17" s="1"/>
  <c r="AD16" i="17" s="1"/>
  <c r="AD377" i="17" s="1"/>
  <c r="AD944" i="17"/>
  <c r="AE16" i="1"/>
  <c r="AE692" i="17"/>
  <c r="AC295" i="1"/>
  <c r="AC101" i="17" s="1"/>
  <c r="AC103" i="17" s="1"/>
  <c r="AC487" i="17" s="1"/>
  <c r="AC504" i="17" s="1"/>
  <c r="AE91" i="26"/>
  <c r="AE137" i="26"/>
  <c r="AE53" i="26"/>
  <c r="AE2" i="26"/>
  <c r="AE12" i="26"/>
  <c r="AD295" i="1"/>
  <c r="AD101" i="17" s="1"/>
  <c r="AD103" i="17" s="1"/>
  <c r="AD487" i="17" s="1"/>
  <c r="AD504" i="17" s="1"/>
  <c r="AE285" i="1"/>
  <c r="AE279" i="1"/>
  <c r="AC40" i="17"/>
  <c r="AC42" i="17" s="1"/>
  <c r="AD231" i="1"/>
  <c r="AD486" i="17" s="1"/>
  <c r="AD503" i="17" s="1"/>
  <c r="AE215" i="1"/>
  <c r="AE221" i="1"/>
  <c r="AD198" i="12"/>
  <c r="AD199" i="12" s="1"/>
  <c r="AD75" i="12" s="1"/>
  <c r="AG567" i="17"/>
  <c r="AG4" i="17"/>
  <c r="AE936" i="17"/>
  <c r="AE939" i="17" s="1"/>
  <c r="AE944" i="17" s="1"/>
  <c r="AE230" i="17"/>
  <c r="AE2" i="17"/>
  <c r="AE310" i="17" s="1"/>
  <c r="AE327" i="17" s="1"/>
  <c r="AE329" i="17" s="1"/>
  <c r="AE894" i="17" s="1"/>
  <c r="AD938" i="17"/>
  <c r="AD943" i="17" s="1"/>
  <c r="AD937" i="17"/>
  <c r="AD942" i="17" s="1"/>
  <c r="AD263" i="17" s="1"/>
  <c r="AD233" i="17"/>
  <c r="AD232" i="17"/>
  <c r="AD231" i="17"/>
  <c r="W100" i="12"/>
  <c r="W121" i="12"/>
  <c r="W123" i="12" s="1"/>
  <c r="W125" i="12" s="1"/>
  <c r="W130" i="12" s="1"/>
  <c r="W132" i="12" s="1"/>
  <c r="X131" i="12" s="1"/>
  <c r="AD297" i="13"/>
  <c r="AD298" i="13" s="1"/>
  <c r="AD300" i="13"/>
  <c r="AC301" i="13"/>
  <c r="AD162" i="13"/>
  <c r="AE80" i="13"/>
  <c r="AE296" i="13"/>
  <c r="AE277" i="13"/>
  <c r="AE2" i="13"/>
  <c r="AE157" i="13"/>
  <c r="AD83" i="13"/>
  <c r="AD82" i="13"/>
  <c r="AD81" i="13"/>
  <c r="AG215" i="13"/>
  <c r="AG4" i="13"/>
  <c r="AG4" i="10"/>
  <c r="AG4" i="4"/>
  <c r="AG4" i="12"/>
  <c r="AG129" i="12"/>
  <c r="AE197" i="12"/>
  <c r="AE2" i="10"/>
  <c r="AE2" i="4"/>
  <c r="AE182" i="12"/>
  <c r="AE2" i="12"/>
  <c r="AE196" i="12" s="1"/>
  <c r="AE2" i="1"/>
  <c r="AH4" i="26"/>
  <c r="AG4" i="1"/>
  <c r="Z108" i="12"/>
  <c r="AA104" i="12" s="1"/>
  <c r="AA107" i="12" s="1"/>
  <c r="AA110" i="12" s="1"/>
  <c r="V135" i="12"/>
  <c r="W97" i="12"/>
  <c r="X93" i="12" s="1"/>
  <c r="V170" i="12"/>
  <c r="V164" i="12"/>
  <c r="V165" i="12" s="1"/>
  <c r="V157" i="12"/>
  <c r="V158" i="12" s="1"/>
  <c r="V173" i="12"/>
  <c r="V174" i="12" s="1"/>
  <c r="V186" i="12" s="1"/>
  <c r="J186" i="12" s="1"/>
  <c r="AE688" i="17" l="1"/>
  <c r="AE695" i="17" s="1"/>
  <c r="AE717" i="17" s="1"/>
  <c r="AE745" i="17"/>
  <c r="AE748" i="17" s="1"/>
  <c r="AD836" i="17"/>
  <c r="AD64" i="37"/>
  <c r="AD364" i="17"/>
  <c r="AD379" i="17"/>
  <c r="AD349" i="17"/>
  <c r="U682" i="17"/>
  <c r="V678" i="17" s="1"/>
  <c r="V679" i="17" s="1"/>
  <c r="U718" i="17"/>
  <c r="AD411" i="17"/>
  <c r="AD608" i="17"/>
  <c r="AD597" i="17"/>
  <c r="AD620" i="17"/>
  <c r="AD451" i="17"/>
  <c r="AD416" i="17"/>
  <c r="AE401" i="17"/>
  <c r="AE410" i="17" s="1"/>
  <c r="AE673" i="17"/>
  <c r="AE680" i="17" s="1"/>
  <c r="AE716" i="17" s="1"/>
  <c r="AE406" i="17"/>
  <c r="AE359" i="17"/>
  <c r="AE354" i="17"/>
  <c r="AC179" i="17"/>
  <c r="AC207" i="17" s="1"/>
  <c r="AC209" i="17" s="1"/>
  <c r="AC350" i="17"/>
  <c r="AC352" i="17" s="1"/>
  <c r="AC355" i="17" s="1"/>
  <c r="AC373" i="17" s="1"/>
  <c r="Z139" i="26"/>
  <c r="Z188" i="17"/>
  <c r="Z823" i="17"/>
  <c r="Z18" i="38" s="1"/>
  <c r="AA139" i="26"/>
  <c r="AA93" i="26"/>
  <c r="AA823" i="17"/>
  <c r="AA18" i="38" s="1"/>
  <c r="AA188" i="17"/>
  <c r="AA237" i="17" s="1"/>
  <c r="AA240" i="17" s="1"/>
  <c r="AB126" i="17"/>
  <c r="AB153" i="17"/>
  <c r="AC117" i="17"/>
  <c r="AC147" i="17"/>
  <c r="AC112" i="17"/>
  <c r="AC114" i="17" s="1"/>
  <c r="AC130" i="17"/>
  <c r="AC132" i="17" s="1"/>
  <c r="AC138" i="17" s="1"/>
  <c r="AC145" i="17" s="1"/>
  <c r="AC124" i="17"/>
  <c r="AC125" i="17" s="1"/>
  <c r="AB154" i="17"/>
  <c r="AB148" i="17"/>
  <c r="AD130" i="17"/>
  <c r="AD132" i="17" s="1"/>
  <c r="AD138" i="17" s="1"/>
  <c r="AD145" i="17" s="1"/>
  <c r="AD147" i="17"/>
  <c r="AD112" i="17"/>
  <c r="AD114" i="17" s="1"/>
  <c r="AD124" i="17"/>
  <c r="AD125" i="17" s="1"/>
  <c r="AD117" i="17"/>
  <c r="Y237" i="17"/>
  <c r="Y240" i="17" s="1"/>
  <c r="Y443" i="17"/>
  <c r="AB65" i="17"/>
  <c r="AB85" i="17"/>
  <c r="X588" i="17"/>
  <c r="X547" i="17"/>
  <c r="X444" i="17"/>
  <c r="X824" i="17"/>
  <c r="X19" i="38" s="1"/>
  <c r="AA54" i="26"/>
  <c r="AA172" i="17"/>
  <c r="AA13" i="38"/>
  <c r="AA508" i="17"/>
  <c r="AB86" i="17"/>
  <c r="AB80" i="17"/>
  <c r="AC56" i="17"/>
  <c r="AC57" i="17" s="1"/>
  <c r="AC63" i="17"/>
  <c r="AC64" i="17" s="1"/>
  <c r="AC72" i="17"/>
  <c r="AC79" i="17" s="1"/>
  <c r="AB84" i="17"/>
  <c r="AC820" i="17"/>
  <c r="AC10" i="38" s="1"/>
  <c r="AC14" i="26"/>
  <c r="AD25" i="17"/>
  <c r="AD26" i="17" s="1"/>
  <c r="AD378" i="17" s="1"/>
  <c r="AD13" i="26"/>
  <c r="AD29" i="17"/>
  <c r="AD819" i="17"/>
  <c r="AD9" i="38" s="1"/>
  <c r="AD165" i="17"/>
  <c r="AE19" i="1"/>
  <c r="AE18" i="1"/>
  <c r="AE20" i="1"/>
  <c r="AE17" i="1"/>
  <c r="AE15" i="17" s="1"/>
  <c r="AE16" i="17" s="1"/>
  <c r="AE377" i="17" s="1"/>
  <c r="AF16" i="1"/>
  <c r="AF692" i="17"/>
  <c r="AF53" i="26"/>
  <c r="AF137" i="26"/>
  <c r="AF12" i="26"/>
  <c r="AF2" i="26"/>
  <c r="AF91" i="26"/>
  <c r="AF285" i="1"/>
  <c r="AF279" i="1"/>
  <c r="AD40" i="17"/>
  <c r="AD42" i="17" s="1"/>
  <c r="AF215" i="1"/>
  <c r="AF221" i="1"/>
  <c r="AE198" i="12"/>
  <c r="AE199" i="12" s="1"/>
  <c r="AE75" i="12" s="1"/>
  <c r="AE938" i="17"/>
  <c r="AE943" i="17" s="1"/>
  <c r="AE937" i="17"/>
  <c r="AE942" i="17" s="1"/>
  <c r="AE263" i="17" s="1"/>
  <c r="AH567" i="17"/>
  <c r="AH4" i="17"/>
  <c r="AF936" i="17"/>
  <c r="AF939" i="17" s="1"/>
  <c r="AF944" i="17" s="1"/>
  <c r="AF2" i="17"/>
  <c r="AF310" i="17" s="1"/>
  <c r="AF327" i="17" s="1"/>
  <c r="AF329" i="17" s="1"/>
  <c r="AF894" i="17" s="1"/>
  <c r="AF230" i="17"/>
  <c r="AE233" i="17"/>
  <c r="AE232" i="17"/>
  <c r="AE231" i="17"/>
  <c r="AE297" i="13"/>
  <c r="AE298" i="13" s="1"/>
  <c r="AE300" i="13"/>
  <c r="AD301" i="13"/>
  <c r="AF157" i="13"/>
  <c r="AF296" i="13"/>
  <c r="AF80" i="13"/>
  <c r="AF277" i="13"/>
  <c r="AF2" i="13"/>
  <c r="AE162" i="13"/>
  <c r="AE81" i="13"/>
  <c r="AE83" i="13"/>
  <c r="AE82" i="13"/>
  <c r="AH215" i="13"/>
  <c r="AH4" i="13"/>
  <c r="AH4" i="10"/>
  <c r="AH4" i="4"/>
  <c r="AH129" i="12"/>
  <c r="AH4" i="12"/>
  <c r="AF2" i="4"/>
  <c r="AF182" i="12"/>
  <c r="AF2" i="10"/>
  <c r="AF2" i="12"/>
  <c r="AF196" i="12" s="1"/>
  <c r="AF197" i="12"/>
  <c r="AF2" i="1"/>
  <c r="AI4" i="26"/>
  <c r="AH4" i="1"/>
  <c r="U185" i="12"/>
  <c r="U187" i="12" s="1"/>
  <c r="V183" i="12" s="1"/>
  <c r="V175" i="12"/>
  <c r="W135" i="12"/>
  <c r="W157" i="12"/>
  <c r="W158" i="12" s="1"/>
  <c r="W164" i="12"/>
  <c r="W165" i="12" s="1"/>
  <c r="W173" i="12"/>
  <c r="W174" i="12" s="1"/>
  <c r="W170" i="12"/>
  <c r="AA108" i="12"/>
  <c r="AB104" i="12" s="1"/>
  <c r="X96" i="12"/>
  <c r="X99" i="12" s="1"/>
  <c r="AF688" i="17" l="1"/>
  <c r="AF695" i="17" s="1"/>
  <c r="AF717" i="17" s="1"/>
  <c r="AF745" i="17"/>
  <c r="AF748" i="17" s="1"/>
  <c r="AE836" i="17"/>
  <c r="AE64" i="37"/>
  <c r="AE364" i="17"/>
  <c r="AE379" i="17"/>
  <c r="AE349" i="17"/>
  <c r="V701" i="17"/>
  <c r="AE416" i="17"/>
  <c r="AE620" i="17"/>
  <c r="AE597" i="17"/>
  <c r="AE608" i="17"/>
  <c r="AE411" i="17"/>
  <c r="AE451" i="17"/>
  <c r="AF401" i="17"/>
  <c r="AF410" i="17" s="1"/>
  <c r="AF673" i="17"/>
  <c r="AF680" i="17" s="1"/>
  <c r="AF716" i="17" s="1"/>
  <c r="AF406" i="17"/>
  <c r="AF359" i="17"/>
  <c r="AF354" i="17"/>
  <c r="AD179" i="17"/>
  <c r="AD350" i="17"/>
  <c r="AD352" i="17" s="1"/>
  <c r="AD355" i="17" s="1"/>
  <c r="AD373" i="17" s="1"/>
  <c r="AA443" i="17"/>
  <c r="Z443" i="17"/>
  <c r="Z237" i="17"/>
  <c r="Z240" i="17" s="1"/>
  <c r="AC154" i="17"/>
  <c r="AC148" i="17"/>
  <c r="AD126" i="17"/>
  <c r="AD153" i="17"/>
  <c r="AD154" i="17"/>
  <c r="AD148" i="17"/>
  <c r="AC153" i="17"/>
  <c r="AC126" i="17"/>
  <c r="AB91" i="17"/>
  <c r="AB13" i="38" s="1"/>
  <c r="AD63" i="17"/>
  <c r="AD64" i="17" s="1"/>
  <c r="AD72" i="17"/>
  <c r="AD79" i="17" s="1"/>
  <c r="AD56" i="17"/>
  <c r="AD57" i="17" s="1"/>
  <c r="AC84" i="17"/>
  <c r="AC65" i="17"/>
  <c r="AC85" i="17"/>
  <c r="AC80" i="17"/>
  <c r="AC86" i="17"/>
  <c r="AD30" i="17"/>
  <c r="AD820" i="17"/>
  <c r="AD10" i="38" s="1"/>
  <c r="AD14" i="26"/>
  <c r="AE25" i="17"/>
  <c r="AE26" i="17" s="1"/>
  <c r="AE378" i="17" s="1"/>
  <c r="AD204" i="17"/>
  <c r="AD167" i="17"/>
  <c r="AE819" i="17"/>
  <c r="AE9" i="38" s="1"/>
  <c r="AF18" i="1"/>
  <c r="AF20" i="1"/>
  <c r="AF17" i="1"/>
  <c r="AF15" i="17" s="1"/>
  <c r="AF16" i="17" s="1"/>
  <c r="AF377" i="17" s="1"/>
  <c r="AF19" i="1"/>
  <c r="AE165" i="17"/>
  <c r="AE204" i="17" s="1"/>
  <c r="AG16" i="1"/>
  <c r="AG692" i="17"/>
  <c r="AE13" i="26"/>
  <c r="AE29" i="17"/>
  <c r="AG91" i="26"/>
  <c r="AG137" i="26"/>
  <c r="AG53" i="26"/>
  <c r="AG12" i="26"/>
  <c r="AG2" i="26"/>
  <c r="AG285" i="1"/>
  <c r="AG279" i="1"/>
  <c r="AG215" i="1"/>
  <c r="AG221" i="1"/>
  <c r="AF198" i="12"/>
  <c r="AF199" i="12" s="1"/>
  <c r="AF75" i="12" s="1"/>
  <c r="AF938" i="17"/>
  <c r="AF943" i="17" s="1"/>
  <c r="AF937" i="17"/>
  <c r="AF942" i="17" s="1"/>
  <c r="AF263" i="17" s="1"/>
  <c r="AI567" i="17"/>
  <c r="AI4" i="17"/>
  <c r="AF233" i="17"/>
  <c r="AF232" i="17"/>
  <c r="AF231" i="17"/>
  <c r="AG2" i="17"/>
  <c r="AG310" i="17" s="1"/>
  <c r="AG327" i="17" s="1"/>
  <c r="AG329" i="17" s="1"/>
  <c r="AG894" i="17" s="1"/>
  <c r="AG230" i="17"/>
  <c r="AG936" i="17"/>
  <c r="AG939" i="17" s="1"/>
  <c r="AG944" i="17" s="1"/>
  <c r="X100" i="12"/>
  <c r="X121" i="12"/>
  <c r="X123" i="12" s="1"/>
  <c r="X125" i="12" s="1"/>
  <c r="X130" i="12" s="1"/>
  <c r="X132" i="12" s="1"/>
  <c r="Y131" i="12" s="1"/>
  <c r="AF297" i="13"/>
  <c r="AF298" i="13" s="1"/>
  <c r="AF300" i="13"/>
  <c r="AE301" i="13"/>
  <c r="AG157" i="13"/>
  <c r="AG296" i="13"/>
  <c r="AG277" i="13"/>
  <c r="AG2" i="13"/>
  <c r="AG80" i="13"/>
  <c r="AF83" i="13"/>
  <c r="AF81" i="13"/>
  <c r="AF82" i="13"/>
  <c r="AI215" i="13"/>
  <c r="AI4" i="13"/>
  <c r="AF162" i="13"/>
  <c r="AI4" i="4"/>
  <c r="AI4" i="10"/>
  <c r="AI129" i="12"/>
  <c r="AI4" i="12"/>
  <c r="AG2" i="4"/>
  <c r="AG2" i="12"/>
  <c r="AG196" i="12" s="1"/>
  <c r="AG182" i="12"/>
  <c r="AG197" i="12"/>
  <c r="AG2" i="10"/>
  <c r="AG2" i="1"/>
  <c r="AJ4" i="26"/>
  <c r="AI4" i="1"/>
  <c r="W175" i="12"/>
  <c r="X97" i="12"/>
  <c r="Y93" i="12" s="1"/>
  <c r="Y96" i="12" s="1"/>
  <c r="Y99" i="12" s="1"/>
  <c r="AB107" i="12"/>
  <c r="AB110" i="12" s="1"/>
  <c r="AG688" i="17" l="1"/>
  <c r="AG695" i="17" s="1"/>
  <c r="AG717" i="17" s="1"/>
  <c r="AG745" i="17"/>
  <c r="AG748" i="17" s="1"/>
  <c r="AF836" i="17"/>
  <c r="AF64" i="37"/>
  <c r="AF364" i="17"/>
  <c r="AF379" i="17"/>
  <c r="AF349" i="17"/>
  <c r="V681" i="17"/>
  <c r="AF620" i="17"/>
  <c r="AF597" i="17"/>
  <c r="AF608" i="17"/>
  <c r="AF411" i="17"/>
  <c r="AF451" i="17"/>
  <c r="AF416" i="17"/>
  <c r="AG401" i="17"/>
  <c r="AG410" i="17" s="1"/>
  <c r="AG673" i="17"/>
  <c r="AG680" i="17" s="1"/>
  <c r="AG716" i="17" s="1"/>
  <c r="AG406" i="17"/>
  <c r="AD207" i="17"/>
  <c r="AD209" i="17" s="1"/>
  <c r="AG359" i="17"/>
  <c r="AG354" i="17"/>
  <c r="AE820" i="17"/>
  <c r="AE10" i="38" s="1"/>
  <c r="AE350" i="17"/>
  <c r="AE352" i="17" s="1"/>
  <c r="AE355" i="17" s="1"/>
  <c r="AE373" i="17" s="1"/>
  <c r="AE179" i="17"/>
  <c r="AE207" i="17" s="1"/>
  <c r="AE209" i="17" s="1"/>
  <c r="AE14" i="26"/>
  <c r="AB54" i="26"/>
  <c r="AB508" i="17"/>
  <c r="AB172" i="17"/>
  <c r="AC91" i="17"/>
  <c r="AC54" i="26" s="1"/>
  <c r="AD84" i="17"/>
  <c r="AD80" i="17"/>
  <c r="AD86" i="17"/>
  <c r="AD65" i="17"/>
  <c r="AD85" i="17"/>
  <c r="AE30" i="17"/>
  <c r="AF25" i="17"/>
  <c r="AF26" i="17" s="1"/>
  <c r="AF378" i="17" s="1"/>
  <c r="AF819" i="17"/>
  <c r="AF9" i="38" s="1"/>
  <c r="AG18" i="1"/>
  <c r="AG17" i="1"/>
  <c r="AG15" i="17" s="1"/>
  <c r="AG16" i="17" s="1"/>
  <c r="AG377" i="17" s="1"/>
  <c r="AG19" i="1"/>
  <c r="AG20" i="1"/>
  <c r="AE167" i="17"/>
  <c r="AF29" i="17"/>
  <c r="AH16" i="1"/>
  <c r="AH692" i="17"/>
  <c r="AF165" i="17"/>
  <c r="AF167" i="17" s="1"/>
  <c r="AF13" i="26"/>
  <c r="AH137" i="26"/>
  <c r="AH53" i="26"/>
  <c r="AH12" i="26"/>
  <c r="AH2" i="26"/>
  <c r="AH91" i="26"/>
  <c r="AH285" i="1"/>
  <c r="AH279" i="1"/>
  <c r="AH215" i="1"/>
  <c r="AH221" i="1"/>
  <c r="AG198" i="12"/>
  <c r="AG199" i="12" s="1"/>
  <c r="AG75" i="12" s="1"/>
  <c r="AG231" i="17"/>
  <c r="AG232" i="17"/>
  <c r="AG233" i="17"/>
  <c r="AJ4" i="17"/>
  <c r="AJ567" i="17"/>
  <c r="AH2" i="17"/>
  <c r="AH310" i="17" s="1"/>
  <c r="AH327" i="17" s="1"/>
  <c r="AH329" i="17" s="1"/>
  <c r="AH894" i="17" s="1"/>
  <c r="AH230" i="17"/>
  <c r="AH936" i="17"/>
  <c r="AH939" i="17" s="1"/>
  <c r="AH944" i="17" s="1"/>
  <c r="AG938" i="17"/>
  <c r="AG943" i="17" s="1"/>
  <c r="AG937" i="17"/>
  <c r="AG942" i="17" s="1"/>
  <c r="AG263" i="17" s="1"/>
  <c r="Y100" i="12"/>
  <c r="Y121" i="12"/>
  <c r="Y123" i="12" s="1"/>
  <c r="Y125" i="12" s="1"/>
  <c r="Y130" i="12" s="1"/>
  <c r="Y132" i="12" s="1"/>
  <c r="Z131" i="12" s="1"/>
  <c r="AG297" i="13"/>
  <c r="AG298" i="13" s="1"/>
  <c r="AG300" i="13"/>
  <c r="AF301" i="13"/>
  <c r="AG162" i="13"/>
  <c r="AJ215" i="13"/>
  <c r="AJ4" i="13"/>
  <c r="AG81" i="13"/>
  <c r="AG82" i="13"/>
  <c r="AG83" i="13"/>
  <c r="AH296" i="13"/>
  <c r="AH157" i="13"/>
  <c r="AH277" i="13"/>
  <c r="AH2" i="13"/>
  <c r="AH80" i="13"/>
  <c r="AJ4" i="4"/>
  <c r="AJ4" i="12"/>
  <c r="AJ129" i="12"/>
  <c r="AJ4" i="10"/>
  <c r="AH182" i="12"/>
  <c r="AH2" i="4"/>
  <c r="AH2" i="12"/>
  <c r="AH196" i="12" s="1"/>
  <c r="AH197" i="12"/>
  <c r="AH2" i="10"/>
  <c r="AH2" i="1"/>
  <c r="AK4" i="26"/>
  <c r="AJ4" i="1"/>
  <c r="V185" i="12"/>
  <c r="V187" i="12" s="1"/>
  <c r="W183" i="12" s="1"/>
  <c r="X135" i="12"/>
  <c r="Y97" i="12"/>
  <c r="Z93" i="12" s="1"/>
  <c r="Z96" i="12" s="1"/>
  <c r="Z99" i="12" s="1"/>
  <c r="X170" i="12"/>
  <c r="X164" i="12"/>
  <c r="X165" i="12" s="1"/>
  <c r="X173" i="12"/>
  <c r="X174" i="12" s="1"/>
  <c r="X175" i="12" s="1"/>
  <c r="X157" i="12"/>
  <c r="X158" i="12" s="1"/>
  <c r="AB108" i="12"/>
  <c r="AC104" i="12" s="1"/>
  <c r="V718" i="17" l="1"/>
  <c r="AH688" i="17"/>
  <c r="AH695" i="17" s="1"/>
  <c r="AH717" i="17" s="1"/>
  <c r="AH745" i="17"/>
  <c r="AH748" i="17" s="1"/>
  <c r="AG836" i="17"/>
  <c r="AG64" i="37"/>
  <c r="AG364" i="17"/>
  <c r="AG379" i="17"/>
  <c r="AG349" i="17"/>
  <c r="V682" i="17"/>
  <c r="W678" i="17" s="1"/>
  <c r="W679" i="17" s="1"/>
  <c r="AG416" i="17"/>
  <c r="AG608" i="17"/>
  <c r="AG597" i="17"/>
  <c r="AG620" i="17"/>
  <c r="AG451" i="17"/>
  <c r="AG411" i="17"/>
  <c r="AH401" i="17"/>
  <c r="AH410" i="17" s="1"/>
  <c r="AH673" i="17"/>
  <c r="AH680" i="17" s="1"/>
  <c r="AH716" i="17" s="1"/>
  <c r="AH406" i="17"/>
  <c r="AH359" i="17"/>
  <c r="AH354" i="17"/>
  <c r="AF14" i="26"/>
  <c r="AF350" i="17"/>
  <c r="AF352" i="17" s="1"/>
  <c r="AF355" i="17" s="1"/>
  <c r="AF373" i="17" s="1"/>
  <c r="AD91" i="17"/>
  <c r="AD172" i="17" s="1"/>
  <c r="AD174" i="17" s="1"/>
  <c r="AC172" i="17"/>
  <c r="AC508" i="17"/>
  <c r="AC13" i="38"/>
  <c r="AF820" i="17"/>
  <c r="AF10" i="38" s="1"/>
  <c r="AF179" i="17"/>
  <c r="AF207" i="17" s="1"/>
  <c r="AF209" i="17" s="1"/>
  <c r="AF30" i="17"/>
  <c r="AG25" i="17"/>
  <c r="AG26" i="17" s="1"/>
  <c r="AG378" i="17" s="1"/>
  <c r="AG819" i="17"/>
  <c r="AH20" i="1"/>
  <c r="AH17" i="1"/>
  <c r="AH15" i="17" s="1"/>
  <c r="AH16" i="17" s="1"/>
  <c r="AH377" i="17" s="1"/>
  <c r="AH19" i="1"/>
  <c r="AH18" i="1"/>
  <c r="AG29" i="17"/>
  <c r="AI16" i="1"/>
  <c r="AI692" i="17"/>
  <c r="AF204" i="17"/>
  <c r="AG165" i="17"/>
  <c r="AG13" i="26"/>
  <c r="AI137" i="26"/>
  <c r="AI2" i="26"/>
  <c r="AI12" i="26"/>
  <c r="AI91" i="26"/>
  <c r="AI53" i="26"/>
  <c r="AI285" i="1"/>
  <c r="AI279" i="1"/>
  <c r="AI215" i="1"/>
  <c r="AI221" i="1"/>
  <c r="AH198" i="12"/>
  <c r="AH199" i="12" s="1"/>
  <c r="AH75" i="12" s="1"/>
  <c r="AI2" i="17"/>
  <c r="AI310" i="17" s="1"/>
  <c r="AI327" i="17" s="1"/>
  <c r="AI329" i="17" s="1"/>
  <c r="AI894" i="17" s="1"/>
  <c r="AI230" i="17"/>
  <c r="AI936" i="17"/>
  <c r="AI939" i="17" s="1"/>
  <c r="AI944" i="17" s="1"/>
  <c r="AH938" i="17"/>
  <c r="AH943" i="17" s="1"/>
  <c r="AH937" i="17"/>
  <c r="AH942" i="17" s="1"/>
  <c r="AH263" i="17" s="1"/>
  <c r="AH233" i="17"/>
  <c r="AH232" i="17"/>
  <c r="AH231" i="17"/>
  <c r="AK4" i="17"/>
  <c r="AK567" i="17"/>
  <c r="Z100" i="12"/>
  <c r="Z121" i="12"/>
  <c r="Z123" i="12" s="1"/>
  <c r="Z125" i="12" s="1"/>
  <c r="Z130" i="12" s="1"/>
  <c r="Z132" i="12" s="1"/>
  <c r="AA131" i="12" s="1"/>
  <c r="AH297" i="13"/>
  <c r="AH298" i="13" s="1"/>
  <c r="AH300" i="13"/>
  <c r="AG301" i="13"/>
  <c r="AH162" i="13"/>
  <c r="AK215" i="13"/>
  <c r="AK4" i="13"/>
  <c r="AI277" i="13"/>
  <c r="AI2" i="13"/>
  <c r="AI157" i="13"/>
  <c r="AI80" i="13"/>
  <c r="AI296" i="13"/>
  <c r="AH81" i="13"/>
  <c r="AH82" i="13"/>
  <c r="AH83" i="13"/>
  <c r="AK129" i="12"/>
  <c r="AK4" i="4"/>
  <c r="AK4" i="12"/>
  <c r="AK4" i="10"/>
  <c r="AI2" i="12"/>
  <c r="AI196" i="12" s="1"/>
  <c r="AI182" i="12"/>
  <c r="AI197" i="12"/>
  <c r="AI2" i="10"/>
  <c r="AI2" i="4"/>
  <c r="AI2" i="1"/>
  <c r="AL4" i="26"/>
  <c r="AK4" i="1"/>
  <c r="Y135" i="12"/>
  <c r="Z97" i="12"/>
  <c r="AA93" i="12" s="1"/>
  <c r="Y164" i="12"/>
  <c r="Y165" i="12" s="1"/>
  <c r="Y170" i="12"/>
  <c r="Y157" i="12"/>
  <c r="Y158" i="12" s="1"/>
  <c r="Y173" i="12"/>
  <c r="Y174" i="12" s="1"/>
  <c r="Y175" i="12" s="1"/>
  <c r="AC107" i="12"/>
  <c r="AC108" i="12" s="1"/>
  <c r="AD104" i="12" s="1"/>
  <c r="W701" i="17" l="1"/>
  <c r="AI688" i="17"/>
  <c r="AI695" i="17" s="1"/>
  <c r="AI717" i="17" s="1"/>
  <c r="AI745" i="17"/>
  <c r="AI748" i="17" s="1"/>
  <c r="AH836" i="17"/>
  <c r="AH64" i="37"/>
  <c r="AH364" i="17"/>
  <c r="AH379" i="17"/>
  <c r="AH349" i="17"/>
  <c r="W681" i="17"/>
  <c r="AH451" i="17"/>
  <c r="AH608" i="17"/>
  <c r="AH620" i="17"/>
  <c r="AH597" i="17"/>
  <c r="AH416" i="17"/>
  <c r="AH411" i="17"/>
  <c r="AI401" i="17"/>
  <c r="AI410" i="17" s="1"/>
  <c r="AI673" i="17"/>
  <c r="AI680" i="17" s="1"/>
  <c r="AI716" i="17" s="1"/>
  <c r="AI406" i="17"/>
  <c r="AI359" i="17"/>
  <c r="AI354" i="17"/>
  <c r="AG820" i="17"/>
  <c r="AG10" i="38" s="1"/>
  <c r="AG350" i="17"/>
  <c r="AG352" i="17" s="1"/>
  <c r="AG355" i="17" s="1"/>
  <c r="AG373" i="17" s="1"/>
  <c r="AD508" i="17"/>
  <c r="AD54" i="26"/>
  <c r="AD13" i="38"/>
  <c r="AG179" i="17"/>
  <c r="AD138" i="26"/>
  <c r="AD92" i="26"/>
  <c r="AD822" i="17"/>
  <c r="AD17" i="38" s="1"/>
  <c r="AD187" i="17"/>
  <c r="AG14" i="26"/>
  <c r="AG30" i="17"/>
  <c r="AH25" i="17"/>
  <c r="AH26" i="17" s="1"/>
  <c r="AH378" i="17" s="1"/>
  <c r="AG9" i="38"/>
  <c r="AH819" i="17"/>
  <c r="AH9" i="38" s="1"/>
  <c r="AI18" i="1"/>
  <c r="AI17" i="1"/>
  <c r="AI15" i="17" s="1"/>
  <c r="AI16" i="17" s="1"/>
  <c r="AI377" i="17" s="1"/>
  <c r="AI20" i="1"/>
  <c r="AI19" i="1"/>
  <c r="AH29" i="17"/>
  <c r="AJ16" i="1"/>
  <c r="AJ692" i="17"/>
  <c r="AG204" i="17"/>
  <c r="AG167" i="17"/>
  <c r="AH165" i="17"/>
  <c r="AH13" i="26"/>
  <c r="AJ53" i="26"/>
  <c r="AJ2" i="26"/>
  <c r="AJ137" i="26"/>
  <c r="AJ91" i="26"/>
  <c r="AJ12" i="26"/>
  <c r="AJ285" i="1"/>
  <c r="AJ279" i="1"/>
  <c r="AJ215" i="1"/>
  <c r="AJ221" i="1"/>
  <c r="AI198" i="12"/>
  <c r="AI199" i="12" s="1"/>
  <c r="AI75" i="12" s="1"/>
  <c r="AI938" i="17"/>
  <c r="AI943" i="17" s="1"/>
  <c r="AI937" i="17"/>
  <c r="AI942" i="17" s="1"/>
  <c r="AI263" i="17" s="1"/>
  <c r="AI297" i="13"/>
  <c r="AI298" i="13" s="1"/>
  <c r="AI232" i="17"/>
  <c r="AI233" i="17"/>
  <c r="AI231" i="17"/>
  <c r="AJ2" i="17"/>
  <c r="AJ310" i="17" s="1"/>
  <c r="AJ327" i="17" s="1"/>
  <c r="AJ329" i="17" s="1"/>
  <c r="AJ894" i="17" s="1"/>
  <c r="AJ230" i="17"/>
  <c r="AJ936" i="17"/>
  <c r="AJ939" i="17" s="1"/>
  <c r="AJ944" i="17" s="1"/>
  <c r="AL4" i="17"/>
  <c r="AL567" i="17"/>
  <c r="AI300" i="13"/>
  <c r="AH301" i="13"/>
  <c r="AL215" i="13"/>
  <c r="AL4" i="13"/>
  <c r="AJ80" i="13"/>
  <c r="AJ277" i="13"/>
  <c r="AJ2" i="13"/>
  <c r="AJ296" i="13"/>
  <c r="AJ157" i="13"/>
  <c r="AI81" i="13"/>
  <c r="AI82" i="13"/>
  <c r="AI83" i="13"/>
  <c r="AI162" i="13"/>
  <c r="AL129" i="12"/>
  <c r="AL4" i="12"/>
  <c r="AL4" i="4"/>
  <c r="AL4" i="10"/>
  <c r="AJ182" i="12"/>
  <c r="AJ197" i="12"/>
  <c r="AJ2" i="10"/>
  <c r="AJ2" i="12"/>
  <c r="AJ196" i="12" s="1"/>
  <c r="AJ2" i="4"/>
  <c r="AJ2" i="1"/>
  <c r="AM4" i="26"/>
  <c r="AL4" i="1"/>
  <c r="W185" i="12"/>
  <c r="W187" i="12" s="1"/>
  <c r="X183" i="12" s="1"/>
  <c r="Z135" i="12"/>
  <c r="AA96" i="12"/>
  <c r="AA99" i="12" s="1"/>
  <c r="AD107" i="12"/>
  <c r="AD108" i="12" s="1"/>
  <c r="AE104" i="12" s="1"/>
  <c r="Z157" i="12"/>
  <c r="Z158" i="12" s="1"/>
  <c r="Z170" i="12"/>
  <c r="Z173" i="12"/>
  <c r="Z174" i="12" s="1"/>
  <c r="Z175" i="12" s="1"/>
  <c r="Z164" i="12"/>
  <c r="Z165" i="12" s="1"/>
  <c r="W718" i="17" l="1"/>
  <c r="AJ688" i="17"/>
  <c r="AJ695" i="17" s="1"/>
  <c r="AJ717" i="17" s="1"/>
  <c r="AJ745" i="17"/>
  <c r="AJ748" i="17" s="1"/>
  <c r="AI836" i="17"/>
  <c r="AI64" i="37"/>
  <c r="AI364" i="17"/>
  <c r="AI379" i="17"/>
  <c r="AI349" i="17"/>
  <c r="W682" i="17"/>
  <c r="X678" i="17" s="1"/>
  <c r="X679" i="17" s="1"/>
  <c r="AI451" i="17"/>
  <c r="AI608" i="17"/>
  <c r="AI620" i="17"/>
  <c r="AI597" i="17"/>
  <c r="AI411" i="17"/>
  <c r="AI416" i="17"/>
  <c r="AJ401" i="17"/>
  <c r="AJ410" i="17" s="1"/>
  <c r="AJ673" i="17"/>
  <c r="AJ680" i="17" s="1"/>
  <c r="AJ716" i="17" s="1"/>
  <c r="AJ406" i="17"/>
  <c r="AJ359" i="17"/>
  <c r="AJ354" i="17"/>
  <c r="AH179" i="17"/>
  <c r="AH350" i="17"/>
  <c r="AH352" i="17" s="1"/>
  <c r="AH355" i="17" s="1"/>
  <c r="AH373" i="17" s="1"/>
  <c r="AG207" i="17"/>
  <c r="AG209" i="17" s="1"/>
  <c r="AH30" i="17"/>
  <c r="AD442" i="17"/>
  <c r="AD236" i="17"/>
  <c r="AD239" i="17" s="1"/>
  <c r="AH820" i="17"/>
  <c r="AH10" i="38" s="1"/>
  <c r="AH14" i="26"/>
  <c r="AI25" i="17"/>
  <c r="AI26" i="17" s="1"/>
  <c r="AI378" i="17" s="1"/>
  <c r="AI819" i="17"/>
  <c r="AJ19" i="1"/>
  <c r="AJ20" i="1"/>
  <c r="AJ18" i="1"/>
  <c r="AJ17" i="1"/>
  <c r="AJ15" i="17" s="1"/>
  <c r="AJ16" i="17" s="1"/>
  <c r="AJ377" i="17" s="1"/>
  <c r="AI165" i="17"/>
  <c r="AK16" i="1"/>
  <c r="AK692" i="17"/>
  <c r="AI13" i="26"/>
  <c r="AI29" i="17"/>
  <c r="AH167" i="17"/>
  <c r="AH204" i="17"/>
  <c r="AK91" i="26"/>
  <c r="AK137" i="26"/>
  <c r="AK12" i="26"/>
  <c r="AK53" i="26"/>
  <c r="AK2" i="26"/>
  <c r="AK285" i="1"/>
  <c r="AK279" i="1"/>
  <c r="AK215" i="1"/>
  <c r="AK221" i="1"/>
  <c r="AJ198" i="12"/>
  <c r="AJ199" i="12" s="1"/>
  <c r="AJ75" i="12" s="1"/>
  <c r="AJ297" i="13"/>
  <c r="AJ298" i="13" s="1"/>
  <c r="AJ938" i="17"/>
  <c r="AJ943" i="17" s="1"/>
  <c r="AJ937" i="17"/>
  <c r="AJ942" i="17" s="1"/>
  <c r="AJ263" i="17" s="1"/>
  <c r="AJ232" i="17"/>
  <c r="AJ233" i="17"/>
  <c r="AJ231" i="17"/>
  <c r="AM4" i="17"/>
  <c r="AM567" i="17"/>
  <c r="AK2" i="17"/>
  <c r="AK310" i="17" s="1"/>
  <c r="AK327" i="17" s="1"/>
  <c r="AK329" i="17" s="1"/>
  <c r="AK894" i="17" s="1"/>
  <c r="AK230" i="17"/>
  <c r="AK936" i="17"/>
  <c r="AK939" i="17" s="1"/>
  <c r="AK944" i="17" s="1"/>
  <c r="AA100" i="12"/>
  <c r="AA121" i="12"/>
  <c r="AA123" i="12" s="1"/>
  <c r="AA125" i="12" s="1"/>
  <c r="AA130" i="12" s="1"/>
  <c r="AA132" i="12" s="1"/>
  <c r="AB131" i="12" s="1"/>
  <c r="AJ300" i="13"/>
  <c r="AI301" i="13"/>
  <c r="AK80" i="13"/>
  <c r="AK157" i="13"/>
  <c r="AK296" i="13"/>
  <c r="AK277" i="13"/>
  <c r="AK2" i="13"/>
  <c r="AJ83" i="13"/>
  <c r="AJ82" i="13"/>
  <c r="AJ81" i="13"/>
  <c r="AM215" i="13"/>
  <c r="AM4" i="13"/>
  <c r="AJ162" i="13"/>
  <c r="AK197" i="12"/>
  <c r="AK2" i="10"/>
  <c r="AK2" i="4"/>
  <c r="AK2" i="12"/>
  <c r="AK196" i="12" s="1"/>
  <c r="AK182" i="12"/>
  <c r="AM4" i="12"/>
  <c r="AM4" i="10"/>
  <c r="AM129" i="12"/>
  <c r="AM4" i="4"/>
  <c r="AK2" i="1"/>
  <c r="AN4" i="26"/>
  <c r="AM4" i="1"/>
  <c r="AA97" i="12"/>
  <c r="AB93" i="12" s="1"/>
  <c r="AB96" i="12" s="1"/>
  <c r="AB99" i="12" s="1"/>
  <c r="X185" i="12"/>
  <c r="X187" i="12" s="1"/>
  <c r="Y183" i="12" s="1"/>
  <c r="AE107" i="12"/>
  <c r="AE108" i="12" s="1"/>
  <c r="AF104" i="12" s="1"/>
  <c r="X701" i="17" l="1"/>
  <c r="AK688" i="17"/>
  <c r="AK695" i="17" s="1"/>
  <c r="AK717" i="17" s="1"/>
  <c r="AK745" i="17"/>
  <c r="AK748" i="17" s="1"/>
  <c r="AJ836" i="17"/>
  <c r="AJ64" i="37"/>
  <c r="AJ364" i="17"/>
  <c r="AJ379" i="17"/>
  <c r="AJ349" i="17"/>
  <c r="AJ451" i="17"/>
  <c r="AJ608" i="17"/>
  <c r="AJ620" i="17"/>
  <c r="AJ597" i="17"/>
  <c r="AJ416" i="17"/>
  <c r="AJ411" i="17"/>
  <c r="AK401" i="17"/>
  <c r="AK410" i="17" s="1"/>
  <c r="AK673" i="17"/>
  <c r="AK680" i="17" s="1"/>
  <c r="AK716" i="17" s="1"/>
  <c r="AK406" i="17"/>
  <c r="AH207" i="17"/>
  <c r="AH209" i="17" s="1"/>
  <c r="AK359" i="17"/>
  <c r="AK354" i="17"/>
  <c r="AI820" i="17"/>
  <c r="AI10" i="38" s="1"/>
  <c r="AI350" i="17"/>
  <c r="AI352" i="17" s="1"/>
  <c r="AI355" i="17" s="1"/>
  <c r="AI373" i="17" s="1"/>
  <c r="AI179" i="17"/>
  <c r="AI30" i="17"/>
  <c r="AI14" i="26"/>
  <c r="AJ25" i="17"/>
  <c r="AJ26" i="17" s="1"/>
  <c r="AJ378" i="17" s="1"/>
  <c r="AI9" i="38"/>
  <c r="AJ819" i="17"/>
  <c r="AJ9" i="38" s="1"/>
  <c r="AK17" i="1"/>
  <c r="AK15" i="17" s="1"/>
  <c r="AK16" i="17" s="1"/>
  <c r="AK377" i="17" s="1"/>
  <c r="AK19" i="1"/>
  <c r="AK20" i="1"/>
  <c r="AK18" i="1"/>
  <c r="AI167" i="17"/>
  <c r="AI204" i="17"/>
  <c r="AJ29" i="17"/>
  <c r="AL16" i="1"/>
  <c r="AL692" i="17"/>
  <c r="AJ165" i="17"/>
  <c r="AJ204" i="17" s="1"/>
  <c r="AJ13" i="26"/>
  <c r="AL53" i="26"/>
  <c r="AL137" i="26"/>
  <c r="AL91" i="26"/>
  <c r="AL12" i="26"/>
  <c r="AL2" i="26"/>
  <c r="AL285" i="1"/>
  <c r="AL279" i="1"/>
  <c r="AL215" i="1"/>
  <c r="AL221" i="1"/>
  <c r="AK198" i="12"/>
  <c r="AK199" i="12" s="1"/>
  <c r="AK75" i="12" s="1"/>
  <c r="AK297" i="13"/>
  <c r="AK298" i="13" s="1"/>
  <c r="AK938" i="17"/>
  <c r="AK943" i="17" s="1"/>
  <c r="AK937" i="17"/>
  <c r="AK942" i="17" s="1"/>
  <c r="AK263" i="17" s="1"/>
  <c r="AL230" i="17"/>
  <c r="AL936" i="17"/>
  <c r="AL939" i="17" s="1"/>
  <c r="AL944" i="17" s="1"/>
  <c r="AL2" i="17"/>
  <c r="AL310" i="17" s="1"/>
  <c r="AL327" i="17" s="1"/>
  <c r="AL329" i="17" s="1"/>
  <c r="AL894" i="17" s="1"/>
  <c r="AK233" i="17"/>
  <c r="AK232" i="17"/>
  <c r="AK231" i="17"/>
  <c r="AN4" i="17"/>
  <c r="AN567" i="17"/>
  <c r="AB100" i="12"/>
  <c r="AB121" i="12"/>
  <c r="AB123" i="12" s="1"/>
  <c r="AB125" i="12" s="1"/>
  <c r="AB130" i="12" s="1"/>
  <c r="AB132" i="12" s="1"/>
  <c r="AC131" i="12" s="1"/>
  <c r="AK300" i="13"/>
  <c r="AJ301" i="13"/>
  <c r="AN215" i="13"/>
  <c r="AN4" i="13"/>
  <c r="AL80" i="13"/>
  <c r="AL2" i="13"/>
  <c r="AL296" i="13"/>
  <c r="AL157" i="13"/>
  <c r="AL277" i="13"/>
  <c r="AK162" i="13"/>
  <c r="AK81" i="13"/>
  <c r="AK83" i="13"/>
  <c r="AK82" i="13"/>
  <c r="AN129" i="12"/>
  <c r="AN4" i="10"/>
  <c r="AN4" i="12"/>
  <c r="AN4" i="4"/>
  <c r="AL197" i="12"/>
  <c r="AL2" i="10"/>
  <c r="AL2" i="4"/>
  <c r="AL182" i="12"/>
  <c r="AL2" i="12"/>
  <c r="AL196" i="12" s="1"/>
  <c r="AL2" i="1"/>
  <c r="AO4" i="26"/>
  <c r="AN4" i="1"/>
  <c r="Y185" i="12"/>
  <c r="Y187" i="12" s="1"/>
  <c r="Z183" i="12" s="1"/>
  <c r="AA135" i="12"/>
  <c r="AF107" i="12"/>
  <c r="AF108" i="12" s="1"/>
  <c r="AG104" i="12" s="1"/>
  <c r="AB97" i="12"/>
  <c r="AC93" i="12" s="1"/>
  <c r="AA173" i="12"/>
  <c r="AA174" i="12" s="1"/>
  <c r="AA175" i="12" s="1"/>
  <c r="AA170" i="12"/>
  <c r="AA157" i="12"/>
  <c r="AA158" i="12" s="1"/>
  <c r="AA164" i="12"/>
  <c r="AA165" i="12" s="1"/>
  <c r="X681" i="17" l="1"/>
  <c r="AL688" i="17"/>
  <c r="AL695" i="17" s="1"/>
  <c r="AL717" i="17" s="1"/>
  <c r="AL745" i="17"/>
  <c r="AL748" i="17" s="1"/>
  <c r="AK836" i="17"/>
  <c r="AK64" i="37"/>
  <c r="AK364" i="17"/>
  <c r="AK379" i="17"/>
  <c r="AK349" i="17"/>
  <c r="AK416" i="17"/>
  <c r="AK597" i="17"/>
  <c r="AK620" i="17"/>
  <c r="AK608" i="17"/>
  <c r="AK451" i="17"/>
  <c r="AK411" i="17"/>
  <c r="AL401" i="17"/>
  <c r="AL410" i="17" s="1"/>
  <c r="AL673" i="17"/>
  <c r="AL680" i="17" s="1"/>
  <c r="AL716" i="17" s="1"/>
  <c r="AL406" i="17"/>
  <c r="AL359" i="17"/>
  <c r="AL354" i="17"/>
  <c r="AJ14" i="26"/>
  <c r="AJ350" i="17"/>
  <c r="AJ352" i="17" s="1"/>
  <c r="AJ355" i="17" s="1"/>
  <c r="AJ373" i="17" s="1"/>
  <c r="AJ820" i="17"/>
  <c r="AJ10" i="38" s="1"/>
  <c r="AI207" i="17"/>
  <c r="AI209" i="17" s="1"/>
  <c r="AJ179" i="17"/>
  <c r="AJ207" i="17" s="1"/>
  <c r="AJ209" i="17" s="1"/>
  <c r="AJ30" i="17"/>
  <c r="AK25" i="17"/>
  <c r="AK26" i="17" s="1"/>
  <c r="AK378" i="17" s="1"/>
  <c r="AK819" i="17"/>
  <c r="AL17" i="1"/>
  <c r="AL15" i="17" s="1"/>
  <c r="AL16" i="17" s="1"/>
  <c r="AL377" i="17" s="1"/>
  <c r="AL18" i="1"/>
  <c r="AL19" i="1"/>
  <c r="AL20" i="1"/>
  <c r="AK13" i="26"/>
  <c r="AM16" i="1"/>
  <c r="AM692" i="17"/>
  <c r="AK29" i="17"/>
  <c r="AJ167" i="17"/>
  <c r="AK165" i="17"/>
  <c r="AK167" i="17" s="1"/>
  <c r="AM91" i="26"/>
  <c r="AM137" i="26"/>
  <c r="AM53" i="26"/>
  <c r="AM2" i="26"/>
  <c r="AM12" i="26"/>
  <c r="AM285" i="1"/>
  <c r="AM279" i="1"/>
  <c r="AL198" i="12"/>
  <c r="AL199" i="12" s="1"/>
  <c r="AL75" i="12" s="1"/>
  <c r="AM215" i="1"/>
  <c r="AM221" i="1"/>
  <c r="AL297" i="13"/>
  <c r="AL298" i="13" s="1"/>
  <c r="AL938" i="17"/>
  <c r="AL943" i="17" s="1"/>
  <c r="AL937" i="17"/>
  <c r="AL942" i="17" s="1"/>
  <c r="AL263" i="17" s="1"/>
  <c r="AO567" i="17"/>
  <c r="AO4" i="17"/>
  <c r="AL232" i="17"/>
  <c r="AL231" i="17"/>
  <c r="AL233" i="17"/>
  <c r="AM936" i="17"/>
  <c r="AM939" i="17" s="1"/>
  <c r="AM944" i="17" s="1"/>
  <c r="AM230" i="17"/>
  <c r="AM2" i="17"/>
  <c r="AM310" i="17" s="1"/>
  <c r="AM327" i="17" s="1"/>
  <c r="AM329" i="17" s="1"/>
  <c r="AM894" i="17" s="1"/>
  <c r="AL300" i="13"/>
  <c r="AK301" i="13"/>
  <c r="AL83" i="13"/>
  <c r="AL81" i="13"/>
  <c r="AL82" i="13"/>
  <c r="AO4" i="13"/>
  <c r="AO215" i="13"/>
  <c r="AM80" i="13"/>
  <c r="AM296" i="13"/>
  <c r="AM277" i="13"/>
  <c r="AM2" i="13"/>
  <c r="AM157" i="13"/>
  <c r="AL162" i="13"/>
  <c r="AO4" i="10"/>
  <c r="AO4" i="4"/>
  <c r="AO4" i="12"/>
  <c r="AO129" i="12"/>
  <c r="AM197" i="12"/>
  <c r="AM2" i="10"/>
  <c r="AM2" i="4"/>
  <c r="AM182" i="12"/>
  <c r="AM2" i="12"/>
  <c r="AM196" i="12" s="1"/>
  <c r="AM2" i="1"/>
  <c r="AP4" i="26"/>
  <c r="AO4" i="1"/>
  <c r="Z185" i="12"/>
  <c r="Z187" i="12" s="1"/>
  <c r="AA183" i="12" s="1"/>
  <c r="AB135" i="12"/>
  <c r="AB164" i="12"/>
  <c r="AB165" i="12" s="1"/>
  <c r="AB157" i="12"/>
  <c r="AB158" i="12" s="1"/>
  <c r="AB170" i="12"/>
  <c r="AB173" i="12"/>
  <c r="AB174" i="12" s="1"/>
  <c r="AB175" i="12" s="1"/>
  <c r="AG107" i="12"/>
  <c r="AG108" i="12" s="1"/>
  <c r="AH104" i="12" s="1"/>
  <c r="AC96" i="12"/>
  <c r="AC99" i="12" s="1"/>
  <c r="X682" i="17" l="1"/>
  <c r="Y678" i="17" s="1"/>
  <c r="Y679" i="17" s="1"/>
  <c r="Y701" i="17" s="1"/>
  <c r="X718" i="17"/>
  <c r="AM688" i="17"/>
  <c r="AM695" i="17" s="1"/>
  <c r="AM717" i="17" s="1"/>
  <c r="AM745" i="17"/>
  <c r="AM748" i="17" s="1"/>
  <c r="AL836" i="17"/>
  <c r="AL64" i="37"/>
  <c r="AL364" i="17"/>
  <c r="AL379" i="17"/>
  <c r="AL349" i="17"/>
  <c r="AL411" i="17"/>
  <c r="AL608" i="17"/>
  <c r="AL597" i="17"/>
  <c r="AL620" i="17"/>
  <c r="AL451" i="17"/>
  <c r="AL416" i="17"/>
  <c r="AM401" i="17"/>
  <c r="AM410" i="17" s="1"/>
  <c r="AM673" i="17"/>
  <c r="AM680" i="17" s="1"/>
  <c r="AM716" i="17" s="1"/>
  <c r="AM406" i="17"/>
  <c r="AM359" i="17"/>
  <c r="AM354" i="17"/>
  <c r="AK14" i="26"/>
  <c r="AK350" i="17"/>
  <c r="AK352" i="17" s="1"/>
  <c r="AK355" i="17" s="1"/>
  <c r="AK373" i="17" s="1"/>
  <c r="AK179" i="17"/>
  <c r="AK820" i="17"/>
  <c r="AK10" i="38" s="1"/>
  <c r="AK30" i="17"/>
  <c r="AL25" i="17"/>
  <c r="AL26" i="17" s="1"/>
  <c r="AL378" i="17" s="1"/>
  <c r="AK9" i="38"/>
  <c r="AL819" i="17"/>
  <c r="AL9" i="38" s="1"/>
  <c r="AM17" i="1"/>
  <c r="AM15" i="17" s="1"/>
  <c r="AM16" i="17" s="1"/>
  <c r="AM377" i="17" s="1"/>
  <c r="AM18" i="1"/>
  <c r="AM20" i="1"/>
  <c r="AM19" i="1"/>
  <c r="AL29" i="17"/>
  <c r="AN16" i="1"/>
  <c r="AN692" i="17"/>
  <c r="AL13" i="26"/>
  <c r="AL165" i="17"/>
  <c r="AK204" i="17"/>
  <c r="AN53" i="26"/>
  <c r="AN137" i="26"/>
  <c r="AN12" i="26"/>
  <c r="AN91" i="26"/>
  <c r="AN2" i="26"/>
  <c r="AN279" i="1"/>
  <c r="AN285" i="1"/>
  <c r="AM198" i="12"/>
  <c r="AM199" i="12" s="1"/>
  <c r="AM75" i="12" s="1"/>
  <c r="AM297" i="13"/>
  <c r="AM298" i="13" s="1"/>
  <c r="AN215" i="1"/>
  <c r="AN221" i="1"/>
  <c r="AN936" i="17"/>
  <c r="AN939" i="17" s="1"/>
  <c r="AN944" i="17" s="1"/>
  <c r="AN2" i="17"/>
  <c r="AN310" i="17" s="1"/>
  <c r="AN327" i="17" s="1"/>
  <c r="AN329" i="17" s="1"/>
  <c r="AN894" i="17" s="1"/>
  <c r="AN230" i="17"/>
  <c r="AP567" i="17"/>
  <c r="AP4" i="17"/>
  <c r="AM233" i="17"/>
  <c r="AM231" i="17"/>
  <c r="AM232" i="17"/>
  <c r="AM938" i="17"/>
  <c r="AM943" i="17" s="1"/>
  <c r="AM937" i="17"/>
  <c r="AM942" i="17" s="1"/>
  <c r="AM263" i="17" s="1"/>
  <c r="AC100" i="12"/>
  <c r="AC121" i="12"/>
  <c r="AC123" i="12" s="1"/>
  <c r="AC125" i="12" s="1"/>
  <c r="AC130" i="12" s="1"/>
  <c r="AC132" i="12" s="1"/>
  <c r="AD131" i="12" s="1"/>
  <c r="AM300" i="13"/>
  <c r="AL301" i="13"/>
  <c r="AM81" i="13"/>
  <c r="AM83" i="13"/>
  <c r="AM82" i="13"/>
  <c r="AN157" i="13"/>
  <c r="AN296" i="13"/>
  <c r="AN80" i="13"/>
  <c r="AN277" i="13"/>
  <c r="AN2" i="13"/>
  <c r="AM162" i="13"/>
  <c r="AP215" i="13"/>
  <c r="AP4" i="13"/>
  <c r="AN2" i="4"/>
  <c r="AN197" i="12"/>
  <c r="AN182" i="12"/>
  <c r="AN2" i="12"/>
  <c r="AN196" i="12" s="1"/>
  <c r="AN2" i="10"/>
  <c r="AP4" i="10"/>
  <c r="AP4" i="4"/>
  <c r="AP129" i="12"/>
  <c r="AP4" i="12"/>
  <c r="AN2" i="1"/>
  <c r="AQ4" i="26"/>
  <c r="AP4" i="1"/>
  <c r="AA185" i="12"/>
  <c r="AA187" i="12" s="1"/>
  <c r="AB183" i="12" s="1"/>
  <c r="AC97" i="12"/>
  <c r="AD93" i="12" s="1"/>
  <c r="AD96" i="12" s="1"/>
  <c r="AD99" i="12" s="1"/>
  <c r="AH107" i="12"/>
  <c r="AH108" i="12" s="1"/>
  <c r="AI104" i="12" s="1"/>
  <c r="Y681" i="17" l="1"/>
  <c r="Y682" i="17" s="1"/>
  <c r="Z678" i="17" s="1"/>
  <c r="Z679" i="17" s="1"/>
  <c r="Z701" i="17" s="1"/>
  <c r="AN688" i="17"/>
  <c r="AN695" i="17" s="1"/>
  <c r="AN717" i="17" s="1"/>
  <c r="AN745" i="17"/>
  <c r="AN748" i="17" s="1"/>
  <c r="AM836" i="17"/>
  <c r="AM64" i="37"/>
  <c r="AM364" i="17"/>
  <c r="AM379" i="17"/>
  <c r="AM349" i="17"/>
  <c r="Y718" i="17"/>
  <c r="AM451" i="17"/>
  <c r="AM620" i="17"/>
  <c r="AM597" i="17"/>
  <c r="AM608" i="17"/>
  <c r="AM416" i="17"/>
  <c r="AM411" i="17"/>
  <c r="AN401" i="17"/>
  <c r="AN410" i="17" s="1"/>
  <c r="AN673" i="17"/>
  <c r="AN680" i="17" s="1"/>
  <c r="AN716" i="17" s="1"/>
  <c r="AN406" i="17"/>
  <c r="AN359" i="17"/>
  <c r="AN354" i="17"/>
  <c r="AL179" i="17"/>
  <c r="AL207" i="17" s="1"/>
  <c r="AL209" i="17" s="1"/>
  <c r="AL350" i="17"/>
  <c r="AL352" i="17" s="1"/>
  <c r="AL355" i="17" s="1"/>
  <c r="AL373" i="17" s="1"/>
  <c r="AL14" i="26"/>
  <c r="AL820" i="17"/>
  <c r="AL10" i="38" s="1"/>
  <c r="AL30" i="17"/>
  <c r="AK207" i="17"/>
  <c r="AK209" i="17" s="1"/>
  <c r="AM25" i="17"/>
  <c r="AM26" i="17" s="1"/>
  <c r="AM378" i="17" s="1"/>
  <c r="AM819" i="17"/>
  <c r="AM9" i="38" s="1"/>
  <c r="AN18" i="1"/>
  <c r="AN20" i="1"/>
  <c r="AN19" i="1"/>
  <c r="AN17" i="1"/>
  <c r="AN15" i="17" s="1"/>
  <c r="AN16" i="17" s="1"/>
  <c r="AN377" i="17" s="1"/>
  <c r="AM165" i="17"/>
  <c r="AM204" i="17" s="1"/>
  <c r="AO16" i="1"/>
  <c r="AO692" i="17"/>
  <c r="AL204" i="17"/>
  <c r="AL167" i="17"/>
  <c r="AM29" i="17"/>
  <c r="AM13" i="26"/>
  <c r="AO91" i="26"/>
  <c r="AO137" i="26"/>
  <c r="AO12" i="26"/>
  <c r="AO2" i="26"/>
  <c r="AO53" i="26"/>
  <c r="AN297" i="13"/>
  <c r="AN298" i="13" s="1"/>
  <c r="AO285" i="1"/>
  <c r="AO279" i="1"/>
  <c r="AN198" i="12"/>
  <c r="AN199" i="12" s="1"/>
  <c r="AN75" i="12" s="1"/>
  <c r="AO215" i="1"/>
  <c r="AO221" i="1"/>
  <c r="AQ567" i="17"/>
  <c r="AQ4" i="17"/>
  <c r="AN233" i="17"/>
  <c r="AN232" i="17"/>
  <c r="AN231" i="17"/>
  <c r="AO2" i="17"/>
  <c r="AO310" i="17" s="1"/>
  <c r="AO327" i="17" s="1"/>
  <c r="AO329" i="17" s="1"/>
  <c r="AO894" i="17" s="1"/>
  <c r="AO230" i="17"/>
  <c r="AO936" i="17"/>
  <c r="AO939" i="17" s="1"/>
  <c r="AO944" i="17" s="1"/>
  <c r="AN938" i="17"/>
  <c r="AN943" i="17" s="1"/>
  <c r="AN937" i="17"/>
  <c r="AN942" i="17" s="1"/>
  <c r="AN263" i="17" s="1"/>
  <c r="AD100" i="12"/>
  <c r="AD121" i="12"/>
  <c r="AD123" i="12" s="1"/>
  <c r="AD125" i="12" s="1"/>
  <c r="AD130" i="12" s="1"/>
  <c r="AD132" i="12" s="1"/>
  <c r="AE131" i="12" s="1"/>
  <c r="AN300" i="13"/>
  <c r="AM301" i="13"/>
  <c r="AN83" i="13"/>
  <c r="AN81" i="13"/>
  <c r="AN82" i="13"/>
  <c r="AO157" i="13"/>
  <c r="AO296" i="13"/>
  <c r="AO277" i="13"/>
  <c r="AO2" i="13"/>
  <c r="AO80" i="13"/>
  <c r="AN162" i="13"/>
  <c r="AQ215" i="13"/>
  <c r="AQ4" i="13"/>
  <c r="AQ4" i="4"/>
  <c r="AQ129" i="12"/>
  <c r="AQ4" i="10"/>
  <c r="AQ4" i="12"/>
  <c r="AO2" i="4"/>
  <c r="AO2" i="12"/>
  <c r="AO196" i="12" s="1"/>
  <c r="AO182" i="12"/>
  <c r="AO197" i="12"/>
  <c r="AO2" i="10"/>
  <c r="AO2" i="1"/>
  <c r="AR4" i="26"/>
  <c r="AQ4" i="1"/>
  <c r="AB185" i="12"/>
  <c r="AB187" i="12" s="1"/>
  <c r="AC183" i="12" s="1"/>
  <c r="AC135" i="12"/>
  <c r="AI107" i="12"/>
  <c r="AI108" i="12" s="1"/>
  <c r="AJ104" i="12" s="1"/>
  <c r="AC173" i="12"/>
  <c r="AC174" i="12" s="1"/>
  <c r="AC175" i="12" s="1"/>
  <c r="AC157" i="12"/>
  <c r="AC158" i="12" s="1"/>
  <c r="AC170" i="12"/>
  <c r="AC164" i="12"/>
  <c r="AC165" i="12" s="1"/>
  <c r="AD97" i="12"/>
  <c r="AE93" i="12" s="1"/>
  <c r="AO688" i="17" l="1"/>
  <c r="AO695" i="17" s="1"/>
  <c r="AO717" i="17" s="1"/>
  <c r="AO745" i="17"/>
  <c r="AO748" i="17" s="1"/>
  <c r="AN836" i="17"/>
  <c r="AN64" i="37"/>
  <c r="AN364" i="17"/>
  <c r="AN379" i="17"/>
  <c r="AN349" i="17"/>
  <c r="Z681" i="17"/>
  <c r="AN451" i="17"/>
  <c r="AN620" i="17"/>
  <c r="AN597" i="17"/>
  <c r="AN608" i="17"/>
  <c r="AN416" i="17"/>
  <c r="AN411" i="17"/>
  <c r="AO401" i="17"/>
  <c r="AO410" i="17" s="1"/>
  <c r="AO673" i="17"/>
  <c r="AO680" i="17" s="1"/>
  <c r="AO716" i="17" s="1"/>
  <c r="AO406" i="17"/>
  <c r="AO359" i="17"/>
  <c r="AO354" i="17"/>
  <c r="AM820" i="17"/>
  <c r="AM10" i="38" s="1"/>
  <c r="AM350" i="17"/>
  <c r="AM352" i="17" s="1"/>
  <c r="AM355" i="17" s="1"/>
  <c r="AM373" i="17" s="1"/>
  <c r="AM14" i="26"/>
  <c r="AM179" i="17"/>
  <c r="AM207" i="17" s="1"/>
  <c r="AM209" i="17" s="1"/>
  <c r="AM30" i="17"/>
  <c r="AN25" i="17"/>
  <c r="AN26" i="17" s="1"/>
  <c r="AN378" i="17" s="1"/>
  <c r="AN819" i="17"/>
  <c r="AN9" i="38" s="1"/>
  <c r="AO20" i="1"/>
  <c r="AO17" i="1"/>
  <c r="AO15" i="17" s="1"/>
  <c r="AO16" i="17" s="1"/>
  <c r="AO377" i="17" s="1"/>
  <c r="AO18" i="1"/>
  <c r="AO19" i="1"/>
  <c r="AM167" i="17"/>
  <c r="AN29" i="17"/>
  <c r="AP16" i="1"/>
  <c r="AP692" i="17"/>
  <c r="AN13" i="26"/>
  <c r="AN165" i="17"/>
  <c r="AP137" i="26"/>
  <c r="AP91" i="26"/>
  <c r="AP12" i="26"/>
  <c r="AP2" i="26"/>
  <c r="AP53" i="26"/>
  <c r="AO297" i="13"/>
  <c r="AO298" i="13" s="1"/>
  <c r="AO198" i="12"/>
  <c r="AO199" i="12" s="1"/>
  <c r="AO75" i="12" s="1"/>
  <c r="AP285" i="1"/>
  <c r="AP279" i="1"/>
  <c r="AP215" i="1"/>
  <c r="AP221" i="1"/>
  <c r="AP230" i="17"/>
  <c r="AP2" i="17"/>
  <c r="AP310" i="17" s="1"/>
  <c r="AP327" i="17" s="1"/>
  <c r="AP329" i="17" s="1"/>
  <c r="AP894" i="17" s="1"/>
  <c r="AP936" i="17"/>
  <c r="AP939" i="17" s="1"/>
  <c r="AP944" i="17" s="1"/>
  <c r="AO938" i="17"/>
  <c r="AO943" i="17" s="1"/>
  <c r="AO937" i="17"/>
  <c r="AO942" i="17" s="1"/>
  <c r="AO263" i="17" s="1"/>
  <c r="AO231" i="17"/>
  <c r="AO232" i="17"/>
  <c r="AO233" i="17"/>
  <c r="AR4" i="17"/>
  <c r="AR567" i="17"/>
  <c r="AO300" i="13"/>
  <c r="AN301" i="13"/>
  <c r="AO81" i="13"/>
  <c r="AO83" i="13"/>
  <c r="AO82" i="13"/>
  <c r="AO162" i="13"/>
  <c r="AR215" i="13"/>
  <c r="AR4" i="13"/>
  <c r="AP296" i="13"/>
  <c r="AP157" i="13"/>
  <c r="AP277" i="13"/>
  <c r="AP2" i="13"/>
  <c r="AP80" i="13"/>
  <c r="AP182" i="12"/>
  <c r="AP2" i="4"/>
  <c r="AP2" i="12"/>
  <c r="AP196" i="12" s="1"/>
  <c r="AP197" i="12"/>
  <c r="AP2" i="10"/>
  <c r="AR4" i="4"/>
  <c r="AR4" i="10"/>
  <c r="AR129" i="12"/>
  <c r="AR4" i="12"/>
  <c r="AP2" i="1"/>
  <c r="AS4" i="26"/>
  <c r="AR4" i="1"/>
  <c r="AC185" i="12"/>
  <c r="AC187" i="12" s="1"/>
  <c r="AD183" i="12" s="1"/>
  <c r="AD135" i="12"/>
  <c r="AJ107" i="12"/>
  <c r="AJ108" i="12" s="1"/>
  <c r="AK104" i="12" s="1"/>
  <c r="AE96" i="12"/>
  <c r="AE99" i="12" s="1"/>
  <c r="AD170" i="12"/>
  <c r="AD164" i="12"/>
  <c r="AD165" i="12" s="1"/>
  <c r="AD157" i="12"/>
  <c r="AD158" i="12" s="1"/>
  <c r="AD173" i="12"/>
  <c r="AD174" i="12" s="1"/>
  <c r="AD175" i="12" s="1"/>
  <c r="Z718" i="17" l="1"/>
  <c r="AP688" i="17"/>
  <c r="AP695" i="17" s="1"/>
  <c r="AP717" i="17" s="1"/>
  <c r="AP745" i="17"/>
  <c r="AP748" i="17" s="1"/>
  <c r="AO836" i="17"/>
  <c r="AO64" i="37"/>
  <c r="AO364" i="17"/>
  <c r="AO379" i="17"/>
  <c r="AO349" i="17"/>
  <c r="Z682" i="17"/>
  <c r="AA678" i="17" s="1"/>
  <c r="AA679" i="17" s="1"/>
  <c r="AO451" i="17"/>
  <c r="AO608" i="17"/>
  <c r="AO597" i="17"/>
  <c r="AO620" i="17"/>
  <c r="AO411" i="17"/>
  <c r="AO416" i="17"/>
  <c r="AP401" i="17"/>
  <c r="AP410" i="17" s="1"/>
  <c r="AP673" i="17"/>
  <c r="AP680" i="17" s="1"/>
  <c r="AP716" i="17" s="1"/>
  <c r="AP406" i="17"/>
  <c r="AP359" i="17"/>
  <c r="AP354" i="17"/>
  <c r="AN820" i="17"/>
  <c r="AN10" i="38" s="1"/>
  <c r="AN350" i="17"/>
  <c r="AN352" i="17" s="1"/>
  <c r="AN355" i="17" s="1"/>
  <c r="AN373" i="17" s="1"/>
  <c r="AN30" i="17"/>
  <c r="AN179" i="17"/>
  <c r="AN207" i="17" s="1"/>
  <c r="AN209" i="17" s="1"/>
  <c r="AN14" i="26"/>
  <c r="AO25" i="17"/>
  <c r="AO26" i="17" s="1"/>
  <c r="AO378" i="17" s="1"/>
  <c r="AO819" i="17"/>
  <c r="AO9" i="38" s="1"/>
  <c r="AP20" i="1"/>
  <c r="AP17" i="1"/>
  <c r="AP15" i="17" s="1"/>
  <c r="AP16" i="17" s="1"/>
  <c r="AP377" i="17" s="1"/>
  <c r="AP18" i="1"/>
  <c r="AP19" i="1"/>
  <c r="AO165" i="17"/>
  <c r="AO204" i="17" s="1"/>
  <c r="AQ16" i="1"/>
  <c r="AQ692" i="17"/>
  <c r="AN204" i="17"/>
  <c r="AN167" i="17"/>
  <c r="AO13" i="26"/>
  <c r="AO29" i="17"/>
  <c r="AQ137" i="26"/>
  <c r="AQ2" i="26"/>
  <c r="AQ53" i="26"/>
  <c r="AQ12" i="26"/>
  <c r="AQ91" i="26"/>
  <c r="AP198" i="12"/>
  <c r="AP199" i="12" s="1"/>
  <c r="AP75" i="12" s="1"/>
  <c r="AP297" i="13"/>
  <c r="AP298" i="13" s="1"/>
  <c r="AQ285" i="1"/>
  <c r="AQ279" i="1"/>
  <c r="AQ215" i="1"/>
  <c r="AQ221" i="1"/>
  <c r="AP938" i="17"/>
  <c r="AP943" i="17" s="1"/>
  <c r="AP937" i="17"/>
  <c r="AP942" i="17" s="1"/>
  <c r="AP263" i="17" s="1"/>
  <c r="AQ2" i="17"/>
  <c r="AQ310" i="17" s="1"/>
  <c r="AQ327" i="17" s="1"/>
  <c r="AQ329" i="17" s="1"/>
  <c r="AQ894" i="17" s="1"/>
  <c r="AQ230" i="17"/>
  <c r="AQ936" i="17"/>
  <c r="AQ939" i="17" s="1"/>
  <c r="AQ944" i="17" s="1"/>
  <c r="AP231" i="17"/>
  <c r="AP232" i="17"/>
  <c r="AP233" i="17"/>
  <c r="AS567" i="17"/>
  <c r="AS4" i="17"/>
  <c r="AE100" i="12"/>
  <c r="AE121" i="12"/>
  <c r="AE123" i="12" s="1"/>
  <c r="AE125" i="12" s="1"/>
  <c r="AE130" i="12" s="1"/>
  <c r="AE132" i="12" s="1"/>
  <c r="AF131" i="12" s="1"/>
  <c r="AP300" i="13"/>
  <c r="AO301" i="13"/>
  <c r="AP83" i="13"/>
  <c r="AP82" i="13"/>
  <c r="AP81" i="13"/>
  <c r="AS215" i="13"/>
  <c r="AS4" i="13"/>
  <c r="AQ2" i="13"/>
  <c r="AQ277" i="13"/>
  <c r="AQ157" i="13"/>
  <c r="AQ80" i="13"/>
  <c r="AQ296" i="13"/>
  <c r="AP162" i="13"/>
  <c r="AS129" i="12"/>
  <c r="AS4" i="4"/>
  <c r="AS4" i="12"/>
  <c r="AS4" i="10"/>
  <c r="AQ2" i="12"/>
  <c r="AQ196" i="12" s="1"/>
  <c r="AQ2" i="4"/>
  <c r="AQ197" i="12"/>
  <c r="AQ2" i="10"/>
  <c r="AQ182" i="12"/>
  <c r="AQ2" i="1"/>
  <c r="AT4" i="26"/>
  <c r="AS4" i="1"/>
  <c r="AD185" i="12"/>
  <c r="AD187" i="12" s="1"/>
  <c r="AE183" i="12" s="1"/>
  <c r="AE97" i="12"/>
  <c r="AF93" i="12" s="1"/>
  <c r="AF96" i="12" s="1"/>
  <c r="AF99" i="12" s="1"/>
  <c r="AK107" i="12"/>
  <c r="AK108" i="12" s="1"/>
  <c r="AL104" i="12" s="1"/>
  <c r="AA681" i="17" l="1"/>
  <c r="AQ688" i="17"/>
  <c r="AQ695" i="17" s="1"/>
  <c r="AQ717" i="17" s="1"/>
  <c r="AQ745" i="17"/>
  <c r="AQ748" i="17" s="1"/>
  <c r="AP836" i="17"/>
  <c r="AP64" i="37"/>
  <c r="AP364" i="17"/>
  <c r="AP379" i="17"/>
  <c r="AP349" i="17"/>
  <c r="AP411" i="17"/>
  <c r="AP416" i="17"/>
  <c r="AP608" i="17"/>
  <c r="AP597" i="17"/>
  <c r="AP620" i="17"/>
  <c r="AP451" i="17"/>
  <c r="AQ401" i="17"/>
  <c r="AQ410" i="17" s="1"/>
  <c r="AQ673" i="17"/>
  <c r="AQ680" i="17" s="1"/>
  <c r="AQ716" i="17" s="1"/>
  <c r="AQ406" i="17"/>
  <c r="AQ359" i="17"/>
  <c r="AQ354" i="17"/>
  <c r="AO820" i="17"/>
  <c r="AO10" i="38" s="1"/>
  <c r="AO350" i="17"/>
  <c r="AO352" i="17" s="1"/>
  <c r="AO355" i="17" s="1"/>
  <c r="AO373" i="17" s="1"/>
  <c r="AO179" i="17"/>
  <c r="AO30" i="17"/>
  <c r="AO14" i="26"/>
  <c r="AP25" i="17"/>
  <c r="AP26" i="17" s="1"/>
  <c r="AP378" i="17" s="1"/>
  <c r="AP819" i="17"/>
  <c r="AP9" i="38" s="1"/>
  <c r="AQ19" i="1"/>
  <c r="AQ20" i="1"/>
  <c r="AQ18" i="1"/>
  <c r="AQ17" i="1"/>
  <c r="AQ15" i="17" s="1"/>
  <c r="AQ16" i="17" s="1"/>
  <c r="AQ377" i="17" s="1"/>
  <c r="AO167" i="17"/>
  <c r="AP13" i="26"/>
  <c r="AR16" i="1"/>
  <c r="AR692" i="17"/>
  <c r="AP29" i="17"/>
  <c r="AP165" i="17"/>
  <c r="AQ198" i="12"/>
  <c r="AQ199" i="12" s="1"/>
  <c r="AQ75" i="12" s="1"/>
  <c r="AQ297" i="13"/>
  <c r="AQ298" i="13" s="1"/>
  <c r="AR53" i="26"/>
  <c r="AR137" i="26"/>
  <c r="AR2" i="26"/>
  <c r="AR12" i="26"/>
  <c r="AR91" i="26"/>
  <c r="AR285" i="1"/>
  <c r="AR279" i="1"/>
  <c r="AR215" i="1"/>
  <c r="AR221" i="1"/>
  <c r="AQ232" i="17"/>
  <c r="AQ231" i="17"/>
  <c r="AQ233" i="17"/>
  <c r="AQ938" i="17"/>
  <c r="AQ943" i="17" s="1"/>
  <c r="AQ937" i="17"/>
  <c r="AQ942" i="17" s="1"/>
  <c r="AQ263" i="17" s="1"/>
  <c r="AR2" i="17"/>
  <c r="AR310" i="17" s="1"/>
  <c r="AR327" i="17" s="1"/>
  <c r="AR329" i="17" s="1"/>
  <c r="AR894" i="17" s="1"/>
  <c r="AR230" i="17"/>
  <c r="AR936" i="17"/>
  <c r="AR939" i="17" s="1"/>
  <c r="AR944" i="17" s="1"/>
  <c r="AT4" i="17"/>
  <c r="AT567" i="17"/>
  <c r="AF100" i="12"/>
  <c r="AF121" i="12"/>
  <c r="AF123" i="12" s="1"/>
  <c r="AF125" i="12" s="1"/>
  <c r="AF130" i="12" s="1"/>
  <c r="AF132" i="12" s="1"/>
  <c r="AG131" i="12" s="1"/>
  <c r="AQ300" i="13"/>
  <c r="AP301" i="13"/>
  <c r="AT215" i="13"/>
  <c r="AT4" i="13"/>
  <c r="AQ81" i="13"/>
  <c r="AQ82" i="13"/>
  <c r="AQ83" i="13"/>
  <c r="AQ162" i="13"/>
  <c r="AR80" i="13"/>
  <c r="AR277" i="13"/>
  <c r="AR2" i="13"/>
  <c r="AR157" i="13"/>
  <c r="AR296" i="13"/>
  <c r="AT129" i="12"/>
  <c r="AT4" i="12"/>
  <c r="AT4" i="4"/>
  <c r="AT4" i="10"/>
  <c r="AR197" i="12"/>
  <c r="AR2" i="10"/>
  <c r="AR2" i="12"/>
  <c r="AR196" i="12" s="1"/>
  <c r="AR2" i="4"/>
  <c r="AR182" i="12"/>
  <c r="AR2" i="1"/>
  <c r="AU4" i="26"/>
  <c r="AT4" i="1"/>
  <c r="AE185" i="12"/>
  <c r="AE187" i="12" s="1"/>
  <c r="AF183" i="12" s="1"/>
  <c r="AE135" i="12"/>
  <c r="AF97" i="12"/>
  <c r="AG93" i="12" s="1"/>
  <c r="AG96" i="12" s="1"/>
  <c r="AG99" i="12" s="1"/>
  <c r="AL107" i="12"/>
  <c r="AL108" i="12" s="1"/>
  <c r="AM104" i="12" s="1"/>
  <c r="AE157" i="12"/>
  <c r="AE158" i="12" s="1"/>
  <c r="AE170" i="12"/>
  <c r="AE173" i="12"/>
  <c r="AE174" i="12" s="1"/>
  <c r="AE175" i="12" s="1"/>
  <c r="AE164" i="12"/>
  <c r="AE165" i="12" s="1"/>
  <c r="AA701" i="17" l="1"/>
  <c r="AR688" i="17"/>
  <c r="AR695" i="17" s="1"/>
  <c r="AR717" i="17" s="1"/>
  <c r="AR745" i="17"/>
  <c r="AR748" i="17" s="1"/>
  <c r="AQ836" i="17"/>
  <c r="AQ64" i="37"/>
  <c r="AQ364" i="17"/>
  <c r="AQ379" i="17"/>
  <c r="AQ349" i="17"/>
  <c r="AA718" i="17"/>
  <c r="AA682" i="17"/>
  <c r="AB678" i="17" s="1"/>
  <c r="AB679" i="17" s="1"/>
  <c r="AQ451" i="17"/>
  <c r="AQ597" i="17"/>
  <c r="AQ608" i="17"/>
  <c r="AQ620" i="17"/>
  <c r="AQ411" i="17"/>
  <c r="AQ416" i="17"/>
  <c r="AR401" i="17"/>
  <c r="AR410" i="17" s="1"/>
  <c r="AR673" i="17"/>
  <c r="AR680" i="17" s="1"/>
  <c r="AR716" i="17" s="1"/>
  <c r="AR406" i="17"/>
  <c r="AR359" i="17"/>
  <c r="AR354" i="17"/>
  <c r="AP179" i="17"/>
  <c r="AP207" i="17" s="1"/>
  <c r="AP209" i="17" s="1"/>
  <c r="AP350" i="17"/>
  <c r="AP352" i="17" s="1"/>
  <c r="AP355" i="17" s="1"/>
  <c r="AP373" i="17" s="1"/>
  <c r="AO207" i="17"/>
  <c r="AO209" i="17" s="1"/>
  <c r="AP14" i="26"/>
  <c r="AP30" i="17"/>
  <c r="AP820" i="17"/>
  <c r="AP10" i="38" s="1"/>
  <c r="AQ25" i="17"/>
  <c r="AQ26" i="17" s="1"/>
  <c r="AQ378" i="17" s="1"/>
  <c r="AQ819" i="17"/>
  <c r="AQ9" i="38" s="1"/>
  <c r="AR297" i="13"/>
  <c r="AR298" i="13" s="1"/>
  <c r="AR19" i="1"/>
  <c r="AR20" i="1"/>
  <c r="AR18" i="1"/>
  <c r="AR17" i="1"/>
  <c r="AR15" i="17" s="1"/>
  <c r="AR16" i="17" s="1"/>
  <c r="AR377" i="17" s="1"/>
  <c r="AQ165" i="17"/>
  <c r="AS16" i="1"/>
  <c r="AS692" i="17"/>
  <c r="AP204" i="17"/>
  <c r="AP167" i="17"/>
  <c r="AQ13" i="26"/>
  <c r="AQ29" i="17"/>
  <c r="AR198" i="12"/>
  <c r="AR199" i="12" s="1"/>
  <c r="AR75" i="12" s="1"/>
  <c r="AS91" i="26"/>
  <c r="AS137" i="26"/>
  <c r="AS53" i="26"/>
  <c r="AS12" i="26"/>
  <c r="AS2" i="26"/>
  <c r="AS285" i="1"/>
  <c r="AS279" i="1"/>
  <c r="AS215" i="1"/>
  <c r="AS221" i="1"/>
  <c r="AU4" i="17"/>
  <c r="AU567" i="17"/>
  <c r="AR938" i="17"/>
  <c r="AR943" i="17" s="1"/>
  <c r="AR937" i="17"/>
  <c r="AR942" i="17" s="1"/>
  <c r="AR263" i="17" s="1"/>
  <c r="AR232" i="17"/>
  <c r="AR233" i="17"/>
  <c r="AR231" i="17"/>
  <c r="AS2" i="17"/>
  <c r="AS310" i="17" s="1"/>
  <c r="AS327" i="17" s="1"/>
  <c r="AS329" i="17" s="1"/>
  <c r="AS894" i="17" s="1"/>
  <c r="AS230" i="17"/>
  <c r="AS936" i="17"/>
  <c r="AS939" i="17" s="1"/>
  <c r="AS944" i="17" s="1"/>
  <c r="AG100" i="12"/>
  <c r="AG121" i="12"/>
  <c r="AG123" i="12" s="1"/>
  <c r="AG125" i="12" s="1"/>
  <c r="AG130" i="12" s="1"/>
  <c r="AG132" i="12" s="1"/>
  <c r="AH131" i="12" s="1"/>
  <c r="AR300" i="13"/>
  <c r="AQ301" i="13"/>
  <c r="AU215" i="13"/>
  <c r="AU4" i="13"/>
  <c r="AR162" i="13"/>
  <c r="AS80" i="13"/>
  <c r="AS157" i="13"/>
  <c r="AS296" i="13"/>
  <c r="AS277" i="13"/>
  <c r="AS2" i="13"/>
  <c r="AR83" i="13"/>
  <c r="AR82" i="13"/>
  <c r="AR81" i="13"/>
  <c r="AS197" i="12"/>
  <c r="AS2" i="10"/>
  <c r="AS2" i="4"/>
  <c r="AS2" i="12"/>
  <c r="AS196" i="12" s="1"/>
  <c r="AS182" i="12"/>
  <c r="AU4" i="12"/>
  <c r="AU129" i="12"/>
  <c r="AU4" i="10"/>
  <c r="AU4" i="4"/>
  <c r="AS2" i="1"/>
  <c r="AV4" i="26"/>
  <c r="AU4" i="1"/>
  <c r="AF185" i="12"/>
  <c r="AF187" i="12" s="1"/>
  <c r="AG183" i="12" s="1"/>
  <c r="AF135" i="12"/>
  <c r="AF170" i="12"/>
  <c r="AF164" i="12"/>
  <c r="AF165" i="12" s="1"/>
  <c r="AF173" i="12"/>
  <c r="AF174" i="12" s="1"/>
  <c r="AF175" i="12" s="1"/>
  <c r="AF157" i="12"/>
  <c r="AF158" i="12" s="1"/>
  <c r="AM107" i="12"/>
  <c r="AM108" i="12" s="1"/>
  <c r="AN104" i="12" s="1"/>
  <c r="AG97" i="12"/>
  <c r="AH93" i="12" s="1"/>
  <c r="AB701" i="17" l="1"/>
  <c r="AS688" i="17"/>
  <c r="AS695" i="17" s="1"/>
  <c r="AS717" i="17" s="1"/>
  <c r="AS745" i="17"/>
  <c r="AS748" i="17" s="1"/>
  <c r="AR836" i="17"/>
  <c r="AR64" i="37"/>
  <c r="AR364" i="17"/>
  <c r="AR379" i="17"/>
  <c r="AR349" i="17"/>
  <c r="AR451" i="17"/>
  <c r="AR608" i="17"/>
  <c r="AR620" i="17"/>
  <c r="AR597" i="17"/>
  <c r="AR416" i="17"/>
  <c r="AR411" i="17"/>
  <c r="AS401" i="17"/>
  <c r="AS410" i="17" s="1"/>
  <c r="AS673" i="17"/>
  <c r="AS680" i="17" s="1"/>
  <c r="AS716" i="17" s="1"/>
  <c r="AS406" i="17"/>
  <c r="AS359" i="17"/>
  <c r="AS354" i="17"/>
  <c r="AQ820" i="17"/>
  <c r="AQ10" i="38" s="1"/>
  <c r="AQ350" i="17"/>
  <c r="AQ352" i="17" s="1"/>
  <c r="AQ355" i="17" s="1"/>
  <c r="AQ373" i="17" s="1"/>
  <c r="AQ30" i="17"/>
  <c r="AQ14" i="26"/>
  <c r="AQ179" i="17"/>
  <c r="AQ207" i="17" s="1"/>
  <c r="AQ209" i="17" s="1"/>
  <c r="AR25" i="17"/>
  <c r="AR26" i="17" s="1"/>
  <c r="AR378" i="17" s="1"/>
  <c r="AR819" i="17"/>
  <c r="AR9" i="38" s="1"/>
  <c r="AS297" i="13"/>
  <c r="AS298" i="13" s="1"/>
  <c r="AS17" i="1"/>
  <c r="AS15" i="17" s="1"/>
  <c r="AS16" i="17" s="1"/>
  <c r="AS377" i="17" s="1"/>
  <c r="AS19" i="1"/>
  <c r="AS20" i="1"/>
  <c r="AS18" i="1"/>
  <c r="AQ204" i="17"/>
  <c r="AQ167" i="17"/>
  <c r="AR13" i="26"/>
  <c r="AT16" i="1"/>
  <c r="AT692" i="17"/>
  <c r="AR29" i="17"/>
  <c r="AR165" i="17"/>
  <c r="AS198" i="12"/>
  <c r="AS199" i="12" s="1"/>
  <c r="AS75" i="12" s="1"/>
  <c r="AT53" i="26"/>
  <c r="AT91" i="26"/>
  <c r="AT12" i="26"/>
  <c r="AT2" i="26"/>
  <c r="AT137" i="26"/>
  <c r="AT285" i="1"/>
  <c r="AT279" i="1"/>
  <c r="AT215" i="1"/>
  <c r="AT221" i="1"/>
  <c r="AT230" i="17"/>
  <c r="AT936" i="17"/>
  <c r="AT939" i="17" s="1"/>
  <c r="AT944" i="17" s="1"/>
  <c r="AT2" i="17"/>
  <c r="AT310" i="17" s="1"/>
  <c r="AT327" i="17" s="1"/>
  <c r="AT329" i="17" s="1"/>
  <c r="AT894" i="17" s="1"/>
  <c r="AS233" i="17"/>
  <c r="AS231" i="17"/>
  <c r="AS232" i="17"/>
  <c r="AS938" i="17"/>
  <c r="AS943" i="17" s="1"/>
  <c r="AS937" i="17"/>
  <c r="AS942" i="17" s="1"/>
  <c r="AS263" i="17" s="1"/>
  <c r="AV4" i="17"/>
  <c r="AV567" i="17"/>
  <c r="AS300" i="13"/>
  <c r="AR301" i="13"/>
  <c r="AS83" i="13"/>
  <c r="AS81" i="13"/>
  <c r="AS82" i="13"/>
  <c r="AT80" i="13"/>
  <c r="AT296" i="13"/>
  <c r="AT157" i="13"/>
  <c r="AT277" i="13"/>
  <c r="AT2" i="13"/>
  <c r="AV215" i="13"/>
  <c r="AV4" i="13"/>
  <c r="AS162" i="13"/>
  <c r="AV4" i="1"/>
  <c r="AV4" i="10"/>
  <c r="AV4" i="12"/>
  <c r="AV129" i="12"/>
  <c r="AV4" i="4"/>
  <c r="AT197" i="12"/>
  <c r="AT2" i="10"/>
  <c r="AT2" i="4"/>
  <c r="AT182" i="12"/>
  <c r="AT2" i="12"/>
  <c r="AT196" i="12" s="1"/>
  <c r="AT2" i="1"/>
  <c r="AG185" i="12"/>
  <c r="AG187" i="12" s="1"/>
  <c r="AH183" i="12" s="1"/>
  <c r="AG135" i="12"/>
  <c r="AH96" i="12"/>
  <c r="AH99" i="12" s="1"/>
  <c r="AN107" i="12"/>
  <c r="AN108" i="12" s="1"/>
  <c r="AO104" i="12" s="1"/>
  <c r="AG164" i="12"/>
  <c r="AG165" i="12" s="1"/>
  <c r="AG157" i="12"/>
  <c r="AG158" i="12" s="1"/>
  <c r="AG170" i="12"/>
  <c r="AG173" i="12"/>
  <c r="AG174" i="12" s="1"/>
  <c r="AG175" i="12" s="1"/>
  <c r="AB681" i="17" l="1"/>
  <c r="AT688" i="17"/>
  <c r="AT695" i="17" s="1"/>
  <c r="AT717" i="17" s="1"/>
  <c r="AT745" i="17"/>
  <c r="AT748" i="17" s="1"/>
  <c r="AS836" i="17"/>
  <c r="AS64" i="37"/>
  <c r="AS364" i="17"/>
  <c r="AS379" i="17"/>
  <c r="AS349" i="17"/>
  <c r="AS411" i="17"/>
  <c r="AS597" i="17"/>
  <c r="AS620" i="17"/>
  <c r="AS608" i="17"/>
  <c r="AS451" i="17"/>
  <c r="AS416" i="17"/>
  <c r="AT401" i="17"/>
  <c r="AT410" i="17" s="1"/>
  <c r="AT673" i="17"/>
  <c r="AT680" i="17" s="1"/>
  <c r="AT716" i="17" s="1"/>
  <c r="AT406" i="17"/>
  <c r="AT359" i="17"/>
  <c r="AT354" i="17"/>
  <c r="AR14" i="26"/>
  <c r="AR350" i="17"/>
  <c r="AR352" i="17" s="1"/>
  <c r="AR355" i="17" s="1"/>
  <c r="AR373" i="17" s="1"/>
  <c r="AR179" i="17"/>
  <c r="AR207" i="17" s="1"/>
  <c r="AR209" i="17" s="1"/>
  <c r="AR820" i="17"/>
  <c r="AR10" i="38" s="1"/>
  <c r="AR30" i="17"/>
  <c r="AS25" i="17"/>
  <c r="AS26" i="17" s="1"/>
  <c r="AS378" i="17" s="1"/>
  <c r="AS819" i="17"/>
  <c r="AS9" i="38" s="1"/>
  <c r="AT297" i="13"/>
  <c r="AT298" i="13" s="1"/>
  <c r="AT198" i="12"/>
  <c r="AT199" i="12" s="1"/>
  <c r="AT75" i="12" s="1"/>
  <c r="AT20" i="1"/>
  <c r="AT17" i="1"/>
  <c r="AT15" i="17" s="1"/>
  <c r="AT16" i="17" s="1"/>
  <c r="AT377" i="17" s="1"/>
  <c r="AT18" i="1"/>
  <c r="AT19" i="1"/>
  <c r="AS165" i="17"/>
  <c r="AU16" i="1"/>
  <c r="AU692" i="17"/>
  <c r="AS13" i="26"/>
  <c r="AR204" i="17"/>
  <c r="AR167" i="17"/>
  <c r="AS29" i="17"/>
  <c r="AU91" i="26"/>
  <c r="AU137" i="26"/>
  <c r="AU53" i="26"/>
  <c r="AU2" i="26"/>
  <c r="AU12" i="26"/>
  <c r="AU285" i="1"/>
  <c r="AU279" i="1"/>
  <c r="AU215" i="1"/>
  <c r="AU221" i="1"/>
  <c r="AT938" i="17"/>
  <c r="AT943" i="17" s="1"/>
  <c r="AT937" i="17"/>
  <c r="AT942" i="17" s="1"/>
  <c r="AT263" i="17" s="1"/>
  <c r="AU936" i="17"/>
  <c r="AU939" i="17" s="1"/>
  <c r="AU944" i="17" s="1"/>
  <c r="AU230" i="17"/>
  <c r="AU2" i="17"/>
  <c r="AU310" i="17" s="1"/>
  <c r="AU327" i="17" s="1"/>
  <c r="AU329" i="17" s="1"/>
  <c r="AU894" i="17" s="1"/>
  <c r="AT231" i="17"/>
  <c r="AT233" i="17"/>
  <c r="AT232" i="17"/>
  <c r="AH100" i="12"/>
  <c r="AH121" i="12"/>
  <c r="AH123" i="12" s="1"/>
  <c r="AH125" i="12" s="1"/>
  <c r="AH130" i="12" s="1"/>
  <c r="AH132" i="12" s="1"/>
  <c r="AI131" i="12" s="1"/>
  <c r="AT300" i="13"/>
  <c r="AS301" i="13"/>
  <c r="AT162" i="13"/>
  <c r="AT83" i="13"/>
  <c r="AT82" i="13"/>
  <c r="AT81" i="13"/>
  <c r="AU80" i="13"/>
  <c r="AU296" i="13"/>
  <c r="AU277" i="13"/>
  <c r="AU2" i="13"/>
  <c r="AU157" i="13"/>
  <c r="AU197" i="12"/>
  <c r="AU2" i="10"/>
  <c r="AU2" i="4"/>
  <c r="AU182" i="12"/>
  <c r="AU2" i="12"/>
  <c r="AU196" i="12" s="1"/>
  <c r="AU2" i="1"/>
  <c r="AH185" i="12"/>
  <c r="AH187" i="12" s="1"/>
  <c r="AI183" i="12" s="1"/>
  <c r="AO107" i="12"/>
  <c r="AO108" i="12" s="1"/>
  <c r="AP104" i="12" s="1"/>
  <c r="AH97" i="12"/>
  <c r="AI93" i="12" s="1"/>
  <c r="AB718" i="17" l="1"/>
  <c r="AB682" i="17"/>
  <c r="AC678" i="17" s="1"/>
  <c r="AC679" i="17" s="1"/>
  <c r="AU688" i="17"/>
  <c r="AU695" i="17" s="1"/>
  <c r="AU717" i="17" s="1"/>
  <c r="AU745" i="17"/>
  <c r="AU748" i="17" s="1"/>
  <c r="AT836" i="17"/>
  <c r="F869" i="17" s="1"/>
  <c r="C157" i="43" s="1"/>
  <c r="AT64" i="37"/>
  <c r="AT364" i="17"/>
  <c r="AT379" i="17"/>
  <c r="AT349" i="17"/>
  <c r="AT451" i="17"/>
  <c r="AT597" i="17"/>
  <c r="AT620" i="17"/>
  <c r="AT608" i="17"/>
  <c r="AT416" i="17"/>
  <c r="AT411" i="17"/>
  <c r="AU401" i="17"/>
  <c r="AU410" i="17" s="1"/>
  <c r="AU673" i="17"/>
  <c r="AU680" i="17" s="1"/>
  <c r="AU716" i="17" s="1"/>
  <c r="AU406" i="17"/>
  <c r="AU359" i="17"/>
  <c r="AU354" i="17"/>
  <c r="AS14" i="26"/>
  <c r="AS350" i="17"/>
  <c r="AS352" i="17" s="1"/>
  <c r="AS355" i="17" s="1"/>
  <c r="AS373" i="17" s="1"/>
  <c r="AS820" i="17"/>
  <c r="AS10" i="38" s="1"/>
  <c r="AS179" i="17"/>
  <c r="AS207" i="17" s="1"/>
  <c r="AS209" i="17" s="1"/>
  <c r="AS30" i="17"/>
  <c r="AT25" i="17"/>
  <c r="AT26" i="17" s="1"/>
  <c r="AT378" i="17" s="1"/>
  <c r="AU297" i="13"/>
  <c r="AU298" i="13" s="1"/>
  <c r="AT819" i="17"/>
  <c r="AT9" i="38" s="1"/>
  <c r="AU198" i="12"/>
  <c r="AU199" i="12" s="1"/>
  <c r="AU75" i="12" s="1"/>
  <c r="AU17" i="1"/>
  <c r="AU15" i="17" s="1"/>
  <c r="AU16" i="17" s="1"/>
  <c r="AU377" i="17" s="1"/>
  <c r="AU18" i="1"/>
  <c r="AU25" i="17" s="1"/>
  <c r="AU26" i="17" s="1"/>
  <c r="AU20" i="1"/>
  <c r="AU19" i="1"/>
  <c r="AS167" i="17"/>
  <c r="AS204" i="17"/>
  <c r="AT165" i="17"/>
  <c r="AV16" i="1"/>
  <c r="AV692" i="17"/>
  <c r="AT13" i="26"/>
  <c r="AT29" i="17"/>
  <c r="AV53" i="26"/>
  <c r="AV137" i="26"/>
  <c r="AV12" i="26"/>
  <c r="AV91" i="26"/>
  <c r="AV2" i="26"/>
  <c r="AV279" i="1"/>
  <c r="AV285" i="1"/>
  <c r="AV215" i="1"/>
  <c r="AV221" i="1"/>
  <c r="F217" i="1" a="1"/>
  <c r="F217" i="1" s="1"/>
  <c r="AU233" i="17"/>
  <c r="AU232" i="17"/>
  <c r="AU231" i="17"/>
  <c r="AU938" i="17"/>
  <c r="AU943" i="17" s="1"/>
  <c r="AU937" i="17"/>
  <c r="AV936" i="17"/>
  <c r="AV939" i="17" s="1"/>
  <c r="AV2" i="17"/>
  <c r="AV310" i="17" s="1"/>
  <c r="AV327" i="17" s="1"/>
  <c r="AV329" i="17" s="1"/>
  <c r="AV894" i="17" s="1"/>
  <c r="H913" i="17" s="1"/>
  <c r="E172" i="43" s="1"/>
  <c r="AV230" i="17"/>
  <c r="AU300" i="13"/>
  <c r="AT301" i="13"/>
  <c r="AV157" i="13"/>
  <c r="AV296" i="13"/>
  <c r="AV80" i="13"/>
  <c r="AV277" i="13"/>
  <c r="AV2" i="13"/>
  <c r="AU81" i="13"/>
  <c r="AU83" i="13"/>
  <c r="AU82" i="13"/>
  <c r="AU162" i="13"/>
  <c r="AV2" i="1"/>
  <c r="AV2" i="4"/>
  <c r="AV182" i="12"/>
  <c r="AV197" i="12"/>
  <c r="AV2" i="10"/>
  <c r="AV2" i="12"/>
  <c r="AV196" i="12" s="1"/>
  <c r="AI185" i="12"/>
  <c r="AI187" i="12" s="1"/>
  <c r="AJ183" i="12" s="1"/>
  <c r="AH135" i="12"/>
  <c r="AP107" i="12"/>
  <c r="AP108" i="12" s="1"/>
  <c r="AQ104" i="12" s="1"/>
  <c r="AH157" i="12"/>
  <c r="AH158" i="12" s="1"/>
  <c r="AH170" i="12"/>
  <c r="AH173" i="12"/>
  <c r="AH174" i="12" s="1"/>
  <c r="AH175" i="12" s="1"/>
  <c r="AH164" i="12"/>
  <c r="AH165" i="12" s="1"/>
  <c r="AI96" i="12"/>
  <c r="AI99" i="12" s="1"/>
  <c r="AC681" i="17" l="1"/>
  <c r="AV688" i="17"/>
  <c r="AV695" i="17" s="1"/>
  <c r="AV717" i="17" s="1"/>
  <c r="AV745" i="17"/>
  <c r="AV748" i="17" s="1"/>
  <c r="AU836" i="17"/>
  <c r="AU64" i="37"/>
  <c r="AU364" i="17"/>
  <c r="AU379" i="17"/>
  <c r="AV297" i="13"/>
  <c r="AV298" i="13" s="1"/>
  <c r="AU350" i="17"/>
  <c r="AU378" i="17"/>
  <c r="AU349" i="17"/>
  <c r="AU451" i="17"/>
  <c r="AU620" i="17"/>
  <c r="AU597" i="17"/>
  <c r="AU608" i="17"/>
  <c r="AU416" i="17"/>
  <c r="AU411" i="17"/>
  <c r="AV401" i="17"/>
  <c r="AV410" i="17" s="1"/>
  <c r="AV673" i="17"/>
  <c r="AV406" i="17"/>
  <c r="AV359" i="17"/>
  <c r="AV354" i="17"/>
  <c r="AT820" i="17"/>
  <c r="AT10" i="38" s="1"/>
  <c r="AT350" i="17"/>
  <c r="AT352" i="17" s="1"/>
  <c r="AT355" i="17" s="1"/>
  <c r="AT373" i="17" s="1"/>
  <c r="AT14" i="26"/>
  <c r="AT179" i="17"/>
  <c r="AT207" i="17" s="1"/>
  <c r="AT209" i="17" s="1"/>
  <c r="AT30" i="17"/>
  <c r="AV198" i="12"/>
  <c r="AV199" i="12" s="1"/>
  <c r="F200" i="12" s="1"/>
  <c r="G204" i="12" s="1"/>
  <c r="AV18" i="1"/>
  <c r="AV25" i="17" s="1"/>
  <c r="AV26" i="17" s="1"/>
  <c r="AV19" i="1"/>
  <c r="AV20" i="1"/>
  <c r="AV17" i="1"/>
  <c r="AV15" i="17" s="1"/>
  <c r="AV16" i="17" s="1"/>
  <c r="AV377" i="17" s="1"/>
  <c r="AU942" i="17"/>
  <c r="AU263" i="17" s="1"/>
  <c r="L970" i="17" a="1"/>
  <c r="L970" i="17" s="1"/>
  <c r="O970" i="17" a="1"/>
  <c r="O970" i="17" s="1"/>
  <c r="AV944" i="17"/>
  <c r="AT167" i="17"/>
  <c r="AT204" i="17"/>
  <c r="F281" i="1" a="1"/>
  <c r="F281" i="1" s="1"/>
  <c r="AV233" i="17"/>
  <c r="AV232" i="17"/>
  <c r="AV231" i="17"/>
  <c r="AV938" i="17"/>
  <c r="AV937" i="17"/>
  <c r="AI100" i="12"/>
  <c r="AI121" i="12"/>
  <c r="AI123" i="12" s="1"/>
  <c r="AI125" i="12" s="1"/>
  <c r="AI130" i="12" s="1"/>
  <c r="AI132" i="12" s="1"/>
  <c r="AJ131" i="12" s="1"/>
  <c r="AV300" i="13"/>
  <c r="AV301" i="13" s="1"/>
  <c r="AU301" i="13"/>
  <c r="AV83" i="13"/>
  <c r="AV81" i="13"/>
  <c r="AV82" i="13"/>
  <c r="AV162" i="13"/>
  <c r="F162" i="13" s="1"/>
  <c r="AV167" i="13" s="1"/>
  <c r="AV169" i="13" s="1"/>
  <c r="AV238" i="13" s="1"/>
  <c r="AV269" i="13" s="1"/>
  <c r="AI97" i="12"/>
  <c r="AJ93" i="12" s="1"/>
  <c r="AJ96" i="12" s="1"/>
  <c r="AJ99" i="12" s="1"/>
  <c r="AJ185" i="12"/>
  <c r="AJ187" i="12" s="1"/>
  <c r="AK183" i="12" s="1"/>
  <c r="AQ107" i="12"/>
  <c r="AQ108" i="12" s="1"/>
  <c r="AR104" i="12" s="1"/>
  <c r="AC718" i="17" l="1"/>
  <c r="AC701" i="17"/>
  <c r="AC682" i="17"/>
  <c r="AD678" i="17" s="1"/>
  <c r="AD679" i="17" s="1"/>
  <c r="J688" i="17"/>
  <c r="J695" i="17" s="1"/>
  <c r="J717" i="17" s="1"/>
  <c r="AV836" i="17"/>
  <c r="AV64" i="37"/>
  <c r="AV364" i="17"/>
  <c r="AV379" i="17"/>
  <c r="AU352" i="17"/>
  <c r="AU355" i="17" s="1"/>
  <c r="AU373" i="17" s="1"/>
  <c r="AV350" i="17"/>
  <c r="AV378" i="17"/>
  <c r="AV349" i="17"/>
  <c r="F412" i="17"/>
  <c r="AV620" i="17"/>
  <c r="AV597" i="17"/>
  <c r="AV608" i="17"/>
  <c r="AV416" i="17"/>
  <c r="AV451" i="17"/>
  <c r="AV411" i="17"/>
  <c r="J410" i="17"/>
  <c r="AV680" i="17"/>
  <c r="AV716" i="17" s="1"/>
  <c r="J673" i="17"/>
  <c r="J680" i="17" s="1"/>
  <c r="J716" i="17" s="1"/>
  <c r="AV75" i="12"/>
  <c r="F76" i="12" s="1"/>
  <c r="M970" i="17" a="1"/>
  <c r="M970" i="17" s="1"/>
  <c r="N970" i="17" a="1"/>
  <c r="N970" i="17" s="1"/>
  <c r="AV942" i="17"/>
  <c r="AV263" i="17" s="1"/>
  <c r="AV943" i="17"/>
  <c r="AE231" i="1"/>
  <c r="AE486" i="17" s="1"/>
  <c r="AH231" i="1"/>
  <c r="AH486" i="17" s="1"/>
  <c r="AG231" i="1"/>
  <c r="AG486" i="17" s="1"/>
  <c r="AF231" i="1"/>
  <c r="AF486" i="17" s="1"/>
  <c r="AJ100" i="12"/>
  <c r="AJ121" i="12"/>
  <c r="AJ123" i="12" s="1"/>
  <c r="AJ125" i="12" s="1"/>
  <c r="AJ130" i="12" s="1"/>
  <c r="AJ132" i="12" s="1"/>
  <c r="AK131" i="12" s="1"/>
  <c r="AV175" i="13"/>
  <c r="AV177" i="13" s="1"/>
  <c r="AV178" i="13" s="1"/>
  <c r="L167" i="13"/>
  <c r="M167" i="13"/>
  <c r="M169" i="13" s="1"/>
  <c r="M238" i="13" s="1"/>
  <c r="M269" i="13" s="1"/>
  <c r="N167" i="13"/>
  <c r="N169" i="13" s="1"/>
  <c r="N238" i="13" s="1"/>
  <c r="N269" i="13" s="1"/>
  <c r="O167" i="13"/>
  <c r="O169" i="13" s="1"/>
  <c r="O238" i="13" s="1"/>
  <c r="O269" i="13" s="1"/>
  <c r="P167" i="13"/>
  <c r="P169" i="13" s="1"/>
  <c r="P238" i="13" s="1"/>
  <c r="P269" i="13" s="1"/>
  <c r="Q167" i="13"/>
  <c r="Q169" i="13" s="1"/>
  <c r="Q238" i="13" s="1"/>
  <c r="Q269" i="13" s="1"/>
  <c r="R167" i="13"/>
  <c r="R169" i="13" s="1"/>
  <c r="R238" i="13" s="1"/>
  <c r="R269" i="13" s="1"/>
  <c r="S167" i="13"/>
  <c r="S169" i="13" s="1"/>
  <c r="S238" i="13" s="1"/>
  <c r="S269" i="13" s="1"/>
  <c r="T167" i="13"/>
  <c r="T169" i="13" s="1"/>
  <c r="T238" i="13" s="1"/>
  <c r="T269" i="13" s="1"/>
  <c r="U167" i="13"/>
  <c r="U169" i="13" s="1"/>
  <c r="U238" i="13" s="1"/>
  <c r="U269" i="13" s="1"/>
  <c r="V167" i="13"/>
  <c r="V169" i="13" s="1"/>
  <c r="V238" i="13" s="1"/>
  <c r="V269" i="13" s="1"/>
  <c r="W167" i="13"/>
  <c r="W169" i="13" s="1"/>
  <c r="W238" i="13" s="1"/>
  <c r="W269" i="13" s="1"/>
  <c r="X167" i="13"/>
  <c r="X169" i="13" s="1"/>
  <c r="X238" i="13" s="1"/>
  <c r="X269" i="13" s="1"/>
  <c r="Y167" i="13"/>
  <c r="Y169" i="13" s="1"/>
  <c r="Y238" i="13" s="1"/>
  <c r="Y269" i="13" s="1"/>
  <c r="Z167" i="13"/>
  <c r="Z169" i="13" s="1"/>
  <c r="Z238" i="13" s="1"/>
  <c r="Z269" i="13" s="1"/>
  <c r="AA167" i="13"/>
  <c r="AA169" i="13" s="1"/>
  <c r="AA238" i="13" s="1"/>
  <c r="AA269" i="13" s="1"/>
  <c r="AB167" i="13"/>
  <c r="AB169" i="13" s="1"/>
  <c r="AB238" i="13" s="1"/>
  <c r="AB269" i="13" s="1"/>
  <c r="AC167" i="13"/>
  <c r="AC169" i="13" s="1"/>
  <c r="AC238" i="13" s="1"/>
  <c r="AC269" i="13" s="1"/>
  <c r="AD167" i="13"/>
  <c r="AD169" i="13" s="1"/>
  <c r="AD238" i="13" s="1"/>
  <c r="AD269" i="13" s="1"/>
  <c r="AE167" i="13"/>
  <c r="AE169" i="13" s="1"/>
  <c r="AE238" i="13" s="1"/>
  <c r="AE269" i="13" s="1"/>
  <c r="AF167" i="13"/>
  <c r="AF169" i="13" s="1"/>
  <c r="AF238" i="13" s="1"/>
  <c r="AF269" i="13" s="1"/>
  <c r="AG167" i="13"/>
  <c r="AG169" i="13" s="1"/>
  <c r="AG238" i="13" s="1"/>
  <c r="AG269" i="13" s="1"/>
  <c r="AH167" i="13"/>
  <c r="AH169" i="13" s="1"/>
  <c r="AH238" i="13" s="1"/>
  <c r="AH269" i="13" s="1"/>
  <c r="AI167" i="13"/>
  <c r="AI169" i="13" s="1"/>
  <c r="AI238" i="13" s="1"/>
  <c r="AI269" i="13" s="1"/>
  <c r="AJ167" i="13"/>
  <c r="AJ169" i="13" s="1"/>
  <c r="AJ238" i="13" s="1"/>
  <c r="AJ269" i="13" s="1"/>
  <c r="AK167" i="13"/>
  <c r="AK169" i="13" s="1"/>
  <c r="AK238" i="13" s="1"/>
  <c r="AK269" i="13" s="1"/>
  <c r="AL167" i="13"/>
  <c r="AL169" i="13" s="1"/>
  <c r="AL238" i="13" s="1"/>
  <c r="AL269" i="13" s="1"/>
  <c r="AM167" i="13"/>
  <c r="AM169" i="13" s="1"/>
  <c r="AM238" i="13" s="1"/>
  <c r="AM269" i="13" s="1"/>
  <c r="AN167" i="13"/>
  <c r="AN169" i="13" s="1"/>
  <c r="AN238" i="13" s="1"/>
  <c r="AN269" i="13" s="1"/>
  <c r="AO167" i="13"/>
  <c r="AO169" i="13" s="1"/>
  <c r="AO238" i="13" s="1"/>
  <c r="AO269" i="13" s="1"/>
  <c r="AP167" i="13"/>
  <c r="AP169" i="13" s="1"/>
  <c r="AP238" i="13" s="1"/>
  <c r="AP269" i="13" s="1"/>
  <c r="AQ167" i="13"/>
  <c r="AQ169" i="13" s="1"/>
  <c r="AQ238" i="13" s="1"/>
  <c r="AQ269" i="13" s="1"/>
  <c r="AR167" i="13"/>
  <c r="AR169" i="13" s="1"/>
  <c r="AR238" i="13" s="1"/>
  <c r="AR269" i="13" s="1"/>
  <c r="AS167" i="13"/>
  <c r="AS169" i="13" s="1"/>
  <c r="AS238" i="13" s="1"/>
  <c r="AS269" i="13" s="1"/>
  <c r="AT167" i="13"/>
  <c r="AT169" i="13" s="1"/>
  <c r="AT238" i="13" s="1"/>
  <c r="AT269" i="13" s="1"/>
  <c r="AU167" i="13"/>
  <c r="AU169" i="13" s="1"/>
  <c r="AU238" i="13" s="1"/>
  <c r="AU269" i="13" s="1"/>
  <c r="AK185" i="12"/>
  <c r="AK187" i="12" s="1"/>
  <c r="AL183" i="12" s="1"/>
  <c r="AI135" i="12"/>
  <c r="AR107" i="12"/>
  <c r="AR108" i="12" s="1"/>
  <c r="AS104" i="12" s="1"/>
  <c r="AI173" i="12"/>
  <c r="AI174" i="12" s="1"/>
  <c r="AI175" i="12" s="1"/>
  <c r="AI170" i="12"/>
  <c r="AI157" i="12"/>
  <c r="AI158" i="12" s="1"/>
  <c r="AI164" i="12"/>
  <c r="AI165" i="12" s="1"/>
  <c r="AJ97" i="12"/>
  <c r="AK93" i="12" s="1"/>
  <c r="AD701" i="17" l="1"/>
  <c r="J836" i="17"/>
  <c r="J64" i="37"/>
  <c r="AV352" i="17"/>
  <c r="AV355" i="17" s="1"/>
  <c r="AV373" i="17" s="1"/>
  <c r="AD681" i="17"/>
  <c r="J451" i="17"/>
  <c r="J620" i="17"/>
  <c r="J608" i="17"/>
  <c r="J597" i="17"/>
  <c r="J416" i="17"/>
  <c r="F437" i="17"/>
  <c r="AF40" i="17"/>
  <c r="AF42" i="17" s="1"/>
  <c r="AG40" i="17"/>
  <c r="AG42" i="17" s="1"/>
  <c r="AH40" i="17"/>
  <c r="AH42" i="17" s="1"/>
  <c r="AE40" i="17"/>
  <c r="AE42" i="17" s="1"/>
  <c r="AI231" i="1"/>
  <c r="AI486" i="17" s="1"/>
  <c r="AO175" i="13"/>
  <c r="AO177" i="13" s="1"/>
  <c r="AO178" i="13" s="1"/>
  <c r="AG175" i="13"/>
  <c r="AG177" i="13" s="1"/>
  <c r="AG178" i="13" s="1"/>
  <c r="Y175" i="13"/>
  <c r="Y177" i="13" s="1"/>
  <c r="Y178" i="13" s="1"/>
  <c r="Q175" i="13"/>
  <c r="Q177" i="13" s="1"/>
  <c r="Q178" i="13" s="1"/>
  <c r="AN175" i="13"/>
  <c r="AN177" i="13" s="1"/>
  <c r="AN178" i="13" s="1"/>
  <c r="AF175" i="13"/>
  <c r="AF177" i="13" s="1"/>
  <c r="AF178" i="13" s="1"/>
  <c r="X175" i="13"/>
  <c r="X177" i="13" s="1"/>
  <c r="X178" i="13" s="1"/>
  <c r="P175" i="13"/>
  <c r="AU175" i="13"/>
  <c r="AU177" i="13" s="1"/>
  <c r="AU178" i="13" s="1"/>
  <c r="AM175" i="13"/>
  <c r="AM177" i="13" s="1"/>
  <c r="AM178" i="13" s="1"/>
  <c r="AE175" i="13"/>
  <c r="AE177" i="13" s="1"/>
  <c r="AE178" i="13" s="1"/>
  <c r="W175" i="13"/>
  <c r="W177" i="13" s="1"/>
  <c r="W178" i="13" s="1"/>
  <c r="O175" i="13"/>
  <c r="AT175" i="13"/>
  <c r="AT177" i="13" s="1"/>
  <c r="AT178" i="13" s="1"/>
  <c r="AL175" i="13"/>
  <c r="AL177" i="13" s="1"/>
  <c r="AL178" i="13" s="1"/>
  <c r="AD175" i="13"/>
  <c r="AD177" i="13" s="1"/>
  <c r="AD178" i="13" s="1"/>
  <c r="V175" i="13"/>
  <c r="V177" i="13" s="1"/>
  <c r="V178" i="13" s="1"/>
  <c r="N175" i="13"/>
  <c r="AS175" i="13"/>
  <c r="AS177" i="13" s="1"/>
  <c r="AS178" i="13" s="1"/>
  <c r="AK175" i="13"/>
  <c r="AK177" i="13" s="1"/>
  <c r="AK178" i="13" s="1"/>
  <c r="AC175" i="13"/>
  <c r="AC177" i="13" s="1"/>
  <c r="AC178" i="13" s="1"/>
  <c r="U175" i="13"/>
  <c r="U177" i="13" s="1"/>
  <c r="U178" i="13" s="1"/>
  <c r="M175" i="13"/>
  <c r="AR175" i="13"/>
  <c r="AR177" i="13" s="1"/>
  <c r="AR178" i="13" s="1"/>
  <c r="AJ175" i="13"/>
  <c r="AJ177" i="13" s="1"/>
  <c r="AJ178" i="13" s="1"/>
  <c r="AB175" i="13"/>
  <c r="AB177" i="13" s="1"/>
  <c r="AB178" i="13" s="1"/>
  <c r="T175" i="13"/>
  <c r="T177" i="13" s="1"/>
  <c r="T178" i="13" s="1"/>
  <c r="L169" i="13"/>
  <c r="L238" i="13" s="1"/>
  <c r="L269" i="13" s="1"/>
  <c r="J167" i="13"/>
  <c r="AQ175" i="13"/>
  <c r="AQ177" i="13" s="1"/>
  <c r="AQ178" i="13" s="1"/>
  <c r="AI175" i="13"/>
  <c r="AI177" i="13" s="1"/>
  <c r="AI178" i="13" s="1"/>
  <c r="AA175" i="13"/>
  <c r="AA177" i="13" s="1"/>
  <c r="AA178" i="13" s="1"/>
  <c r="S175" i="13"/>
  <c r="S177" i="13" s="1"/>
  <c r="S178" i="13" s="1"/>
  <c r="AP175" i="13"/>
  <c r="AP177" i="13" s="1"/>
  <c r="AP178" i="13" s="1"/>
  <c r="AH175" i="13"/>
  <c r="AH177" i="13" s="1"/>
  <c r="AH178" i="13" s="1"/>
  <c r="Z175" i="13"/>
  <c r="Z177" i="13" s="1"/>
  <c r="Z178" i="13" s="1"/>
  <c r="R175" i="13"/>
  <c r="R177" i="13" s="1"/>
  <c r="R178" i="13" s="1"/>
  <c r="AL185" i="12"/>
  <c r="AL187" i="12" s="1"/>
  <c r="AM183" i="12" s="1"/>
  <c r="AJ135" i="12"/>
  <c r="AS107" i="12"/>
  <c r="AS108" i="12" s="1"/>
  <c r="AT104" i="12" s="1"/>
  <c r="AJ164" i="12"/>
  <c r="AJ165" i="12" s="1"/>
  <c r="AJ157" i="12"/>
  <c r="AJ158" i="12" s="1"/>
  <c r="AJ170" i="12"/>
  <c r="AJ173" i="12"/>
  <c r="AJ174" i="12" s="1"/>
  <c r="AJ175" i="12" s="1"/>
  <c r="AK96" i="12"/>
  <c r="AK99" i="12" s="1"/>
  <c r="AD718" i="17" l="1"/>
  <c r="F356" i="17"/>
  <c r="F369" i="17" s="1"/>
  <c r="V371" i="17" s="1"/>
  <c r="V374" i="17" s="1"/>
  <c r="V375" i="17" s="1"/>
  <c r="V380" i="17" s="1"/>
  <c r="V385" i="17" s="1"/>
  <c r="AD682" i="17"/>
  <c r="AE678" i="17" s="1"/>
  <c r="AE679" i="17" s="1"/>
  <c r="AH63" i="17"/>
  <c r="AH56" i="17"/>
  <c r="AH57" i="17" s="1"/>
  <c r="AG72" i="17"/>
  <c r="AG79" i="17" s="1"/>
  <c r="AG56" i="17"/>
  <c r="AG57" i="17" s="1"/>
  <c r="AE63" i="17"/>
  <c r="AE56" i="17"/>
  <c r="AE57" i="17" s="1"/>
  <c r="AF72" i="17"/>
  <c r="AF79" i="17" s="1"/>
  <c r="AF56" i="17"/>
  <c r="AF57" i="17" s="1"/>
  <c r="AF295" i="1"/>
  <c r="AF101" i="17" s="1"/>
  <c r="AF103" i="17" s="1"/>
  <c r="AF487" i="17" s="1"/>
  <c r="AE295" i="1"/>
  <c r="AE101" i="17" s="1"/>
  <c r="AE103" i="17" s="1"/>
  <c r="AE487" i="17" s="1"/>
  <c r="AG295" i="1"/>
  <c r="AG101" i="17" s="1"/>
  <c r="AG103" i="17" s="1"/>
  <c r="AH72" i="17"/>
  <c r="AH79" i="17" s="1"/>
  <c r="AG63" i="17"/>
  <c r="AG64" i="17" s="1"/>
  <c r="AF63" i="17"/>
  <c r="AF64" i="17" s="1"/>
  <c r="AI40" i="17"/>
  <c r="AI42" i="17" s="1"/>
  <c r="AE72" i="17"/>
  <c r="AE79" i="17" s="1"/>
  <c r="AJ231" i="1"/>
  <c r="AJ486" i="17" s="1"/>
  <c r="AK100" i="12"/>
  <c r="AK121" i="12"/>
  <c r="AK123" i="12" s="1"/>
  <c r="AK125" i="12" s="1"/>
  <c r="AK130" i="12" s="1"/>
  <c r="AK132" i="12" s="1"/>
  <c r="AL131" i="12" s="1"/>
  <c r="M177" i="13"/>
  <c r="M178" i="13" s="1"/>
  <c r="M187" i="13"/>
  <c r="M188" i="13" s="1"/>
  <c r="O177" i="13"/>
  <c r="O178" i="13" s="1"/>
  <c r="O187" i="13"/>
  <c r="O188" i="13" s="1"/>
  <c r="J169" i="13"/>
  <c r="J238" i="13" s="1"/>
  <c r="L175" i="13"/>
  <c r="N187" i="13"/>
  <c r="N188" i="13" s="1"/>
  <c r="N177" i="13"/>
  <c r="N178" i="13" s="1"/>
  <c r="P177" i="13"/>
  <c r="P178" i="13" s="1"/>
  <c r="P187" i="13"/>
  <c r="P188" i="13" s="1"/>
  <c r="AM185" i="12"/>
  <c r="AM187" i="12" s="1"/>
  <c r="AN183" i="12" s="1"/>
  <c r="AK97" i="12"/>
  <c r="AL93" i="12" s="1"/>
  <c r="AL96" i="12" s="1"/>
  <c r="AL99" i="12" s="1"/>
  <c r="AT107" i="12"/>
  <c r="AT108" i="12" s="1"/>
  <c r="AU104" i="12" s="1"/>
  <c r="Y371" i="17" l="1"/>
  <c r="Y374" i="17" s="1"/>
  <c r="Y375" i="17" s="1"/>
  <c r="Y380" i="17" s="1"/>
  <c r="Y385" i="17" s="1"/>
  <c r="X371" i="17"/>
  <c r="X374" i="17" s="1"/>
  <c r="X375" i="17" s="1"/>
  <c r="X380" i="17" s="1"/>
  <c r="X385" i="17" s="1"/>
  <c r="AP360" i="17"/>
  <c r="AP362" i="17" s="1"/>
  <c r="AP365" i="17" s="1"/>
  <c r="AP96" i="26" s="1"/>
  <c r="AB371" i="17"/>
  <c r="AB374" i="17" s="1"/>
  <c r="AB375" i="17" s="1"/>
  <c r="AB380" i="17" s="1"/>
  <c r="AB385" i="17" s="1"/>
  <c r="AO371" i="17"/>
  <c r="AO374" i="17" s="1"/>
  <c r="AO375" i="17" s="1"/>
  <c r="AO380" i="17" s="1"/>
  <c r="AO385" i="17" s="1"/>
  <c r="AH371" i="17"/>
  <c r="AH374" i="17" s="1"/>
  <c r="AH375" i="17" s="1"/>
  <c r="AH380" i="17" s="1"/>
  <c r="AH385" i="17" s="1"/>
  <c r="AS360" i="17"/>
  <c r="AS362" i="17" s="1"/>
  <c r="AS365" i="17" s="1"/>
  <c r="Z360" i="17"/>
  <c r="Z362" i="17" s="1"/>
  <c r="Z365" i="17" s="1"/>
  <c r="R360" i="17"/>
  <c r="R362" i="17" s="1"/>
  <c r="R365" i="17" s="1"/>
  <c r="U360" i="17"/>
  <c r="U362" i="17" s="1"/>
  <c r="U365" i="17" s="1"/>
  <c r="U495" i="17" s="1"/>
  <c r="O360" i="17"/>
  <c r="O362" i="17" s="1"/>
  <c r="O365" i="17" s="1"/>
  <c r="O495" i="17" s="1"/>
  <c r="AD371" i="17"/>
  <c r="AD374" i="17" s="1"/>
  <c r="AD375" i="17" s="1"/>
  <c r="AD380" i="17" s="1"/>
  <c r="AD385" i="17" s="1"/>
  <c r="W371" i="17"/>
  <c r="W374" i="17" s="1"/>
  <c r="W375" i="17" s="1"/>
  <c r="W380" i="17" s="1"/>
  <c r="W385" i="17" s="1"/>
  <c r="AM371" i="17"/>
  <c r="AM374" i="17" s="1"/>
  <c r="AM375" i="17" s="1"/>
  <c r="AM380" i="17" s="1"/>
  <c r="AM385" i="17" s="1"/>
  <c r="AL360" i="17"/>
  <c r="AL362" i="17" s="1"/>
  <c r="AL365" i="17" s="1"/>
  <c r="AJ360" i="17"/>
  <c r="AJ362" i="17" s="1"/>
  <c r="AJ365" i="17" s="1"/>
  <c r="AA360" i="17"/>
  <c r="AA362" i="17" s="1"/>
  <c r="AA365" i="17" s="1"/>
  <c r="AA63" i="37" s="1"/>
  <c r="V360" i="17"/>
  <c r="V362" i="17" s="1"/>
  <c r="V365" i="17" s="1"/>
  <c r="AI360" i="17"/>
  <c r="AI362" i="17" s="1"/>
  <c r="AI365" i="17" s="1"/>
  <c r="AI80" i="37" s="1"/>
  <c r="X360" i="17"/>
  <c r="X362" i="17" s="1"/>
  <c r="X365" i="17" s="1"/>
  <c r="X96" i="26" s="1"/>
  <c r="AG371" i="17"/>
  <c r="AG374" i="17" s="1"/>
  <c r="AG375" i="17" s="1"/>
  <c r="AG380" i="17" s="1"/>
  <c r="AG385" i="17" s="1"/>
  <c r="AR371" i="17"/>
  <c r="AR374" i="17" s="1"/>
  <c r="AR375" i="17" s="1"/>
  <c r="AR380" i="17" s="1"/>
  <c r="AR385" i="17" s="1"/>
  <c r="L360" i="17"/>
  <c r="L362" i="17" s="1"/>
  <c r="L365" i="17" s="1"/>
  <c r="AC360" i="17"/>
  <c r="AC362" i="17" s="1"/>
  <c r="AC365" i="17" s="1"/>
  <c r="AT360" i="17"/>
  <c r="AT362" i="17" s="1"/>
  <c r="AT365" i="17" s="1"/>
  <c r="AK360" i="17"/>
  <c r="AK362" i="17" s="1"/>
  <c r="AK365" i="17" s="1"/>
  <c r="AK384" i="17" s="1"/>
  <c r="AF371" i="17"/>
  <c r="AF374" i="17" s="1"/>
  <c r="AF375" i="17" s="1"/>
  <c r="AF380" i="17" s="1"/>
  <c r="AF385" i="17" s="1"/>
  <c r="AL371" i="17"/>
  <c r="AL374" i="17" s="1"/>
  <c r="AL375" i="17" s="1"/>
  <c r="AL380" i="17" s="1"/>
  <c r="AL385" i="17" s="1"/>
  <c r="AU371" i="17"/>
  <c r="AU374" i="17" s="1"/>
  <c r="AU375" i="17" s="1"/>
  <c r="AU380" i="17" s="1"/>
  <c r="AU385" i="17" s="1"/>
  <c r="AV371" i="17"/>
  <c r="AV374" i="17" s="1"/>
  <c r="AV375" i="17" s="1"/>
  <c r="AV380" i="17" s="1"/>
  <c r="AV385" i="17" s="1"/>
  <c r="AH360" i="17"/>
  <c r="AH362" i="17" s="1"/>
  <c r="AH365" i="17" s="1"/>
  <c r="AN360" i="17"/>
  <c r="AN362" i="17" s="1"/>
  <c r="AN365" i="17" s="1"/>
  <c r="S360" i="17"/>
  <c r="S362" i="17" s="1"/>
  <c r="S365" i="17" s="1"/>
  <c r="Z371" i="17"/>
  <c r="Z374" i="17" s="1"/>
  <c r="Z375" i="17" s="1"/>
  <c r="Z380" i="17" s="1"/>
  <c r="Z385" i="17" s="1"/>
  <c r="AQ371" i="17"/>
  <c r="AQ374" i="17" s="1"/>
  <c r="AQ375" i="17" s="1"/>
  <c r="AQ380" i="17" s="1"/>
  <c r="AQ385" i="17" s="1"/>
  <c r="AQ360" i="17"/>
  <c r="AQ362" i="17" s="1"/>
  <c r="AQ365" i="17" s="1"/>
  <c r="AM360" i="17"/>
  <c r="AM362" i="17" s="1"/>
  <c r="AM365" i="17" s="1"/>
  <c r="T360" i="17"/>
  <c r="T362" i="17" s="1"/>
  <c r="T365" i="17" s="1"/>
  <c r="AN371" i="17"/>
  <c r="AN374" i="17" s="1"/>
  <c r="AN375" i="17" s="1"/>
  <c r="AN380" i="17" s="1"/>
  <c r="AN385" i="17" s="1"/>
  <c r="AO360" i="17"/>
  <c r="AO362" i="17" s="1"/>
  <c r="AO365" i="17" s="1"/>
  <c r="N360" i="17"/>
  <c r="N362" i="17" s="1"/>
  <c r="N365" i="17" s="1"/>
  <c r="N495" i="17" s="1"/>
  <c r="AE371" i="17"/>
  <c r="AE374" i="17" s="1"/>
  <c r="AE375" i="17" s="1"/>
  <c r="AE380" i="17" s="1"/>
  <c r="AE385" i="17" s="1"/>
  <c r="AT371" i="17"/>
  <c r="AT374" i="17" s="1"/>
  <c r="AT375" i="17" s="1"/>
  <c r="AT380" i="17" s="1"/>
  <c r="AT385" i="17" s="1"/>
  <c r="AV360" i="17"/>
  <c r="AV362" i="17" s="1"/>
  <c r="AV365" i="17" s="1"/>
  <c r="AG360" i="17"/>
  <c r="AG362" i="17" s="1"/>
  <c r="AG365" i="17" s="1"/>
  <c r="AA371" i="17"/>
  <c r="AA374" i="17" s="1"/>
  <c r="AA375" i="17" s="1"/>
  <c r="AA380" i="17" s="1"/>
  <c r="AA385" i="17" s="1"/>
  <c r="M360" i="17"/>
  <c r="M362" i="17" s="1"/>
  <c r="M365" i="17" s="1"/>
  <c r="AR360" i="17"/>
  <c r="AR362" i="17" s="1"/>
  <c r="AR365" i="17" s="1"/>
  <c r="Q360" i="17"/>
  <c r="Q362" i="17" s="1"/>
  <c r="Q365" i="17" s="1"/>
  <c r="P360" i="17"/>
  <c r="P362" i="17" s="1"/>
  <c r="P365" i="17" s="1"/>
  <c r="AE360" i="17"/>
  <c r="AE362" i="17" s="1"/>
  <c r="AE365" i="17" s="1"/>
  <c r="AS371" i="17"/>
  <c r="AS374" i="17" s="1"/>
  <c r="AS375" i="17" s="1"/>
  <c r="AS380" i="17" s="1"/>
  <c r="AS385" i="17" s="1"/>
  <c r="AF360" i="17"/>
  <c r="AF362" i="17" s="1"/>
  <c r="AF365" i="17" s="1"/>
  <c r="AK371" i="17"/>
  <c r="AK374" i="17" s="1"/>
  <c r="AK375" i="17" s="1"/>
  <c r="AK380" i="17" s="1"/>
  <c r="AK385" i="17" s="1"/>
  <c r="AB360" i="17"/>
  <c r="AB362" i="17" s="1"/>
  <c r="AB365" i="17" s="1"/>
  <c r="AU360" i="17"/>
  <c r="AU362" i="17" s="1"/>
  <c r="AU365" i="17" s="1"/>
  <c r="Y360" i="17"/>
  <c r="Y362" i="17" s="1"/>
  <c r="Y365" i="17" s="1"/>
  <c r="AJ371" i="17"/>
  <c r="AJ374" i="17" s="1"/>
  <c r="AJ375" i="17" s="1"/>
  <c r="AJ380" i="17" s="1"/>
  <c r="AJ385" i="17" s="1"/>
  <c r="U371" i="17"/>
  <c r="U374" i="17" s="1"/>
  <c r="U375" i="17" s="1"/>
  <c r="U380" i="17" s="1"/>
  <c r="U385" i="17" s="1"/>
  <c r="W360" i="17"/>
  <c r="W362" i="17" s="1"/>
  <c r="W365" i="17" s="1"/>
  <c r="AC371" i="17"/>
  <c r="AC374" i="17" s="1"/>
  <c r="AC375" i="17" s="1"/>
  <c r="AC380" i="17" s="1"/>
  <c r="AC385" i="17" s="1"/>
  <c r="AI371" i="17"/>
  <c r="AI374" i="17" s="1"/>
  <c r="AI375" i="17" s="1"/>
  <c r="AI380" i="17" s="1"/>
  <c r="AI385" i="17" s="1"/>
  <c r="AD360" i="17"/>
  <c r="AD362" i="17" s="1"/>
  <c r="AD365" i="17" s="1"/>
  <c r="AP371" i="17"/>
  <c r="AP374" i="17" s="1"/>
  <c r="AP375" i="17" s="1"/>
  <c r="AP380" i="17" s="1"/>
  <c r="AP385" i="17" s="1"/>
  <c r="AE681" i="17"/>
  <c r="AG124" i="17"/>
  <c r="AG125" i="17" s="1"/>
  <c r="AG487" i="17"/>
  <c r="AG80" i="17"/>
  <c r="AG86" i="17"/>
  <c r="AF84" i="17"/>
  <c r="AE84" i="17"/>
  <c r="AG84" i="17"/>
  <c r="AH84" i="17"/>
  <c r="AE112" i="17"/>
  <c r="AE114" i="17" s="1"/>
  <c r="AE124" i="17"/>
  <c r="AF147" i="17"/>
  <c r="AF124" i="17"/>
  <c r="AE64" i="17"/>
  <c r="AE65" i="17" s="1"/>
  <c r="AH64" i="17"/>
  <c r="AH85" i="17" s="1"/>
  <c r="AI63" i="17"/>
  <c r="AI64" i="17" s="1"/>
  <c r="AI85" i="17" s="1"/>
  <c r="AI56" i="17"/>
  <c r="AI57" i="17" s="1"/>
  <c r="AF130" i="17"/>
  <c r="AF132" i="17" s="1"/>
  <c r="AF138" i="17" s="1"/>
  <c r="AF145" i="17" s="1"/>
  <c r="AE147" i="17"/>
  <c r="AE130" i="17"/>
  <c r="AE132" i="17" s="1"/>
  <c r="AE138" i="17" s="1"/>
  <c r="AF117" i="17"/>
  <c r="AF112" i="17"/>
  <c r="AF114" i="17" s="1"/>
  <c r="AE117" i="17"/>
  <c r="AH86" i="17"/>
  <c r="AH91" i="17" s="1"/>
  <c r="AG65" i="17"/>
  <c r="AE80" i="17"/>
  <c r="AF85" i="17"/>
  <c r="AG130" i="17"/>
  <c r="AG132" i="17" s="1"/>
  <c r="AG138" i="17" s="1"/>
  <c r="AG145" i="17" s="1"/>
  <c r="AG147" i="17"/>
  <c r="AG112" i="17"/>
  <c r="AG114" i="17" s="1"/>
  <c r="AG117" i="17"/>
  <c r="AH295" i="1"/>
  <c r="AH101" i="17" s="1"/>
  <c r="AH103" i="17" s="1"/>
  <c r="AF65" i="17"/>
  <c r="AI72" i="17"/>
  <c r="AI79" i="17" s="1"/>
  <c r="AG85" i="17"/>
  <c r="AE86" i="17"/>
  <c r="AE91" i="17" s="1"/>
  <c r="AJ40" i="17"/>
  <c r="AJ42" i="17" s="1"/>
  <c r="AK231" i="1"/>
  <c r="AK486" i="17" s="1"/>
  <c r="AL100" i="12"/>
  <c r="AL121" i="12"/>
  <c r="AL123" i="12" s="1"/>
  <c r="AL125" i="12" s="1"/>
  <c r="AL130" i="12" s="1"/>
  <c r="AL132" i="12" s="1"/>
  <c r="AM131" i="12" s="1"/>
  <c r="L187" i="13"/>
  <c r="L177" i="13"/>
  <c r="J175" i="13"/>
  <c r="AN185" i="12"/>
  <c r="AN187" i="12" s="1"/>
  <c r="AO183" i="12" s="1"/>
  <c r="AK135" i="12"/>
  <c r="AU107" i="12"/>
  <c r="AU108" i="12" s="1"/>
  <c r="AV104" i="12" s="1"/>
  <c r="AK173" i="12"/>
  <c r="AK174" i="12" s="1"/>
  <c r="AK175" i="12" s="1"/>
  <c r="AK164" i="12"/>
  <c r="AK165" i="12" s="1"/>
  <c r="AK157" i="12"/>
  <c r="AK158" i="12" s="1"/>
  <c r="AK170" i="12"/>
  <c r="AL97" i="12"/>
  <c r="AM93" i="12" s="1"/>
  <c r="AE718" i="17" l="1"/>
  <c r="AP80" i="37"/>
  <c r="O96" i="26"/>
  <c r="AK390" i="17"/>
  <c r="U96" i="26"/>
  <c r="AV96" i="26"/>
  <c r="R80" i="37"/>
  <c r="X495" i="17"/>
  <c r="AV495" i="17"/>
  <c r="X63" i="37"/>
  <c r="AU384" i="17"/>
  <c r="AU390" i="17" s="1"/>
  <c r="AJ384" i="17"/>
  <c r="AJ390" i="17" s="1"/>
  <c r="AD384" i="17"/>
  <c r="AD390" i="17" s="1"/>
  <c r="AB384" i="17"/>
  <c r="AB390" i="17" s="1"/>
  <c r="M384" i="17"/>
  <c r="M390" i="17" s="1"/>
  <c r="AH384" i="17"/>
  <c r="AH390" i="17" s="1"/>
  <c r="L384" i="17"/>
  <c r="L390" i="17" s="1"/>
  <c r="AL384" i="17"/>
  <c r="AL390" i="17" s="1"/>
  <c r="AS384" i="17"/>
  <c r="AS390" i="17" s="1"/>
  <c r="AR96" i="26"/>
  <c r="AR384" i="17"/>
  <c r="AR390" i="17" s="1"/>
  <c r="T384" i="17"/>
  <c r="T390" i="17" s="1"/>
  <c r="AO384" i="17"/>
  <c r="AO390" i="17" s="1"/>
  <c r="AF96" i="26"/>
  <c r="AF384" i="17"/>
  <c r="AF390" i="17" s="1"/>
  <c r="AG384" i="17"/>
  <c r="AG390" i="17" s="1"/>
  <c r="AM384" i="17"/>
  <c r="AM390" i="17" s="1"/>
  <c r="AC384" i="17"/>
  <c r="AC390" i="17" s="1"/>
  <c r="W80" i="37"/>
  <c r="W384" i="17"/>
  <c r="W390" i="17" s="1"/>
  <c r="AV384" i="17"/>
  <c r="AV390" i="17" s="1"/>
  <c r="AQ384" i="17"/>
  <c r="AQ390" i="17" s="1"/>
  <c r="X80" i="37"/>
  <c r="X384" i="17"/>
  <c r="X390" i="17" s="1"/>
  <c r="AN80" i="37"/>
  <c r="AN384" i="17"/>
  <c r="AN390" i="17" s="1"/>
  <c r="AE384" i="17"/>
  <c r="AE390" i="17" s="1"/>
  <c r="AI96" i="26"/>
  <c r="AI384" i="17"/>
  <c r="AI390" i="17" s="1"/>
  <c r="O80" i="37"/>
  <c r="O384" i="17"/>
  <c r="O390" i="17" s="1"/>
  <c r="AP384" i="17"/>
  <c r="AP390" i="17" s="1"/>
  <c r="Z63" i="37"/>
  <c r="Z384" i="17"/>
  <c r="Z390" i="17" s="1"/>
  <c r="P63" i="37"/>
  <c r="P384" i="17"/>
  <c r="P390" i="17" s="1"/>
  <c r="V495" i="17"/>
  <c r="V384" i="17"/>
  <c r="V390" i="17" s="1"/>
  <c r="U384" i="17"/>
  <c r="U390" i="17" s="1"/>
  <c r="Y384" i="17"/>
  <c r="Y390" i="17" s="1"/>
  <c r="Q80" i="37"/>
  <c r="Q384" i="17"/>
  <c r="Q390" i="17" s="1"/>
  <c r="N384" i="17"/>
  <c r="N390" i="17" s="1"/>
  <c r="S80" i="37"/>
  <c r="S384" i="17"/>
  <c r="S390" i="17" s="1"/>
  <c r="AT80" i="37"/>
  <c r="AT384" i="17"/>
  <c r="AT390" i="17" s="1"/>
  <c r="AA384" i="17"/>
  <c r="AA390" i="17" s="1"/>
  <c r="R384" i="17"/>
  <c r="R390" i="17" s="1"/>
  <c r="N96" i="26"/>
  <c r="Q96" i="26"/>
  <c r="AV80" i="37"/>
  <c r="AI495" i="17"/>
  <c r="O63" i="37"/>
  <c r="AP63" i="37"/>
  <c r="AP495" i="17"/>
  <c r="AI63" i="37"/>
  <c r="AM63" i="37"/>
  <c r="W96" i="26"/>
  <c r="Z96" i="26"/>
  <c r="AN96" i="26"/>
  <c r="AV63" i="37"/>
  <c r="W63" i="37"/>
  <c r="N80" i="37"/>
  <c r="AF80" i="37"/>
  <c r="S495" i="17"/>
  <c r="R495" i="17"/>
  <c r="R63" i="37"/>
  <c r="R96" i="26"/>
  <c r="AM80" i="37"/>
  <c r="AG80" i="37"/>
  <c r="AA80" i="37"/>
  <c r="U63" i="37"/>
  <c r="V80" i="37"/>
  <c r="P80" i="37"/>
  <c r="U80" i="37"/>
  <c r="P495" i="17"/>
  <c r="V63" i="37"/>
  <c r="P96" i="26"/>
  <c r="V96" i="26"/>
  <c r="AE63" i="37"/>
  <c r="Z495" i="17"/>
  <c r="AJ63" i="37"/>
  <c r="Z80" i="37"/>
  <c r="AE495" i="17"/>
  <c r="AL80" i="37"/>
  <c r="M495" i="17"/>
  <c r="AL63" i="37"/>
  <c r="L96" i="26"/>
  <c r="M96" i="26"/>
  <c r="T495" i="17"/>
  <c r="L495" i="17"/>
  <c r="M63" i="37"/>
  <c r="T80" i="37"/>
  <c r="AL96" i="26"/>
  <c r="AS495" i="17"/>
  <c r="AS80" i="37"/>
  <c r="J365" i="17"/>
  <c r="L80" i="37"/>
  <c r="AB495" i="17"/>
  <c r="AD80" i="37"/>
  <c r="L63" i="37"/>
  <c r="AH63" i="37"/>
  <c r="AB96" i="26"/>
  <c r="AS63" i="37"/>
  <c r="AS96" i="26"/>
  <c r="M80" i="37"/>
  <c r="AH80" i="37"/>
  <c r="AL495" i="17"/>
  <c r="J380" i="17"/>
  <c r="J385" i="17" s="1"/>
  <c r="AR495" i="17"/>
  <c r="AR63" i="37"/>
  <c r="AU80" i="37"/>
  <c r="AJ96" i="26"/>
  <c r="AA96" i="26"/>
  <c r="AO80" i="37"/>
  <c r="AU96" i="26"/>
  <c r="AC80" i="37"/>
  <c r="AR80" i="37"/>
  <c r="Q63" i="37"/>
  <c r="AD63" i="37"/>
  <c r="AD495" i="17"/>
  <c r="AD96" i="26"/>
  <c r="AB80" i="37"/>
  <c r="AB63" i="37"/>
  <c r="AH495" i="17"/>
  <c r="AH96" i="26"/>
  <c r="AC96" i="26"/>
  <c r="AC495" i="17"/>
  <c r="N63" i="37"/>
  <c r="AG495" i="17"/>
  <c r="AC63" i="37"/>
  <c r="T96" i="26"/>
  <c r="T63" i="37"/>
  <c r="AN495" i="17"/>
  <c r="AU63" i="37"/>
  <c r="AG63" i="37"/>
  <c r="AA495" i="17"/>
  <c r="AO63" i="37"/>
  <c r="AO96" i="26"/>
  <c r="Y80" i="37"/>
  <c r="AF63" i="37"/>
  <c r="AM495" i="17"/>
  <c r="W495" i="17"/>
  <c r="AQ96" i="26"/>
  <c r="AQ80" i="37"/>
  <c r="AQ495" i="17"/>
  <c r="AQ63" i="37"/>
  <c r="AJ80" i="37"/>
  <c r="AN63" i="37"/>
  <c r="Q495" i="17"/>
  <c r="AM96" i="26"/>
  <c r="AE96" i="26"/>
  <c r="AE80" i="37"/>
  <c r="AG96" i="26"/>
  <c r="AO495" i="17"/>
  <c r="S96" i="26"/>
  <c r="AF495" i="17"/>
  <c r="AJ495" i="17"/>
  <c r="S63" i="37"/>
  <c r="AK495" i="17"/>
  <c r="AK63" i="37"/>
  <c r="AK96" i="26"/>
  <c r="AK80" i="37"/>
  <c r="AU495" i="17"/>
  <c r="Y96" i="26"/>
  <c r="Y495" i="17"/>
  <c r="Y63" i="37"/>
  <c r="AT96" i="26"/>
  <c r="AT63" i="37"/>
  <c r="AT495" i="17"/>
  <c r="AE701" i="17"/>
  <c r="AE682" i="17"/>
  <c r="AF678" i="17" s="1"/>
  <c r="AF679" i="17" s="1"/>
  <c r="AH124" i="17"/>
  <c r="AH125" i="17" s="1"/>
  <c r="AH487" i="17"/>
  <c r="AH80" i="17"/>
  <c r="AH13" i="38"/>
  <c r="AH508" i="17"/>
  <c r="AE13" i="38"/>
  <c r="AE508" i="17"/>
  <c r="AI65" i="17"/>
  <c r="AG91" i="17"/>
  <c r="AH172" i="17"/>
  <c r="AH174" i="17" s="1"/>
  <c r="AF80" i="17"/>
  <c r="AI84" i="17"/>
  <c r="AG126" i="17"/>
  <c r="AG153" i="17"/>
  <c r="AE145" i="17"/>
  <c r="AF125" i="17"/>
  <c r="AF148" i="17"/>
  <c r="AE125" i="17"/>
  <c r="AF86" i="17"/>
  <c r="AF91" i="17" s="1"/>
  <c r="AE85" i="17"/>
  <c r="AH65" i="17"/>
  <c r="AJ63" i="17"/>
  <c r="AJ56" i="17"/>
  <c r="AJ57" i="17" s="1"/>
  <c r="AF154" i="17"/>
  <c r="AE54" i="26"/>
  <c r="AE172" i="17"/>
  <c r="AE174" i="17" s="1"/>
  <c r="AG154" i="17"/>
  <c r="AH54" i="26"/>
  <c r="AI86" i="17"/>
  <c r="AI91" i="17" s="1"/>
  <c r="AG148" i="17"/>
  <c r="AH130" i="17"/>
  <c r="AH132" i="17" s="1"/>
  <c r="AH138" i="17" s="1"/>
  <c r="AH145" i="17" s="1"/>
  <c r="AH147" i="17"/>
  <c r="AH112" i="17"/>
  <c r="AH114" i="17" s="1"/>
  <c r="AH117" i="17"/>
  <c r="AI295" i="1"/>
  <c r="AI101" i="17" s="1"/>
  <c r="AI103" i="17" s="1"/>
  <c r="AJ72" i="17"/>
  <c r="AJ79" i="17" s="1"/>
  <c r="AK40" i="17"/>
  <c r="AK42" i="17" s="1"/>
  <c r="AL231" i="1"/>
  <c r="AL486" i="17" s="1"/>
  <c r="L178" i="13"/>
  <c r="L180" i="13" s="1"/>
  <c r="M176" i="13" s="1"/>
  <c r="J177" i="13"/>
  <c r="J187" i="13"/>
  <c r="L188" i="13"/>
  <c r="J188" i="13" s="1"/>
  <c r="AO185" i="12"/>
  <c r="AO187" i="12" s="1"/>
  <c r="AP183" i="12" s="1"/>
  <c r="AL135" i="12"/>
  <c r="AV107" i="12"/>
  <c r="J107" i="12" s="1"/>
  <c r="AL164" i="12"/>
  <c r="AL165" i="12" s="1"/>
  <c r="AL157" i="12"/>
  <c r="AL158" i="12" s="1"/>
  <c r="AL173" i="12"/>
  <c r="AL174" i="12" s="1"/>
  <c r="AL175" i="12" s="1"/>
  <c r="AM96" i="12"/>
  <c r="AM99" i="12" s="1"/>
  <c r="Y557" i="17" l="1"/>
  <c r="Y607" i="17"/>
  <c r="Y450" i="17"/>
  <c r="Y596" i="17"/>
  <c r="Y619" i="17"/>
  <c r="R596" i="17"/>
  <c r="R619" i="17"/>
  <c r="R557" i="17"/>
  <c r="R607" i="17"/>
  <c r="R450" i="17"/>
  <c r="AM450" i="17"/>
  <c r="AM596" i="17"/>
  <c r="AM619" i="17"/>
  <c r="AM557" i="17"/>
  <c r="AM607" i="17"/>
  <c r="AS450" i="17"/>
  <c r="AS596" i="17"/>
  <c r="AS619" i="17"/>
  <c r="AS557" i="17"/>
  <c r="AS607" i="17"/>
  <c r="AU450" i="17"/>
  <c r="AU596" i="17"/>
  <c r="AU619" i="17"/>
  <c r="AU557" i="17"/>
  <c r="AU607" i="17"/>
  <c r="AT450" i="17"/>
  <c r="AT596" i="17"/>
  <c r="AT619" i="17"/>
  <c r="AT557" i="17"/>
  <c r="AT607" i="17"/>
  <c r="U450" i="17"/>
  <c r="U596" i="17"/>
  <c r="U619" i="17"/>
  <c r="U557" i="17"/>
  <c r="U607" i="17"/>
  <c r="O450" i="17"/>
  <c r="O596" i="17"/>
  <c r="O619" i="17"/>
  <c r="O557" i="17"/>
  <c r="O607" i="17"/>
  <c r="AF450" i="17"/>
  <c r="AF596" i="17"/>
  <c r="AF619" i="17"/>
  <c r="AF557" i="17"/>
  <c r="AF607" i="17"/>
  <c r="L557" i="17"/>
  <c r="L607" i="17"/>
  <c r="L450" i="17"/>
  <c r="L596" i="17"/>
  <c r="L619" i="17"/>
  <c r="AL450" i="17"/>
  <c r="AL596" i="17"/>
  <c r="AL619" i="17"/>
  <c r="AL557" i="17"/>
  <c r="AL607" i="17"/>
  <c r="V557" i="17"/>
  <c r="V607" i="17"/>
  <c r="V450" i="17"/>
  <c r="V596" i="17"/>
  <c r="V619" i="17"/>
  <c r="AQ557" i="17"/>
  <c r="AQ607" i="17"/>
  <c r="AQ450" i="17"/>
  <c r="AQ596" i="17"/>
  <c r="AQ619" i="17"/>
  <c r="AH557" i="17"/>
  <c r="AH607" i="17"/>
  <c r="AH450" i="17"/>
  <c r="AH619" i="17"/>
  <c r="AH596" i="17"/>
  <c r="AG557" i="17"/>
  <c r="AG607" i="17"/>
  <c r="AG450" i="17"/>
  <c r="AG596" i="17"/>
  <c r="AG619" i="17"/>
  <c r="S557" i="17"/>
  <c r="S607" i="17"/>
  <c r="S450" i="17"/>
  <c r="S596" i="17"/>
  <c r="S619" i="17"/>
  <c r="AI557" i="17"/>
  <c r="AI607" i="17"/>
  <c r="AI450" i="17"/>
  <c r="AI596" i="17"/>
  <c r="AI619" i="17"/>
  <c r="AV450" i="17"/>
  <c r="AV596" i="17"/>
  <c r="AV619" i="17"/>
  <c r="AV557" i="17"/>
  <c r="AV607" i="17"/>
  <c r="AO557" i="17"/>
  <c r="AO607" i="17"/>
  <c r="AO450" i="17"/>
  <c r="AO596" i="17"/>
  <c r="AO619" i="17"/>
  <c r="M450" i="17"/>
  <c r="M596" i="17"/>
  <c r="M619" i="17"/>
  <c r="M557" i="17"/>
  <c r="M607" i="17"/>
  <c r="AP619" i="17"/>
  <c r="AP557" i="17"/>
  <c r="AP607" i="17"/>
  <c r="AP596" i="17"/>
  <c r="AP450" i="17"/>
  <c r="P450" i="17"/>
  <c r="P596" i="17"/>
  <c r="P619" i="17"/>
  <c r="P557" i="17"/>
  <c r="P607" i="17"/>
  <c r="W450" i="17"/>
  <c r="W596" i="17"/>
  <c r="W619" i="17"/>
  <c r="W557" i="17"/>
  <c r="W607" i="17"/>
  <c r="T557" i="17"/>
  <c r="T607" i="17"/>
  <c r="T450" i="17"/>
  <c r="T596" i="17"/>
  <c r="T619" i="17"/>
  <c r="AB557" i="17"/>
  <c r="AB607" i="17"/>
  <c r="AB450" i="17"/>
  <c r="AB596" i="17"/>
  <c r="AB619" i="17"/>
  <c r="X450" i="17"/>
  <c r="X596" i="17"/>
  <c r="X619" i="17"/>
  <c r="X557" i="17"/>
  <c r="X607" i="17"/>
  <c r="N557" i="17"/>
  <c r="N450" i="17"/>
  <c r="N596" i="17"/>
  <c r="N619" i="17"/>
  <c r="N607" i="17"/>
  <c r="AE450" i="17"/>
  <c r="AE596" i="17"/>
  <c r="AE619" i="17"/>
  <c r="AE557" i="17"/>
  <c r="AE607" i="17"/>
  <c r="AR557" i="17"/>
  <c r="AR607" i="17"/>
  <c r="AR450" i="17"/>
  <c r="AR596" i="17"/>
  <c r="AR619" i="17"/>
  <c r="AD450" i="17"/>
  <c r="AD596" i="17"/>
  <c r="AD619" i="17"/>
  <c r="AD607" i="17"/>
  <c r="AD557" i="17"/>
  <c r="AA557" i="17"/>
  <c r="AA607" i="17"/>
  <c r="AA450" i="17"/>
  <c r="AA596" i="17"/>
  <c r="AA619" i="17"/>
  <c r="Q557" i="17"/>
  <c r="Q607" i="17"/>
  <c r="Q450" i="17"/>
  <c r="Q596" i="17"/>
  <c r="Q619" i="17"/>
  <c r="Z450" i="17"/>
  <c r="Z557" i="17"/>
  <c r="Z607" i="17"/>
  <c r="Z596" i="17"/>
  <c r="Z619" i="17"/>
  <c r="AN450" i="17"/>
  <c r="AN596" i="17"/>
  <c r="AN619" i="17"/>
  <c r="AN557" i="17"/>
  <c r="AN607" i="17"/>
  <c r="AC450" i="17"/>
  <c r="AC596" i="17"/>
  <c r="AC619" i="17"/>
  <c r="AC557" i="17"/>
  <c r="AC607" i="17"/>
  <c r="AJ557" i="17"/>
  <c r="AJ607" i="17"/>
  <c r="AJ450" i="17"/>
  <c r="AJ596" i="17"/>
  <c r="AJ619" i="17"/>
  <c r="AK450" i="17"/>
  <c r="AK596" i="17"/>
  <c r="AK619" i="17"/>
  <c r="AK557" i="17"/>
  <c r="AK607" i="17"/>
  <c r="S835" i="17"/>
  <c r="S644" i="17"/>
  <c r="AC835" i="17"/>
  <c r="AC644" i="17"/>
  <c r="AO835" i="17"/>
  <c r="AO644" i="17"/>
  <c r="AL835" i="17"/>
  <c r="AL644" i="17"/>
  <c r="AJ835" i="17"/>
  <c r="AJ644" i="17"/>
  <c r="V835" i="17"/>
  <c r="V644" i="17"/>
  <c r="O835" i="17"/>
  <c r="O644" i="17"/>
  <c r="X835" i="17"/>
  <c r="X644" i="17"/>
  <c r="AU835" i="17"/>
  <c r="AU644" i="17"/>
  <c r="N835" i="17"/>
  <c r="N644" i="17"/>
  <c r="AM835" i="17"/>
  <c r="AM644" i="17"/>
  <c r="T835" i="17"/>
  <c r="T644" i="17"/>
  <c r="L835" i="17"/>
  <c r="L644" i="17"/>
  <c r="R835" i="17"/>
  <c r="R644" i="17"/>
  <c r="P835" i="17"/>
  <c r="P644" i="17"/>
  <c r="AI835" i="17"/>
  <c r="AI644" i="17"/>
  <c r="AQ835" i="17"/>
  <c r="AQ644" i="17"/>
  <c r="AH835" i="17"/>
  <c r="AH644" i="17"/>
  <c r="Q835" i="17"/>
  <c r="Q644" i="17"/>
  <c r="AV835" i="17"/>
  <c r="AV644" i="17"/>
  <c r="AG835" i="17"/>
  <c r="AG644" i="17"/>
  <c r="AR835" i="17"/>
  <c r="AR644" i="17"/>
  <c r="AA835" i="17"/>
  <c r="AA644" i="17"/>
  <c r="Z835" i="17"/>
  <c r="Z644" i="17"/>
  <c r="AE835" i="17"/>
  <c r="AE644" i="17"/>
  <c r="M835" i="17"/>
  <c r="M644" i="17"/>
  <c r="AT835" i="17"/>
  <c r="AT644" i="17"/>
  <c r="Y835" i="17"/>
  <c r="Y644" i="17"/>
  <c r="W835" i="17"/>
  <c r="W644" i="17"/>
  <c r="AF835" i="17"/>
  <c r="AF644" i="17"/>
  <c r="AS835" i="17"/>
  <c r="AS644" i="17"/>
  <c r="AB835" i="17"/>
  <c r="AB644" i="17"/>
  <c r="U835" i="17"/>
  <c r="U644" i="17"/>
  <c r="AP835" i="17"/>
  <c r="AP644" i="17"/>
  <c r="AN835" i="17"/>
  <c r="AN644" i="17"/>
  <c r="AD835" i="17"/>
  <c r="AD644" i="17"/>
  <c r="AK835" i="17"/>
  <c r="AK644" i="17"/>
  <c r="J384" i="17"/>
  <c r="J390" i="17" s="1"/>
  <c r="J80" i="37"/>
  <c r="J495" i="17"/>
  <c r="J63" i="37"/>
  <c r="J96" i="26"/>
  <c r="AF701" i="17"/>
  <c r="AI124" i="17"/>
  <c r="AI125" i="17" s="1"/>
  <c r="AI487" i="17"/>
  <c r="AI80" i="17"/>
  <c r="AG13" i="38"/>
  <c r="AG508" i="17"/>
  <c r="AI13" i="38"/>
  <c r="AI508" i="17"/>
  <c r="AF13" i="38"/>
  <c r="AF508" i="17"/>
  <c r="AE822" i="17"/>
  <c r="AH822" i="17"/>
  <c r="AH17" i="38" s="1"/>
  <c r="AG172" i="17"/>
  <c r="AG174" i="17" s="1"/>
  <c r="AG54" i="26"/>
  <c r="AH187" i="17"/>
  <c r="AH138" i="26"/>
  <c r="AH92" i="26"/>
  <c r="AI172" i="17"/>
  <c r="AI174" i="17" s="1"/>
  <c r="AJ84" i="17"/>
  <c r="AE154" i="17"/>
  <c r="AF126" i="17"/>
  <c r="AF153" i="17"/>
  <c r="AH126" i="17"/>
  <c r="AH153" i="17"/>
  <c r="AE126" i="17"/>
  <c r="AE153" i="17"/>
  <c r="AE148" i="17"/>
  <c r="AF172" i="17"/>
  <c r="AF174" i="17" s="1"/>
  <c r="AF54" i="26"/>
  <c r="AJ64" i="17"/>
  <c r="AJ85" i="17" s="1"/>
  <c r="AK72" i="17"/>
  <c r="AK79" i="17" s="1"/>
  <c r="AK56" i="17"/>
  <c r="AK57" i="17" s="1"/>
  <c r="AE187" i="17"/>
  <c r="AE138" i="26"/>
  <c r="AE92" i="26"/>
  <c r="AI54" i="26"/>
  <c r="AH154" i="17"/>
  <c r="AJ80" i="17"/>
  <c r="AH148" i="17"/>
  <c r="AI130" i="17"/>
  <c r="AI132" i="17" s="1"/>
  <c r="AI138" i="17" s="1"/>
  <c r="AI145" i="17" s="1"/>
  <c r="AI147" i="17"/>
  <c r="AI112" i="17"/>
  <c r="AI114" i="17" s="1"/>
  <c r="AI117" i="17"/>
  <c r="AJ86" i="17"/>
  <c r="AJ91" i="17" s="1"/>
  <c r="AJ295" i="1"/>
  <c r="AJ101" i="17" s="1"/>
  <c r="AJ103" i="17" s="1"/>
  <c r="AK63" i="17"/>
  <c r="AK64" i="17" s="1"/>
  <c r="AL40" i="17"/>
  <c r="AL42" i="17" s="1"/>
  <c r="AM231" i="1"/>
  <c r="AM486" i="17" s="1"/>
  <c r="AM100" i="12"/>
  <c r="AM121" i="12"/>
  <c r="AM123" i="12" s="1"/>
  <c r="AM125" i="12" s="1"/>
  <c r="AM130" i="12" s="1"/>
  <c r="AM132" i="12" s="1"/>
  <c r="AN131" i="12" s="1"/>
  <c r="L190" i="13"/>
  <c r="M186" i="13" s="1"/>
  <c r="M189" i="13" s="1"/>
  <c r="M190" i="13" s="1"/>
  <c r="N186" i="13" s="1"/>
  <c r="N189" i="13" s="1"/>
  <c r="N190" i="13" s="1"/>
  <c r="O186" i="13" s="1"/>
  <c r="O189" i="13" s="1"/>
  <c r="O190" i="13" s="1"/>
  <c r="P186" i="13" s="1"/>
  <c r="P189" i="13" s="1"/>
  <c r="P190" i="13" s="1"/>
  <c r="Q186" i="13" s="1"/>
  <c r="Q189" i="13" s="1"/>
  <c r="Q192" i="13" s="1"/>
  <c r="M179" i="13"/>
  <c r="M182" i="13" s="1"/>
  <c r="L182" i="13"/>
  <c r="J178" i="13"/>
  <c r="AV108" i="12"/>
  <c r="AP185" i="12"/>
  <c r="AP187" i="12" s="1"/>
  <c r="AQ183" i="12" s="1"/>
  <c r="AM97" i="12"/>
  <c r="AN93" i="12" s="1"/>
  <c r="AN96" i="12" s="1"/>
  <c r="AN99" i="12" s="1"/>
  <c r="F868" i="17" l="1"/>
  <c r="C156" i="43" s="1"/>
  <c r="J450" i="17"/>
  <c r="J596" i="17"/>
  <c r="J557" i="17"/>
  <c r="J607" i="17"/>
  <c r="J619" i="17"/>
  <c r="J835" i="17"/>
  <c r="J644" i="17"/>
  <c r="AF681" i="17"/>
  <c r="AJ124" i="17"/>
  <c r="AJ125" i="17" s="1"/>
  <c r="AJ487" i="17"/>
  <c r="AE17" i="38"/>
  <c r="AJ13" i="38"/>
  <c r="AJ508" i="17"/>
  <c r="AF822" i="17"/>
  <c r="AF17" i="38" s="1"/>
  <c r="AG822" i="17"/>
  <c r="AG17" i="38" s="1"/>
  <c r="AI822" i="17"/>
  <c r="AI17" i="38" s="1"/>
  <c r="AH236" i="17"/>
  <c r="AH239" i="17" s="1"/>
  <c r="AH442" i="17"/>
  <c r="AE236" i="17"/>
  <c r="AE239" i="17" s="1"/>
  <c r="AE442" i="17"/>
  <c r="AG138" i="26"/>
  <c r="AG92" i="26"/>
  <c r="AG187" i="17"/>
  <c r="AI138" i="26"/>
  <c r="AI187" i="17"/>
  <c r="AI92" i="26"/>
  <c r="AK84" i="17"/>
  <c r="AI126" i="17"/>
  <c r="AI153" i="17"/>
  <c r="AF138" i="26"/>
  <c r="AF92" i="26"/>
  <c r="AF187" i="17"/>
  <c r="AJ65" i="17"/>
  <c r="AL63" i="17"/>
  <c r="AL56" i="17"/>
  <c r="AL57" i="17" s="1"/>
  <c r="AJ172" i="17"/>
  <c r="AJ174" i="17" s="1"/>
  <c r="AJ54" i="26"/>
  <c r="AI154" i="17"/>
  <c r="AK85" i="17"/>
  <c r="AI148" i="17"/>
  <c r="AJ130" i="17"/>
  <c r="AJ132" i="17" s="1"/>
  <c r="AJ138" i="17" s="1"/>
  <c r="AJ145" i="17" s="1"/>
  <c r="AJ147" i="17"/>
  <c r="AJ112" i="17"/>
  <c r="AJ114" i="17" s="1"/>
  <c r="AJ117" i="17"/>
  <c r="AK295" i="1"/>
  <c r="AK101" i="17" s="1"/>
  <c r="AK103" i="17" s="1"/>
  <c r="AK65" i="17"/>
  <c r="AL72" i="17"/>
  <c r="AL79" i="17" s="1"/>
  <c r="AM40" i="17"/>
  <c r="AM42" i="17" s="1"/>
  <c r="AN231" i="1"/>
  <c r="AN486" i="17" s="1"/>
  <c r="AN100" i="12"/>
  <c r="AN121" i="12"/>
  <c r="AN123" i="12" s="1"/>
  <c r="AN125" i="12" s="1"/>
  <c r="AN130" i="12" s="1"/>
  <c r="AN132" i="12" s="1"/>
  <c r="AO131" i="12" s="1"/>
  <c r="L207" i="13"/>
  <c r="M207" i="13"/>
  <c r="M180" i="13"/>
  <c r="N176" i="13" s="1"/>
  <c r="N179" i="13" s="1"/>
  <c r="N182" i="13" s="1"/>
  <c r="Q190" i="13"/>
  <c r="R186" i="13" s="1"/>
  <c r="R189" i="13" s="1"/>
  <c r="R192" i="13" s="1"/>
  <c r="AQ185" i="12"/>
  <c r="AQ187" i="12" s="1"/>
  <c r="AR183" i="12" s="1"/>
  <c r="AM135" i="12"/>
  <c r="AN97" i="12"/>
  <c r="AO93" i="12" s="1"/>
  <c r="AO96" i="12" s="1"/>
  <c r="AM157" i="12"/>
  <c r="AM158" i="12" s="1"/>
  <c r="AM173" i="12"/>
  <c r="AM174" i="12" s="1"/>
  <c r="AM175" i="12" s="1"/>
  <c r="AM164" i="12"/>
  <c r="AM165" i="12" s="1"/>
  <c r="AF718" i="17" l="1"/>
  <c r="AF682" i="17"/>
  <c r="AG678" i="17" s="1"/>
  <c r="AG679" i="17" s="1"/>
  <c r="AK124" i="17"/>
  <c r="AK125" i="17" s="1"/>
  <c r="AK487" i="17"/>
  <c r="AJ822" i="17"/>
  <c r="AG236" i="17"/>
  <c r="AG239" i="17" s="1"/>
  <c r="AG442" i="17"/>
  <c r="AF236" i="17"/>
  <c r="AF239" i="17" s="1"/>
  <c r="AF442" i="17"/>
  <c r="AI236" i="17"/>
  <c r="AI239" i="17" s="1"/>
  <c r="AI442" i="17"/>
  <c r="AL84" i="17"/>
  <c r="AK80" i="17"/>
  <c r="AJ126" i="17"/>
  <c r="AJ153" i="17"/>
  <c r="AL64" i="17"/>
  <c r="AL85" i="17" s="1"/>
  <c r="AK86" i="17"/>
  <c r="AK91" i="17" s="1"/>
  <c r="AM63" i="17"/>
  <c r="AM64" i="17" s="1"/>
  <c r="AM65" i="17" s="1"/>
  <c r="AM56" i="17"/>
  <c r="AM57" i="17" s="1"/>
  <c r="AJ187" i="17"/>
  <c r="AJ138" i="26"/>
  <c r="AJ92" i="26"/>
  <c r="AJ154" i="17"/>
  <c r="AL86" i="17"/>
  <c r="AL91" i="17" s="1"/>
  <c r="AJ148" i="17"/>
  <c r="AK130" i="17"/>
  <c r="AK132" i="17" s="1"/>
  <c r="AK138" i="17" s="1"/>
  <c r="AK145" i="17" s="1"/>
  <c r="AK147" i="17"/>
  <c r="AM72" i="17"/>
  <c r="AM79" i="17" s="1"/>
  <c r="AK112" i="17"/>
  <c r="AK114" i="17" s="1"/>
  <c r="AK117" i="17"/>
  <c r="AL80" i="17"/>
  <c r="AL295" i="1"/>
  <c r="AL101" i="17" s="1"/>
  <c r="AL103" i="17" s="1"/>
  <c r="AN40" i="17"/>
  <c r="AN42" i="17" s="1"/>
  <c r="AO231" i="1"/>
  <c r="AO486" i="17" s="1"/>
  <c r="N207" i="13"/>
  <c r="N180" i="13"/>
  <c r="O176" i="13" s="1"/>
  <c r="O179" i="13" s="1"/>
  <c r="O182" i="13" s="1"/>
  <c r="R190" i="13"/>
  <c r="S186" i="13" s="1"/>
  <c r="AR185" i="12"/>
  <c r="AR187" i="12" s="1"/>
  <c r="AS183" i="12" s="1"/>
  <c r="AN135" i="12"/>
  <c r="AO99" i="12"/>
  <c r="AO97" i="12"/>
  <c r="AP93" i="12" s="1"/>
  <c r="AP96" i="12" s="1"/>
  <c r="AP99" i="12" s="1"/>
  <c r="AN164" i="12"/>
  <c r="AN165" i="12" s="1"/>
  <c r="AN173" i="12"/>
  <c r="AN174" i="12" s="1"/>
  <c r="AN175" i="12" s="1"/>
  <c r="AN157" i="12"/>
  <c r="AN158" i="12" s="1"/>
  <c r="AG681" i="17" l="1"/>
  <c r="AL124" i="17"/>
  <c r="AL125" i="17" s="1"/>
  <c r="AL487" i="17"/>
  <c r="AJ17" i="38"/>
  <c r="AL13" i="38"/>
  <c r="AL508" i="17"/>
  <c r="AK13" i="38"/>
  <c r="AK508" i="17"/>
  <c r="AJ236" i="17"/>
  <c r="AJ239" i="17" s="1"/>
  <c r="AJ442" i="17"/>
  <c r="AK172" i="17"/>
  <c r="AK174" i="17" s="1"/>
  <c r="AM84" i="17"/>
  <c r="AK126" i="17"/>
  <c r="AK153" i="17"/>
  <c r="AM85" i="17"/>
  <c r="AK54" i="26"/>
  <c r="AL65" i="17"/>
  <c r="AN72" i="17"/>
  <c r="AN79" i="17" s="1"/>
  <c r="AN56" i="17"/>
  <c r="AN57" i="17" s="1"/>
  <c r="AL172" i="17"/>
  <c r="AL174" i="17" s="1"/>
  <c r="AL54" i="26"/>
  <c r="AK154" i="17"/>
  <c r="AM80" i="17"/>
  <c r="AK148" i="17"/>
  <c r="AM86" i="17"/>
  <c r="AL130" i="17"/>
  <c r="AL132" i="17" s="1"/>
  <c r="AL138" i="17" s="1"/>
  <c r="AL145" i="17" s="1"/>
  <c r="AL147" i="17"/>
  <c r="AL112" i="17"/>
  <c r="AL114" i="17" s="1"/>
  <c r="AL117" i="17"/>
  <c r="AM295" i="1"/>
  <c r="AM101" i="17" s="1"/>
  <c r="AM103" i="17" s="1"/>
  <c r="AN63" i="17"/>
  <c r="AN64" i="17" s="1"/>
  <c r="AO40" i="17"/>
  <c r="AO42" i="17" s="1"/>
  <c r="AP231" i="1"/>
  <c r="AP486" i="17" s="1"/>
  <c r="AP100" i="12"/>
  <c r="AP121" i="12"/>
  <c r="AP123" i="12" s="1"/>
  <c r="AP125" i="12" s="1"/>
  <c r="AP130" i="12" s="1"/>
  <c r="AO100" i="12"/>
  <c r="AO121" i="12"/>
  <c r="AO123" i="12" s="1"/>
  <c r="AO125" i="12" s="1"/>
  <c r="AO130" i="12" s="1"/>
  <c r="AO132" i="12" s="1"/>
  <c r="O207" i="13"/>
  <c r="O180" i="13"/>
  <c r="P176" i="13" s="1"/>
  <c r="S189" i="13"/>
  <c r="S192" i="13" s="1"/>
  <c r="AS185" i="12"/>
  <c r="AS187" i="12" s="1"/>
  <c r="AT183" i="12" s="1"/>
  <c r="AP97" i="12"/>
  <c r="AQ93" i="12" s="1"/>
  <c r="AQ96" i="12" s="1"/>
  <c r="AQ99" i="12" s="1"/>
  <c r="AO164" i="12"/>
  <c r="AO165" i="12" s="1"/>
  <c r="AO173" i="12"/>
  <c r="AO174" i="12" s="1"/>
  <c r="AO175" i="12" s="1"/>
  <c r="AO157" i="12"/>
  <c r="AO158" i="12" s="1"/>
  <c r="AG718" i="17" l="1"/>
  <c r="AG682" i="17"/>
  <c r="AH678" i="17" s="1"/>
  <c r="AH679" i="17" s="1"/>
  <c r="AG701" i="17"/>
  <c r="AM124" i="17"/>
  <c r="AM125" i="17" s="1"/>
  <c r="AM487" i="17"/>
  <c r="AM91" i="17"/>
  <c r="AM172" i="17" s="1"/>
  <c r="AM174" i="17" s="1"/>
  <c r="AK187" i="17"/>
  <c r="AK236" i="17" s="1"/>
  <c r="AK239" i="17" s="1"/>
  <c r="AK822" i="17"/>
  <c r="AL822" i="17"/>
  <c r="AL17" i="38" s="1"/>
  <c r="AK138" i="26"/>
  <c r="AK92" i="26"/>
  <c r="AN84" i="17"/>
  <c r="AL126" i="17"/>
  <c r="AL153" i="17"/>
  <c r="AO63" i="17"/>
  <c r="AO56" i="17"/>
  <c r="AO57" i="17" s="1"/>
  <c r="AL187" i="17"/>
  <c r="AL138" i="26"/>
  <c r="AL92" i="26"/>
  <c r="AL154" i="17"/>
  <c r="AN85" i="17"/>
  <c r="AL148" i="17"/>
  <c r="AM130" i="17"/>
  <c r="AM132" i="17" s="1"/>
  <c r="AM138" i="17" s="1"/>
  <c r="AM145" i="17" s="1"/>
  <c r="AM147" i="17"/>
  <c r="AM112" i="17"/>
  <c r="AM114" i="17" s="1"/>
  <c r="AM117" i="17"/>
  <c r="AN65" i="17"/>
  <c r="AN295" i="1"/>
  <c r="AN101" i="17" s="1"/>
  <c r="AN103" i="17" s="1"/>
  <c r="AO72" i="17"/>
  <c r="AO79" i="17" s="1"/>
  <c r="AP40" i="17"/>
  <c r="AP42" i="17" s="1"/>
  <c r="AQ231" i="1"/>
  <c r="AQ486" i="17" s="1"/>
  <c r="AQ100" i="12"/>
  <c r="AQ121" i="12"/>
  <c r="AQ123" i="12" s="1"/>
  <c r="AQ125" i="12" s="1"/>
  <c r="AQ130" i="12" s="1"/>
  <c r="P179" i="13"/>
  <c r="P182" i="13" s="1"/>
  <c r="S190" i="13"/>
  <c r="T186" i="13" s="1"/>
  <c r="AP131" i="12"/>
  <c r="AP132" i="12" s="1"/>
  <c r="AT185" i="12"/>
  <c r="AT187" i="12" s="1"/>
  <c r="AU183" i="12" s="1"/>
  <c r="AO135" i="12"/>
  <c r="AQ97" i="12"/>
  <c r="AR93" i="12" s="1"/>
  <c r="AP157" i="12"/>
  <c r="AP158" i="12" s="1"/>
  <c r="AP164" i="12"/>
  <c r="AP165" i="12" s="1"/>
  <c r="AP173" i="12"/>
  <c r="AP174" i="12" s="1"/>
  <c r="AP175" i="12" s="1"/>
  <c r="AH681" i="17" l="1"/>
  <c r="AH701" i="17"/>
  <c r="AN124" i="17"/>
  <c r="AN125" i="17" s="1"/>
  <c r="AN487" i="17"/>
  <c r="AK17" i="38"/>
  <c r="AM54" i="26"/>
  <c r="AM13" i="38"/>
  <c r="AM508" i="17"/>
  <c r="AK442" i="17"/>
  <c r="AM822" i="17"/>
  <c r="AM17" i="38" s="1"/>
  <c r="AL236" i="17"/>
  <c r="AL239" i="17" s="1"/>
  <c r="AL442" i="17"/>
  <c r="AM187" i="17"/>
  <c r="AM92" i="26"/>
  <c r="AM138" i="26"/>
  <c r="AO84" i="17"/>
  <c r="AN86" i="17"/>
  <c r="AN91" i="17" s="1"/>
  <c r="AM126" i="17"/>
  <c r="AM153" i="17"/>
  <c r="AN80" i="17"/>
  <c r="AO64" i="17"/>
  <c r="AO65" i="17" s="1"/>
  <c r="AP63" i="17"/>
  <c r="AP56" i="17"/>
  <c r="AP57" i="17" s="1"/>
  <c r="AM154" i="17"/>
  <c r="AO80" i="17"/>
  <c r="AM148" i="17"/>
  <c r="AN130" i="17"/>
  <c r="AN132" i="17" s="1"/>
  <c r="AN138" i="17" s="1"/>
  <c r="AN145" i="17" s="1"/>
  <c r="AN147" i="17"/>
  <c r="AN112" i="17"/>
  <c r="AN114" i="17" s="1"/>
  <c r="AN117" i="17"/>
  <c r="AO295" i="1"/>
  <c r="AO101" i="17" s="1"/>
  <c r="AO103" i="17" s="1"/>
  <c r="AO86" i="17"/>
  <c r="AO91" i="17" s="1"/>
  <c r="AP72" i="17"/>
  <c r="AP79" i="17" s="1"/>
  <c r="AQ40" i="17"/>
  <c r="AQ42" i="17" s="1"/>
  <c r="AR231" i="1"/>
  <c r="AR486" i="17" s="1"/>
  <c r="P207" i="13"/>
  <c r="P180" i="13"/>
  <c r="Q176" i="13" s="1"/>
  <c r="T189" i="13"/>
  <c r="T192" i="13" s="1"/>
  <c r="AQ131" i="12"/>
  <c r="AQ132" i="12" s="1"/>
  <c r="AR131" i="12" s="1"/>
  <c r="AP135" i="12"/>
  <c r="AU185" i="12"/>
  <c r="AU187" i="12" s="1"/>
  <c r="AV183" i="12" s="1"/>
  <c r="AQ173" i="12"/>
  <c r="AQ174" i="12" s="1"/>
  <c r="AQ175" i="12" s="1"/>
  <c r="AQ157" i="12"/>
  <c r="AQ158" i="12" s="1"/>
  <c r="AQ164" i="12"/>
  <c r="AQ165" i="12" s="1"/>
  <c r="AR96" i="12"/>
  <c r="AR99" i="12" s="1"/>
  <c r="AH718" i="17" l="1"/>
  <c r="AH682" i="17"/>
  <c r="AI678" i="17" s="1"/>
  <c r="AI679" i="17" s="1"/>
  <c r="AI701" i="17" s="1"/>
  <c r="AO124" i="17"/>
  <c r="AO125" i="17" s="1"/>
  <c r="AO487" i="17"/>
  <c r="AO13" i="38"/>
  <c r="AO508" i="17"/>
  <c r="AN13" i="38"/>
  <c r="AN508" i="17"/>
  <c r="AM236" i="17"/>
  <c r="AM239" i="17" s="1"/>
  <c r="AM442" i="17"/>
  <c r="AN172" i="17"/>
  <c r="AN174" i="17" s="1"/>
  <c r="AP84" i="17"/>
  <c r="AN126" i="17"/>
  <c r="AN153" i="17"/>
  <c r="AN54" i="26"/>
  <c r="AP64" i="17"/>
  <c r="AP85" i="17" s="1"/>
  <c r="AO85" i="17"/>
  <c r="AQ72" i="17"/>
  <c r="AQ79" i="17" s="1"/>
  <c r="AQ56" i="17"/>
  <c r="AQ57" i="17" s="1"/>
  <c r="AO172" i="17"/>
  <c r="AO174" i="17" s="1"/>
  <c r="AO54" i="26"/>
  <c r="AN154" i="17"/>
  <c r="AP86" i="17"/>
  <c r="AN148" i="17"/>
  <c r="AO130" i="17"/>
  <c r="AO132" i="17" s="1"/>
  <c r="AO138" i="17" s="1"/>
  <c r="AO145" i="17" s="1"/>
  <c r="AO147" i="17"/>
  <c r="AO112" i="17"/>
  <c r="AO114" i="17" s="1"/>
  <c r="AO117" i="17"/>
  <c r="AP295" i="1"/>
  <c r="AP101" i="17" s="1"/>
  <c r="AP103" i="17" s="1"/>
  <c r="AP80" i="17"/>
  <c r="AQ63" i="17"/>
  <c r="AQ64" i="17" s="1"/>
  <c r="AR40" i="17"/>
  <c r="AR42" i="17" s="1"/>
  <c r="AS231" i="1"/>
  <c r="AS486" i="17" s="1"/>
  <c r="AR100" i="12"/>
  <c r="AR121" i="12"/>
  <c r="AR123" i="12" s="1"/>
  <c r="AR125" i="12" s="1"/>
  <c r="AR130" i="12" s="1"/>
  <c r="AR132" i="12" s="1"/>
  <c r="AS131" i="12" s="1"/>
  <c r="Q179" i="13"/>
  <c r="Q182" i="13" s="1"/>
  <c r="T190" i="13"/>
  <c r="U186" i="13" s="1"/>
  <c r="U189" i="13" s="1"/>
  <c r="U192" i="13" s="1"/>
  <c r="AQ135" i="12"/>
  <c r="AV185" i="12"/>
  <c r="AR97" i="12"/>
  <c r="AS93" i="12" s="1"/>
  <c r="AS96" i="12" s="1"/>
  <c r="AS99" i="12" s="1"/>
  <c r="AI681" i="17" l="1"/>
  <c r="AP124" i="17"/>
  <c r="AP125" i="17" s="1"/>
  <c r="AP487" i="17"/>
  <c r="AP91" i="17"/>
  <c r="AP172" i="17" s="1"/>
  <c r="AP174" i="17" s="1"/>
  <c r="AN138" i="26"/>
  <c r="AN822" i="17"/>
  <c r="AO822" i="17"/>
  <c r="AO17" i="38" s="1"/>
  <c r="AN92" i="26"/>
  <c r="AN187" i="17"/>
  <c r="AQ84" i="17"/>
  <c r="AO126" i="17"/>
  <c r="AO153" i="17"/>
  <c r="AP65" i="17"/>
  <c r="AR72" i="17"/>
  <c r="AR79" i="17" s="1"/>
  <c r="AR56" i="17"/>
  <c r="AR57" i="17" s="1"/>
  <c r="AO187" i="17"/>
  <c r="AO92" i="26"/>
  <c r="AO138" i="26"/>
  <c r="AO154" i="17"/>
  <c r="AQ85" i="17"/>
  <c r="AO148" i="17"/>
  <c r="AP130" i="17"/>
  <c r="AP132" i="17" s="1"/>
  <c r="AP138" i="17" s="1"/>
  <c r="AP145" i="17" s="1"/>
  <c r="AP147" i="17"/>
  <c r="AP112" i="17"/>
  <c r="AP114" i="17" s="1"/>
  <c r="AP117" i="17"/>
  <c r="AQ295" i="1"/>
  <c r="AQ101" i="17" s="1"/>
  <c r="AQ103" i="17" s="1"/>
  <c r="AR63" i="17"/>
  <c r="AR64" i="17" s="1"/>
  <c r="AQ65" i="17"/>
  <c r="AS40" i="17"/>
  <c r="AS42" i="17" s="1"/>
  <c r="AT231" i="1"/>
  <c r="AT486" i="17" s="1"/>
  <c r="AS100" i="12"/>
  <c r="AS121" i="12"/>
  <c r="AS123" i="12" s="1"/>
  <c r="AS125" i="12" s="1"/>
  <c r="AS130" i="12" s="1"/>
  <c r="AS132" i="12" s="1"/>
  <c r="AT131" i="12" s="1"/>
  <c r="Q207" i="13"/>
  <c r="Q180" i="13"/>
  <c r="R176" i="13" s="1"/>
  <c r="U190" i="13"/>
  <c r="V186" i="13" s="1"/>
  <c r="AV187" i="12"/>
  <c r="J185" i="12"/>
  <c r="AR135" i="12"/>
  <c r="AS97" i="12"/>
  <c r="AT93" i="12" s="1"/>
  <c r="AR164" i="12"/>
  <c r="AR165" i="12" s="1"/>
  <c r="AR157" i="12"/>
  <c r="AR158" i="12" s="1"/>
  <c r="AR173" i="12"/>
  <c r="AR174" i="12" s="1"/>
  <c r="AR175" i="12" s="1"/>
  <c r="AI718" i="17" l="1"/>
  <c r="AI682" i="17"/>
  <c r="AJ678" i="17" s="1"/>
  <c r="AJ679" i="17" s="1"/>
  <c r="AQ124" i="17"/>
  <c r="AQ125" i="17" s="1"/>
  <c r="AQ487" i="17"/>
  <c r="AN17" i="38"/>
  <c r="AP508" i="17"/>
  <c r="AP13" i="38"/>
  <c r="AP54" i="26"/>
  <c r="AP822" i="17"/>
  <c r="AP17" i="38" s="1"/>
  <c r="AO236" i="17"/>
  <c r="AO239" i="17" s="1"/>
  <c r="AO442" i="17"/>
  <c r="AN236" i="17"/>
  <c r="AN239" i="17" s="1"/>
  <c r="AN442" i="17"/>
  <c r="AR86" i="17"/>
  <c r="AQ86" i="17"/>
  <c r="AQ91" i="17" s="1"/>
  <c r="AR84" i="17"/>
  <c r="AR80" i="17"/>
  <c r="AP126" i="17"/>
  <c r="AP153" i="17"/>
  <c r="AQ80" i="17"/>
  <c r="AS72" i="17"/>
  <c r="AS79" i="17" s="1"/>
  <c r="AS56" i="17"/>
  <c r="AS57" i="17" s="1"/>
  <c r="AP187" i="17"/>
  <c r="AP138" i="26"/>
  <c r="AP92" i="26"/>
  <c r="AP154" i="17"/>
  <c r="AR85" i="17"/>
  <c r="AP148" i="17"/>
  <c r="AQ130" i="17"/>
  <c r="AQ132" i="17" s="1"/>
  <c r="AQ138" i="17" s="1"/>
  <c r="AQ145" i="17" s="1"/>
  <c r="AQ147" i="17"/>
  <c r="AQ112" i="17"/>
  <c r="AQ114" i="17" s="1"/>
  <c r="AQ117" i="17"/>
  <c r="AR65" i="17"/>
  <c r="AR295" i="1"/>
  <c r="AR101" i="17" s="1"/>
  <c r="AR103" i="17" s="1"/>
  <c r="AS63" i="17"/>
  <c r="AS64" i="17" s="1"/>
  <c r="AT40" i="17"/>
  <c r="AT42" i="17" s="1"/>
  <c r="AV231" i="1"/>
  <c r="AV486" i="17" s="1"/>
  <c r="AU231" i="1"/>
  <c r="AU486" i="17" s="1"/>
  <c r="R179" i="13"/>
  <c r="R182" i="13" s="1"/>
  <c r="V189" i="13"/>
  <c r="V192" i="13" s="1"/>
  <c r="AS135" i="12"/>
  <c r="AT96" i="12"/>
  <c r="AT99" i="12" s="1"/>
  <c r="AS173" i="12"/>
  <c r="AS174" i="12" s="1"/>
  <c r="AS175" i="12" s="1"/>
  <c r="AS157" i="12"/>
  <c r="AS158" i="12" s="1"/>
  <c r="AS164" i="12"/>
  <c r="AS165" i="12" s="1"/>
  <c r="AJ701" i="17" l="1"/>
  <c r="AJ681" i="17"/>
  <c r="AR124" i="17"/>
  <c r="AR125" i="17" s="1"/>
  <c r="AR487" i="17"/>
  <c r="AQ13" i="38"/>
  <c r="AQ508" i="17"/>
  <c r="AP236" i="17"/>
  <c r="AP239" i="17" s="1"/>
  <c r="AP442" i="17"/>
  <c r="AR91" i="17"/>
  <c r="AR508" i="17" s="1"/>
  <c r="AQ172" i="17"/>
  <c r="AQ174" i="17" s="1"/>
  <c r="AS84" i="17"/>
  <c r="AQ126" i="17"/>
  <c r="AQ153" i="17"/>
  <c r="AQ54" i="26"/>
  <c r="AT72" i="17"/>
  <c r="AT79" i="17" s="1"/>
  <c r="AT56" i="17"/>
  <c r="AT57" i="17" s="1"/>
  <c r="AQ154" i="17"/>
  <c r="AS85" i="17"/>
  <c r="AQ148" i="17"/>
  <c r="AR130" i="17"/>
  <c r="AR132" i="17" s="1"/>
  <c r="AR138" i="17" s="1"/>
  <c r="AR147" i="17"/>
  <c r="AR112" i="17"/>
  <c r="AR114" i="17" s="1"/>
  <c r="AR117" i="17"/>
  <c r="AT63" i="17"/>
  <c r="AT64" i="17" s="1"/>
  <c r="AS295" i="1"/>
  <c r="AS101" i="17" s="1"/>
  <c r="AS103" i="17" s="1"/>
  <c r="AS65" i="17"/>
  <c r="AV40" i="17"/>
  <c r="AV42" i="17" s="1"/>
  <c r="AU40" i="17"/>
  <c r="AU42" i="17" s="1"/>
  <c r="AT100" i="12"/>
  <c r="AT121" i="12"/>
  <c r="AT123" i="12" s="1"/>
  <c r="AT125" i="12" s="1"/>
  <c r="AT130" i="12" s="1"/>
  <c r="AT132" i="12" s="1"/>
  <c r="AU131" i="12" s="1"/>
  <c r="V190" i="13"/>
  <c r="W186" i="13" s="1"/>
  <c r="W189" i="13" s="1"/>
  <c r="W192" i="13" s="1"/>
  <c r="R180" i="13"/>
  <c r="S176" i="13" s="1"/>
  <c r="S179" i="13" s="1"/>
  <c r="S182" i="13" s="1"/>
  <c r="R207" i="13"/>
  <c r="AT97" i="12"/>
  <c r="AU93" i="12" s="1"/>
  <c r="AU96" i="12" s="1"/>
  <c r="AU99" i="12" s="1"/>
  <c r="AJ718" i="17" l="1"/>
  <c r="AJ682" i="17"/>
  <c r="AK678" i="17" s="1"/>
  <c r="AK679" i="17" s="1"/>
  <c r="AS124" i="17"/>
  <c r="AS125" i="17" s="1"/>
  <c r="AS487" i="17"/>
  <c r="AR54" i="26"/>
  <c r="AR13" i="38"/>
  <c r="AQ187" i="17"/>
  <c r="AQ236" i="17" s="1"/>
  <c r="AQ239" i="17" s="1"/>
  <c r="AQ822" i="17"/>
  <c r="AQ17" i="38" s="1"/>
  <c r="AR172" i="17"/>
  <c r="AR174" i="17" s="1"/>
  <c r="AQ138" i="26"/>
  <c r="AQ92" i="26"/>
  <c r="AS86" i="17"/>
  <c r="AS91" i="17" s="1"/>
  <c r="AT84" i="17"/>
  <c r="AR126" i="17"/>
  <c r="AR153" i="17"/>
  <c r="AR145" i="17"/>
  <c r="AS80" i="17"/>
  <c r="AV63" i="17"/>
  <c r="AV56" i="17"/>
  <c r="AV57" i="17" s="1"/>
  <c r="AU63" i="17"/>
  <c r="AU56" i="17"/>
  <c r="AU57" i="17" s="1"/>
  <c r="AT85" i="17"/>
  <c r="AS130" i="17"/>
  <c r="AS132" i="17" s="1"/>
  <c r="AS138" i="17" s="1"/>
  <c r="AS145" i="17" s="1"/>
  <c r="AS147" i="17"/>
  <c r="AT65" i="17"/>
  <c r="AS112" i="17"/>
  <c r="AS114" i="17" s="1"/>
  <c r="AS117" i="17"/>
  <c r="AV72" i="17"/>
  <c r="AV79" i="17" s="1"/>
  <c r="AT295" i="1"/>
  <c r="AT101" i="17" s="1"/>
  <c r="AT103" i="17" s="1"/>
  <c r="AU72" i="17"/>
  <c r="AU79" i="17" s="1"/>
  <c r="AU100" i="12"/>
  <c r="AU121" i="12"/>
  <c r="AU123" i="12" s="1"/>
  <c r="AU125" i="12" s="1"/>
  <c r="AU130" i="12" s="1"/>
  <c r="AU132" i="12" s="1"/>
  <c r="AV131" i="12" s="1"/>
  <c r="S207" i="13"/>
  <c r="S180" i="13"/>
  <c r="T176" i="13" s="1"/>
  <c r="W190" i="13"/>
  <c r="X186" i="13" s="1"/>
  <c r="X189" i="13" s="1"/>
  <c r="X192" i="13" s="1"/>
  <c r="AT135" i="12"/>
  <c r="AT164" i="12"/>
  <c r="AT165" i="12" s="1"/>
  <c r="AT157" i="12"/>
  <c r="AT158" i="12" s="1"/>
  <c r="AT173" i="12"/>
  <c r="AT174" i="12" s="1"/>
  <c r="AT175" i="12" s="1"/>
  <c r="AU97" i="12"/>
  <c r="AV93" i="12" s="1"/>
  <c r="AT124" i="17" l="1"/>
  <c r="AT125" i="17" s="1"/>
  <c r="AT487" i="17"/>
  <c r="AS13" i="38"/>
  <c r="AS508" i="17"/>
  <c r="AQ442" i="17"/>
  <c r="AR822" i="17"/>
  <c r="AR17" i="38" s="1"/>
  <c r="AR92" i="26"/>
  <c r="AR148" i="17"/>
  <c r="AR187" i="17"/>
  <c r="AR138" i="26"/>
  <c r="AS172" i="17"/>
  <c r="AS174" i="17" s="1"/>
  <c r="AT80" i="17"/>
  <c r="AU84" i="17"/>
  <c r="AV84" i="17"/>
  <c r="AR154" i="17"/>
  <c r="AS126" i="17"/>
  <c r="AS153" i="17"/>
  <c r="AT86" i="17"/>
  <c r="AT91" i="17" s="1"/>
  <c r="AS54" i="26"/>
  <c r="AV64" i="17"/>
  <c r="AV65" i="17" s="1"/>
  <c r="AU64" i="17"/>
  <c r="AU65" i="17" s="1"/>
  <c r="AS154" i="17"/>
  <c r="AV86" i="17"/>
  <c r="AV91" i="17" s="1"/>
  <c r="AU86" i="17"/>
  <c r="AS148" i="17"/>
  <c r="AT130" i="17"/>
  <c r="AT132" i="17" s="1"/>
  <c r="AT138" i="17" s="1"/>
  <c r="AT145" i="17" s="1"/>
  <c r="AT147" i="17"/>
  <c r="AV80" i="17"/>
  <c r="AT112" i="17"/>
  <c r="AT114" i="17" s="1"/>
  <c r="AT117" i="17"/>
  <c r="AU80" i="17"/>
  <c r="AU295" i="1"/>
  <c r="AU101" i="17" s="1"/>
  <c r="AU103" i="17" s="1"/>
  <c r="AV295" i="1"/>
  <c r="AV101" i="17" s="1"/>
  <c r="AV103" i="17" s="1"/>
  <c r="T179" i="13"/>
  <c r="T182" i="13" s="1"/>
  <c r="X190" i="13"/>
  <c r="Y186" i="13" s="1"/>
  <c r="Y189" i="13" s="1"/>
  <c r="Y192" i="13" s="1"/>
  <c r="AU135" i="12"/>
  <c r="AV96" i="12"/>
  <c r="AU157" i="12"/>
  <c r="AU158" i="12" s="1"/>
  <c r="AU164" i="12"/>
  <c r="AU165" i="12" s="1"/>
  <c r="AU173" i="12"/>
  <c r="AU174" i="12" s="1"/>
  <c r="AU175" i="12" s="1"/>
  <c r="AK701" i="17" l="1"/>
  <c r="AK681" i="17"/>
  <c r="AV124" i="17"/>
  <c r="AV125" i="17" s="1"/>
  <c r="AV487" i="17"/>
  <c r="AU124" i="17"/>
  <c r="AU125" i="17" s="1"/>
  <c r="AU487" i="17"/>
  <c r="AU91" i="17"/>
  <c r="AU13" i="38" s="1"/>
  <c r="AV13" i="38"/>
  <c r="AV508" i="17"/>
  <c r="AT13" i="38"/>
  <c r="AT508" i="17"/>
  <c r="AS92" i="26"/>
  <c r="AS822" i="17"/>
  <c r="AS17" i="38" s="1"/>
  <c r="AR236" i="17"/>
  <c r="AR239" i="17" s="1"/>
  <c r="AR442" i="17"/>
  <c r="AS138" i="26"/>
  <c r="AS187" i="17"/>
  <c r="AT126" i="17"/>
  <c r="AT153" i="17"/>
  <c r="AT172" i="17"/>
  <c r="AT174" i="17" s="1"/>
  <c r="AT54" i="26"/>
  <c r="AU85" i="17"/>
  <c r="AV85" i="17"/>
  <c r="AV54" i="26"/>
  <c r="AV172" i="17"/>
  <c r="AT154" i="17"/>
  <c r="AT148" i="17"/>
  <c r="AU130" i="17"/>
  <c r="AU132" i="17" s="1"/>
  <c r="AU138" i="17" s="1"/>
  <c r="AU145" i="17" s="1"/>
  <c r="AU147" i="17"/>
  <c r="AV130" i="17"/>
  <c r="AV132" i="17" s="1"/>
  <c r="AV138" i="17" s="1"/>
  <c r="AV145" i="17" s="1"/>
  <c r="AV147" i="17"/>
  <c r="AV112" i="17"/>
  <c r="AV114" i="17" s="1"/>
  <c r="AV117" i="17"/>
  <c r="AU112" i="17"/>
  <c r="AU114" i="17" s="1"/>
  <c r="AU117" i="17"/>
  <c r="Y190" i="13"/>
  <c r="Z186" i="13" s="1"/>
  <c r="Z189" i="13" s="1"/>
  <c r="Z192" i="13" s="1"/>
  <c r="F192" i="13" s="1"/>
  <c r="T180" i="13"/>
  <c r="U176" i="13" s="1"/>
  <c r="T207" i="13"/>
  <c r="AV99" i="12"/>
  <c r="J96" i="12"/>
  <c r="AV97" i="12"/>
  <c r="AK718" i="17" l="1"/>
  <c r="AK682" i="17"/>
  <c r="AL678" i="17" s="1"/>
  <c r="AL679" i="17" s="1"/>
  <c r="AT822" i="17"/>
  <c r="AT17" i="38" s="1"/>
  <c r="AU508" i="17"/>
  <c r="AU54" i="26"/>
  <c r="AU172" i="17"/>
  <c r="F115" i="17"/>
  <c r="AS236" i="17"/>
  <c r="AS239" i="17" s="1"/>
  <c r="AS442" i="17"/>
  <c r="AT187" i="17"/>
  <c r="AT92" i="26"/>
  <c r="AU126" i="17"/>
  <c r="AU153" i="17"/>
  <c r="AV126" i="17"/>
  <c r="AV153" i="17"/>
  <c r="AT138" i="26"/>
  <c r="AV154" i="17"/>
  <c r="AU154" i="17"/>
  <c r="AU148" i="17"/>
  <c r="AV148" i="17"/>
  <c r="AV100" i="12"/>
  <c r="J100" i="12" s="1"/>
  <c r="AV121" i="12"/>
  <c r="AV123" i="12" s="1"/>
  <c r="U179" i="13"/>
  <c r="U182" i="13" s="1"/>
  <c r="Z190" i="13"/>
  <c r="AA186" i="13" s="1"/>
  <c r="AA189" i="13" s="1"/>
  <c r="AA192" i="13" s="1"/>
  <c r="J99" i="12"/>
  <c r="J121" i="12" s="1"/>
  <c r="AL701" i="17" l="1"/>
  <c r="T118" i="17"/>
  <c r="U118" i="17"/>
  <c r="AT118" i="17"/>
  <c r="AA118" i="17"/>
  <c r="Z118" i="17"/>
  <c r="Y118" i="17"/>
  <c r="X118" i="17"/>
  <c r="AM118" i="17"/>
  <c r="N118" i="17"/>
  <c r="M118" i="17"/>
  <c r="AL118" i="17"/>
  <c r="R118" i="17"/>
  <c r="AB118" i="17"/>
  <c r="AK118" i="17"/>
  <c r="AV118" i="17"/>
  <c r="AI118" i="17"/>
  <c r="AU118" i="17"/>
  <c r="AD118" i="17"/>
  <c r="K125" i="17"/>
  <c r="V118" i="17"/>
  <c r="K118" i="17"/>
  <c r="AO118" i="17"/>
  <c r="AG118" i="17"/>
  <c r="P118" i="17"/>
  <c r="Q118" i="17"/>
  <c r="AS118" i="17"/>
  <c r="L118" i="17"/>
  <c r="AQ118" i="17"/>
  <c r="AH118" i="17"/>
  <c r="AP118" i="17"/>
  <c r="AF118" i="17"/>
  <c r="AN118" i="17"/>
  <c r="AE118" i="17"/>
  <c r="AC118" i="17"/>
  <c r="AR118" i="17"/>
  <c r="AJ118" i="17"/>
  <c r="W118" i="17"/>
  <c r="O118" i="17"/>
  <c r="AT236" i="17"/>
  <c r="AT239" i="17" s="1"/>
  <c r="AT442" i="17"/>
  <c r="AV125" i="12"/>
  <c r="J123" i="12"/>
  <c r="U180" i="13"/>
  <c r="V176" i="13" s="1"/>
  <c r="V179" i="13" s="1"/>
  <c r="V182" i="13" s="1"/>
  <c r="U207" i="13"/>
  <c r="AA190" i="13"/>
  <c r="AB186" i="13" s="1"/>
  <c r="AB189" i="13" s="1"/>
  <c r="AB192" i="13" s="1"/>
  <c r="AP152" i="17" l="1"/>
  <c r="AP159" i="17" s="1"/>
  <c r="AP55" i="26" s="1"/>
  <c r="AK152" i="17"/>
  <c r="AK159" i="17" s="1"/>
  <c r="AK182" i="17" s="1"/>
  <c r="AK184" i="17" s="1"/>
  <c r="W119" i="17"/>
  <c r="V152" i="17"/>
  <c r="V159" i="17" s="1"/>
  <c r="V55" i="26" s="1"/>
  <c r="AR152" i="17"/>
  <c r="AR159" i="17" s="1"/>
  <c r="AR182" i="17" s="1"/>
  <c r="AR184" i="17" s="1"/>
  <c r="AT152" i="17"/>
  <c r="AT159" i="17" s="1"/>
  <c r="AT182" i="17" s="1"/>
  <c r="AT184" i="17" s="1"/>
  <c r="AT93" i="26" s="1"/>
  <c r="AH119" i="17"/>
  <c r="AD152" i="17"/>
  <c r="AD159" i="17" s="1"/>
  <c r="AD182" i="17" s="1"/>
  <c r="AD184" i="17" s="1"/>
  <c r="O152" i="17"/>
  <c r="O159" i="17" s="1"/>
  <c r="O182" i="17" s="1"/>
  <c r="O184" i="17" s="1"/>
  <c r="AB119" i="17"/>
  <c r="AQ152" i="17"/>
  <c r="AQ159" i="17" s="1"/>
  <c r="AQ14" i="38" s="1"/>
  <c r="K153" i="17"/>
  <c r="AS152" i="17"/>
  <c r="AS159" i="17" s="1"/>
  <c r="AS182" i="17" s="1"/>
  <c r="AS184" i="17" s="1"/>
  <c r="AE119" i="17"/>
  <c r="N119" i="17"/>
  <c r="Q152" i="17"/>
  <c r="Q159" i="17" s="1"/>
  <c r="Q14" i="38" s="1"/>
  <c r="AN152" i="17"/>
  <c r="AN159" i="17" s="1"/>
  <c r="AN182" i="17" s="1"/>
  <c r="AN184" i="17" s="1"/>
  <c r="P152" i="17"/>
  <c r="P159" i="17" s="1"/>
  <c r="P182" i="17" s="1"/>
  <c r="P184" i="17" s="1"/>
  <c r="AI152" i="17"/>
  <c r="AI159" i="17" s="1"/>
  <c r="AI55" i="26" s="1"/>
  <c r="AM152" i="17"/>
  <c r="AM159" i="17" s="1"/>
  <c r="AM182" i="17" s="1"/>
  <c r="AM184" i="17" s="1"/>
  <c r="AL681" i="17"/>
  <c r="AT119" i="17"/>
  <c r="AT509" i="17"/>
  <c r="AT517" i="17" s="1"/>
  <c r="AT522" i="17" s="1"/>
  <c r="AT529" i="17" s="1"/>
  <c r="U119" i="17"/>
  <c r="U152" i="17"/>
  <c r="U159" i="17" s="1"/>
  <c r="T152" i="17"/>
  <c r="T159" i="17" s="1"/>
  <c r="T119" i="17"/>
  <c r="X152" i="17"/>
  <c r="X119" i="17"/>
  <c r="Y152" i="17"/>
  <c r="Y119" i="17"/>
  <c r="Z152" i="17"/>
  <c r="Z119" i="17"/>
  <c r="AA152" i="17"/>
  <c r="AA119" i="17"/>
  <c r="V509" i="17"/>
  <c r="V517" i="17" s="1"/>
  <c r="V522" i="17" s="1"/>
  <c r="AS509" i="17"/>
  <c r="AS517" i="17" s="1"/>
  <c r="AS522" i="17" s="1"/>
  <c r="AS529" i="17" s="1"/>
  <c r="AN509" i="17"/>
  <c r="AN517" i="17" s="1"/>
  <c r="AN522" i="17" s="1"/>
  <c r="Q509" i="17"/>
  <c r="Q517" i="17" s="1"/>
  <c r="Q522" i="17" s="1"/>
  <c r="AD509" i="17"/>
  <c r="AD517" i="17" s="1"/>
  <c r="AD522" i="17" s="1"/>
  <c r="AD529" i="17" s="1"/>
  <c r="AR509" i="17"/>
  <c r="AR517" i="17" s="1"/>
  <c r="AR522" i="17" s="1"/>
  <c r="O509" i="17"/>
  <c r="O517" i="17" s="1"/>
  <c r="O522" i="17" s="1"/>
  <c r="AP509" i="17"/>
  <c r="AP517" i="17" s="1"/>
  <c r="AP522" i="17" s="1"/>
  <c r="P509" i="17"/>
  <c r="P517" i="17" s="1"/>
  <c r="P522" i="17" s="1"/>
  <c r="AI509" i="17"/>
  <c r="AI517" i="17" s="1"/>
  <c r="AI522" i="17" s="1"/>
  <c r="AM509" i="17"/>
  <c r="AM517" i="17" s="1"/>
  <c r="AM522" i="17" s="1"/>
  <c r="AQ509" i="17"/>
  <c r="AQ517" i="17" s="1"/>
  <c r="AQ522" i="17" s="1"/>
  <c r="AK509" i="17"/>
  <c r="AK517" i="17" s="1"/>
  <c r="AK522" i="17" s="1"/>
  <c r="P119" i="17"/>
  <c r="AD119" i="17"/>
  <c r="M119" i="17"/>
  <c r="AL119" i="17"/>
  <c r="Q119" i="17"/>
  <c r="AE152" i="17"/>
  <c r="AE159" i="17" s="1"/>
  <c r="AL152" i="17"/>
  <c r="AL159" i="17" s="1"/>
  <c r="AU152" i="17"/>
  <c r="AU159" i="17" s="1"/>
  <c r="AS119" i="17"/>
  <c r="L152" i="17"/>
  <c r="L159" i="17" s="1"/>
  <c r="AC152" i="17"/>
  <c r="AC159" i="17" s="1"/>
  <c r="AO119" i="17"/>
  <c r="AR119" i="17"/>
  <c r="R152" i="17"/>
  <c r="R159" i="17" s="1"/>
  <c r="AN119" i="17"/>
  <c r="M152" i="17"/>
  <c r="M159" i="17" s="1"/>
  <c r="L119" i="17"/>
  <c r="V119" i="17"/>
  <c r="AI119" i="17"/>
  <c r="R119" i="17"/>
  <c r="AC119" i="17"/>
  <c r="AJ119" i="17"/>
  <c r="AJ152" i="17"/>
  <c r="AJ159" i="17" s="1"/>
  <c r="AK119" i="17"/>
  <c r="AV152" i="17"/>
  <c r="AV159" i="17" s="1"/>
  <c r="AG119" i="17"/>
  <c r="AG152" i="17"/>
  <c r="AG159" i="17" s="1"/>
  <c r="AH152" i="17"/>
  <c r="AH159" i="17" s="1"/>
  <c r="AQ119" i="17"/>
  <c r="AV119" i="17"/>
  <c r="AP119" i="17"/>
  <c r="AF119" i="17"/>
  <c r="O119" i="17"/>
  <c r="K152" i="17"/>
  <c r="K159" i="17" s="1"/>
  <c r="N152" i="17"/>
  <c r="N159" i="17" s="1"/>
  <c r="AF152" i="17"/>
  <c r="AF159" i="17" s="1"/>
  <c r="AB152" i="17"/>
  <c r="AB159" i="17" s="1"/>
  <c r="W152" i="17"/>
  <c r="W159" i="17" s="1"/>
  <c r="AM119" i="17"/>
  <c r="AU119" i="17"/>
  <c r="AO152" i="17"/>
  <c r="AO159" i="17" s="1"/>
  <c r="J125" i="12"/>
  <c r="J130" i="12" s="1"/>
  <c r="AV130" i="12"/>
  <c r="AV132" i="12" s="1"/>
  <c r="AV135" i="12" s="1"/>
  <c r="V180" i="13"/>
  <c r="W176" i="13" s="1"/>
  <c r="W179" i="13" s="1"/>
  <c r="W182" i="13" s="1"/>
  <c r="V207" i="13"/>
  <c r="AB190" i="13"/>
  <c r="AC186" i="13" s="1"/>
  <c r="AC189" i="13" s="1"/>
  <c r="AC190" i="13" s="1"/>
  <c r="AD186" i="13" s="1"/>
  <c r="AD189" i="13" s="1"/>
  <c r="AD190" i="13" s="1"/>
  <c r="AE186" i="13" s="1"/>
  <c r="AE189" i="13" s="1"/>
  <c r="AE190" i="13" s="1"/>
  <c r="AF186" i="13" s="1"/>
  <c r="AF189" i="13" s="1"/>
  <c r="AF190" i="13" s="1"/>
  <c r="AG186" i="13" s="1"/>
  <c r="AG189" i="13" s="1"/>
  <c r="AG190" i="13" s="1"/>
  <c r="AH186" i="13" s="1"/>
  <c r="AH189" i="13" s="1"/>
  <c r="AH190" i="13" s="1"/>
  <c r="AI186" i="13" s="1"/>
  <c r="AI189" i="13" s="1"/>
  <c r="AI190" i="13" s="1"/>
  <c r="AJ186" i="13" s="1"/>
  <c r="AJ189" i="13" s="1"/>
  <c r="AJ190" i="13" s="1"/>
  <c r="AK186" i="13" s="1"/>
  <c r="AK189" i="13" s="1"/>
  <c r="AK190" i="13" s="1"/>
  <c r="AL186" i="13" s="1"/>
  <c r="AL189" i="13" s="1"/>
  <c r="AL190" i="13" s="1"/>
  <c r="AM186" i="13" s="1"/>
  <c r="AM189" i="13" s="1"/>
  <c r="AM190" i="13" s="1"/>
  <c r="AN186" i="13" s="1"/>
  <c r="AN189" i="13" s="1"/>
  <c r="AN190" i="13" s="1"/>
  <c r="AO186" i="13" s="1"/>
  <c r="AO189" i="13" s="1"/>
  <c r="AO190" i="13" s="1"/>
  <c r="AP186" i="13" s="1"/>
  <c r="AP189" i="13" s="1"/>
  <c r="AP190" i="13" s="1"/>
  <c r="AQ186" i="13" s="1"/>
  <c r="AQ189" i="13" s="1"/>
  <c r="AQ190" i="13" s="1"/>
  <c r="AR186" i="13" s="1"/>
  <c r="AR189" i="13" s="1"/>
  <c r="AR190" i="13" s="1"/>
  <c r="AS186" i="13" s="1"/>
  <c r="AS189" i="13" s="1"/>
  <c r="AS190" i="13" s="1"/>
  <c r="AT186" i="13" s="1"/>
  <c r="AT189" i="13" s="1"/>
  <c r="AT190" i="13" s="1"/>
  <c r="AU186" i="13" s="1"/>
  <c r="AU189" i="13" s="1"/>
  <c r="AU190" i="13" s="1"/>
  <c r="AV186" i="13" s="1"/>
  <c r="AV189" i="13" s="1"/>
  <c r="J189" i="13" s="1"/>
  <c r="AV164" i="12"/>
  <c r="AV165" i="12" s="1"/>
  <c r="AV173" i="12"/>
  <c r="AV157" i="12"/>
  <c r="AV158" i="12" s="1"/>
  <c r="J156" i="12"/>
  <c r="AL718" i="17" l="1"/>
  <c r="AQ55" i="26"/>
  <c r="AQ182" i="17"/>
  <c r="AQ184" i="17" s="1"/>
  <c r="AQ823" i="17" s="1"/>
  <c r="AQ18" i="38" s="1"/>
  <c r="AI182" i="17"/>
  <c r="AI184" i="17" s="1"/>
  <c r="AI188" i="17" s="1"/>
  <c r="AP14" i="38"/>
  <c r="AR14" i="38"/>
  <c r="AR55" i="26"/>
  <c r="AK55" i="26"/>
  <c r="O14" i="38"/>
  <c r="AN14" i="38"/>
  <c r="O55" i="26"/>
  <c r="AK14" i="38"/>
  <c r="P55" i="26"/>
  <c r="AP182" i="17"/>
  <c r="AP184" i="17" s="1"/>
  <c r="AP139" i="26" s="1"/>
  <c r="AN55" i="26"/>
  <c r="AT55" i="26"/>
  <c r="AS55" i="26"/>
  <c r="AS14" i="38"/>
  <c r="AI14" i="38"/>
  <c r="P14" i="38"/>
  <c r="V182" i="17"/>
  <c r="V184" i="17" s="1"/>
  <c r="V188" i="17" s="1"/>
  <c r="AM14" i="38"/>
  <c r="AT823" i="17"/>
  <c r="AT18" i="38" s="1"/>
  <c r="AD55" i="26"/>
  <c r="V14" i="38"/>
  <c r="AM55" i="26"/>
  <c r="AD14" i="38"/>
  <c r="Q55" i="26"/>
  <c r="AT188" i="17"/>
  <c r="AT443" i="17" s="1"/>
  <c r="AT14" i="38"/>
  <c r="Q182" i="17"/>
  <c r="Q184" i="17" s="1"/>
  <c r="Q188" i="17" s="1"/>
  <c r="AT139" i="26"/>
  <c r="AL682" i="17"/>
  <c r="AM678" i="17" s="1"/>
  <c r="AM679" i="17" s="1"/>
  <c r="T509" i="17"/>
  <c r="T182" i="17"/>
  <c r="T184" i="17" s="1"/>
  <c r="T55" i="26"/>
  <c r="T14" i="38"/>
  <c r="U509" i="17"/>
  <c r="U517" i="17" s="1"/>
  <c r="U522" i="17" s="1"/>
  <c r="U529" i="17" s="1"/>
  <c r="U55" i="26"/>
  <c r="U14" i="38"/>
  <c r="U182" i="17"/>
  <c r="U184" i="17" s="1"/>
  <c r="AQ529" i="17"/>
  <c r="W55" i="26"/>
  <c r="W182" i="17"/>
  <c r="W14" i="38"/>
  <c r="W509" i="17"/>
  <c r="W517" i="17" s="1"/>
  <c r="W522" i="17" s="1"/>
  <c r="AP529" i="17"/>
  <c r="AR529" i="17"/>
  <c r="Q529" i="17"/>
  <c r="AS139" i="26"/>
  <c r="AS188" i="17"/>
  <c r="AS823" i="17"/>
  <c r="AS18" i="38" s="1"/>
  <c r="AS93" i="26"/>
  <c r="AB14" i="38"/>
  <c r="AB509" i="17"/>
  <c r="AB55" i="26"/>
  <c r="AB182" i="17"/>
  <c r="AB184" i="17" s="1"/>
  <c r="AR93" i="26"/>
  <c r="AR188" i="17"/>
  <c r="AR139" i="26"/>
  <c r="AR823" i="17"/>
  <c r="AR18" i="38" s="1"/>
  <c r="AI529" i="17"/>
  <c r="AF14" i="38"/>
  <c r="AF509" i="17"/>
  <c r="AF517" i="17" s="1"/>
  <c r="AF522" i="17" s="1"/>
  <c r="AF182" i="17"/>
  <c r="AF184" i="17" s="1"/>
  <c r="AF55" i="26"/>
  <c r="AV509" i="17"/>
  <c r="AV517" i="17" s="1"/>
  <c r="AV522" i="17" s="1"/>
  <c r="AV529" i="17" s="1"/>
  <c r="AV182" i="17"/>
  <c r="AV14" i="38"/>
  <c r="AV55" i="26"/>
  <c r="AU182" i="17"/>
  <c r="AU55" i="26"/>
  <c r="AU14" i="38"/>
  <c r="AU509" i="17"/>
  <c r="AU517" i="17" s="1"/>
  <c r="AU522" i="17" s="1"/>
  <c r="AU529" i="17" s="1"/>
  <c r="L182" i="17"/>
  <c r="L14" i="38"/>
  <c r="L55" i="26"/>
  <c r="N14" i="38"/>
  <c r="N182" i="17"/>
  <c r="N184" i="17" s="1"/>
  <c r="N55" i="26"/>
  <c r="R182" i="17"/>
  <c r="R184" i="17" s="1"/>
  <c r="R14" i="38"/>
  <c r="R509" i="17"/>
  <c r="R517" i="17" s="1"/>
  <c r="R522" i="17" s="1"/>
  <c r="R55" i="26"/>
  <c r="AL14" i="38"/>
  <c r="AL509" i="17"/>
  <c r="AL517" i="17" s="1"/>
  <c r="AL522" i="17" s="1"/>
  <c r="AL182" i="17"/>
  <c r="AL184" i="17" s="1"/>
  <c r="AL55" i="26"/>
  <c r="AM529" i="17"/>
  <c r="AN188" i="17"/>
  <c r="AN139" i="26"/>
  <c r="AN93" i="26"/>
  <c r="AN823" i="17"/>
  <c r="AN18" i="38" s="1"/>
  <c r="K182" i="17"/>
  <c r="K14" i="38"/>
  <c r="K55" i="26"/>
  <c r="AE14" i="38"/>
  <c r="AE509" i="17"/>
  <c r="AE517" i="17" s="1"/>
  <c r="AE522" i="17" s="1"/>
  <c r="AE55" i="26"/>
  <c r="AE182" i="17"/>
  <c r="AE184" i="17" s="1"/>
  <c r="AK188" i="17"/>
  <c r="AK93" i="26"/>
  <c r="AK139" i="26"/>
  <c r="AK823" i="17"/>
  <c r="AK18" i="38" s="1"/>
  <c r="P529" i="17"/>
  <c r="AG14" i="38"/>
  <c r="AG509" i="17"/>
  <c r="AG517" i="17" s="1"/>
  <c r="AG522" i="17" s="1"/>
  <c r="AG182" i="17"/>
  <c r="AG184" i="17" s="1"/>
  <c r="AG55" i="26"/>
  <c r="AK529" i="17"/>
  <c r="O823" i="17"/>
  <c r="O18" i="38" s="1"/>
  <c r="O139" i="26"/>
  <c r="O188" i="17"/>
  <c r="O93" i="26"/>
  <c r="AN529" i="17"/>
  <c r="V529" i="17"/>
  <c r="M14" i="38"/>
  <c r="M55" i="26"/>
  <c r="M182" i="17"/>
  <c r="AO14" i="38"/>
  <c r="AO509" i="17"/>
  <c r="AO517" i="17" s="1"/>
  <c r="AO522" i="17" s="1"/>
  <c r="AO55" i="26"/>
  <c r="AO182" i="17"/>
  <c r="AO184" i="17" s="1"/>
  <c r="AJ509" i="17"/>
  <c r="AJ517" i="17" s="1"/>
  <c r="AJ522" i="17" s="1"/>
  <c r="AJ182" i="17"/>
  <c r="AJ184" i="17" s="1"/>
  <c r="AJ55" i="26"/>
  <c r="AJ14" i="38"/>
  <c r="AH55" i="26"/>
  <c r="AH182" i="17"/>
  <c r="AH184" i="17" s="1"/>
  <c r="AH14" i="38"/>
  <c r="AH509" i="17"/>
  <c r="AH517" i="17" s="1"/>
  <c r="AH522" i="17" s="1"/>
  <c r="AC509" i="17"/>
  <c r="AC55" i="26"/>
  <c r="AC14" i="38"/>
  <c r="AC182" i="17"/>
  <c r="AC184" i="17" s="1"/>
  <c r="AM188" i="17"/>
  <c r="AM823" i="17"/>
  <c r="AM18" i="38" s="1"/>
  <c r="AM139" i="26"/>
  <c r="AM93" i="26"/>
  <c r="P823" i="17"/>
  <c r="P18" i="38" s="1"/>
  <c r="P139" i="26"/>
  <c r="P93" i="26"/>
  <c r="P188" i="17"/>
  <c r="O529" i="17"/>
  <c r="AD139" i="26"/>
  <c r="AD823" i="17"/>
  <c r="AD18" i="38" s="1"/>
  <c r="AD93" i="26"/>
  <c r="AD188" i="17"/>
  <c r="J164" i="12"/>
  <c r="J157" i="12"/>
  <c r="F140" i="12"/>
  <c r="F141" i="12" s="1"/>
  <c r="F142" i="12" s="1"/>
  <c r="J135" i="12"/>
  <c r="W180" i="13"/>
  <c r="X176" i="13" s="1"/>
  <c r="X179" i="13" s="1"/>
  <c r="X182" i="13" s="1"/>
  <c r="W207" i="13"/>
  <c r="AV190" i="13"/>
  <c r="AV174" i="12"/>
  <c r="J173" i="12"/>
  <c r="AQ188" i="17" l="1"/>
  <c r="AQ237" i="17" s="1"/>
  <c r="AQ240" i="17" s="1"/>
  <c r="AQ241" i="17" s="1"/>
  <c r="AQ295" i="17" s="1"/>
  <c r="AQ93" i="26"/>
  <c r="AQ139" i="26"/>
  <c r="AI139" i="26"/>
  <c r="AI93" i="26"/>
  <c r="AI823" i="17"/>
  <c r="AI18" i="38" s="1"/>
  <c r="AP823" i="17"/>
  <c r="AP18" i="38" s="1"/>
  <c r="AP188" i="17"/>
  <c r="AP237" i="17" s="1"/>
  <c r="AP240" i="17" s="1"/>
  <c r="AP241" i="17" s="1"/>
  <c r="AP295" i="17" s="1"/>
  <c r="AP93" i="26"/>
  <c r="V823" i="17"/>
  <c r="V18" i="38" s="1"/>
  <c r="V139" i="26"/>
  <c r="V93" i="26"/>
  <c r="Q823" i="17"/>
  <c r="Q18" i="38" s="1"/>
  <c r="Q139" i="26"/>
  <c r="Q93" i="26"/>
  <c r="AT189" i="17"/>
  <c r="AT824" i="17" s="1"/>
  <c r="AT19" i="38" s="1"/>
  <c r="AT237" i="17"/>
  <c r="AT240" i="17" s="1"/>
  <c r="AT241" i="17" s="1"/>
  <c r="AT252" i="17" s="1"/>
  <c r="AM701" i="17"/>
  <c r="U188" i="17"/>
  <c r="U93" i="26"/>
  <c r="U823" i="17"/>
  <c r="U18" i="38" s="1"/>
  <c r="U139" i="26"/>
  <c r="T188" i="17"/>
  <c r="T823" i="17"/>
  <c r="T18" i="38" s="1"/>
  <c r="T139" i="26"/>
  <c r="T93" i="26"/>
  <c r="R823" i="17"/>
  <c r="R18" i="38" s="1"/>
  <c r="R93" i="26"/>
  <c r="R139" i="26"/>
  <c r="R188" i="17"/>
  <c r="AG529" i="17"/>
  <c r="O189" i="17"/>
  <c r="O443" i="17"/>
  <c r="AD443" i="17"/>
  <c r="AD189" i="17"/>
  <c r="AD237" i="17"/>
  <c r="AD240" i="17" s="1"/>
  <c r="AD241" i="17" s="1"/>
  <c r="AD295" i="17" s="1"/>
  <c r="AJ188" i="17"/>
  <c r="AJ139" i="26"/>
  <c r="AJ823" i="17"/>
  <c r="AJ18" i="38" s="1"/>
  <c r="AJ93" i="26"/>
  <c r="Q443" i="17"/>
  <c r="Q189" i="17"/>
  <c r="AI443" i="17"/>
  <c r="AI237" i="17"/>
  <c r="AI240" i="17" s="1"/>
  <c r="AI241" i="17" s="1"/>
  <c r="AI295" i="17" s="1"/>
  <c r="AI189" i="17"/>
  <c r="AS443" i="17"/>
  <c r="AS189" i="17"/>
  <c r="AS237" i="17"/>
  <c r="AS240" i="17" s="1"/>
  <c r="AS241" i="17" s="1"/>
  <c r="AS295" i="17" s="1"/>
  <c r="W529" i="17"/>
  <c r="AJ529" i="17"/>
  <c r="AK443" i="17"/>
  <c r="AK237" i="17"/>
  <c r="AK240" i="17" s="1"/>
  <c r="AK241" i="17" s="1"/>
  <c r="AK295" i="17" s="1"/>
  <c r="AK189" i="17"/>
  <c r="AL188" i="17"/>
  <c r="AL139" i="26"/>
  <c r="AL93" i="26"/>
  <c r="AL823" i="17"/>
  <c r="AL18" i="38" s="1"/>
  <c r="N93" i="26"/>
  <c r="N823" i="17"/>
  <c r="N18" i="38" s="1"/>
  <c r="N188" i="17"/>
  <c r="N139" i="26"/>
  <c r="AF823" i="17"/>
  <c r="AF18" i="38" s="1"/>
  <c r="AF93" i="26"/>
  <c r="AF188" i="17"/>
  <c r="AF139" i="26"/>
  <c r="AH529" i="17"/>
  <c r="AO93" i="26"/>
  <c r="AO823" i="17"/>
  <c r="AO18" i="38" s="1"/>
  <c r="AO139" i="26"/>
  <c r="AO188" i="17"/>
  <c r="V443" i="17"/>
  <c r="V189" i="17"/>
  <c r="AE188" i="17"/>
  <c r="AE93" i="26"/>
  <c r="AE139" i="26"/>
  <c r="AE823" i="17"/>
  <c r="AL529" i="17"/>
  <c r="AF529" i="17"/>
  <c r="AB823" i="17"/>
  <c r="AB93" i="26"/>
  <c r="AB139" i="26"/>
  <c r="AB188" i="17"/>
  <c r="P443" i="17"/>
  <c r="P189" i="17"/>
  <c r="AC823" i="17"/>
  <c r="AC18" i="38" s="1"/>
  <c r="AC188" i="17"/>
  <c r="AC93" i="26"/>
  <c r="AC139" i="26"/>
  <c r="AH823" i="17"/>
  <c r="AH18" i="38" s="1"/>
  <c r="AH188" i="17"/>
  <c r="AH139" i="26"/>
  <c r="AH93" i="26"/>
  <c r="AO529" i="17"/>
  <c r="AE529" i="17"/>
  <c r="AR189" i="17"/>
  <c r="AR237" i="17"/>
  <c r="AR240" i="17" s="1"/>
  <c r="AR241" i="17" s="1"/>
  <c r="AR295" i="17" s="1"/>
  <c r="AR443" i="17"/>
  <c r="AM443" i="17"/>
  <c r="AM237" i="17"/>
  <c r="AM240" i="17" s="1"/>
  <c r="AM241" i="17" s="1"/>
  <c r="AM295" i="17" s="1"/>
  <c r="AM189" i="17"/>
  <c r="AG823" i="17"/>
  <c r="AG18" i="38" s="1"/>
  <c r="AG139" i="26"/>
  <c r="AG188" i="17"/>
  <c r="AG93" i="26"/>
  <c r="AN443" i="17"/>
  <c r="AN237" i="17"/>
  <c r="AN240" i="17" s="1"/>
  <c r="AN241" i="17" s="1"/>
  <c r="AN295" i="17" s="1"/>
  <c r="AN189" i="17"/>
  <c r="R529" i="17"/>
  <c r="F158" i="12"/>
  <c r="F215" i="12" s="1"/>
  <c r="F165" i="12"/>
  <c r="F216" i="12" s="1"/>
  <c r="X180" i="13"/>
  <c r="Y176" i="13" s="1"/>
  <c r="Y179" i="13" s="1"/>
  <c r="X207" i="13"/>
  <c r="J174" i="12"/>
  <c r="AV175" i="12"/>
  <c r="AQ189" i="17" l="1"/>
  <c r="AQ824" i="17" s="1"/>
  <c r="AQ19" i="38" s="1"/>
  <c r="AQ443" i="17"/>
  <c r="AP189" i="17"/>
  <c r="AP588" i="17" s="1"/>
  <c r="AP443" i="17"/>
  <c r="AT783" i="17"/>
  <c r="AT142" i="26" s="1"/>
  <c r="AT878" i="17"/>
  <c r="AT41" i="38" s="1"/>
  <c r="AT588" i="17"/>
  <c r="AT295" i="17"/>
  <c r="AT299" i="17" s="1"/>
  <c r="AT444" i="17"/>
  <c r="AT554" i="17"/>
  <c r="AT547" i="17"/>
  <c r="AT593" i="17"/>
  <c r="AM681" i="17"/>
  <c r="AM300" i="17"/>
  <c r="AM299" i="17"/>
  <c r="AM298" i="17"/>
  <c r="AM297" i="17"/>
  <c r="AM296" i="17"/>
  <c r="AQ300" i="17"/>
  <c r="AQ299" i="17"/>
  <c r="AQ298" i="17"/>
  <c r="AQ297" i="17"/>
  <c r="AQ296" i="17"/>
  <c r="AP300" i="17"/>
  <c r="AP299" i="17"/>
  <c r="AP298" i="17"/>
  <c r="AP297" i="17"/>
  <c r="AP296" i="17"/>
  <c r="AI300" i="17"/>
  <c r="AI299" i="17"/>
  <c r="AI298" i="17"/>
  <c r="AI297" i="17"/>
  <c r="AI296" i="17"/>
  <c r="AD300" i="17"/>
  <c r="AD299" i="17"/>
  <c r="AD298" i="17"/>
  <c r="AD297" i="17"/>
  <c r="AD296" i="17"/>
  <c r="AN300" i="17"/>
  <c r="AN299" i="17"/>
  <c r="AN298" i="17"/>
  <c r="AN297" i="17"/>
  <c r="AN296" i="17"/>
  <c r="AR298" i="17"/>
  <c r="AR296" i="17"/>
  <c r="AR300" i="17"/>
  <c r="AR299" i="17"/>
  <c r="AR297" i="17"/>
  <c r="AS300" i="17"/>
  <c r="AS299" i="17"/>
  <c r="AS298" i="17"/>
  <c r="AS297" i="17"/>
  <c r="AS296" i="17"/>
  <c r="AK300" i="17"/>
  <c r="AK299" i="17"/>
  <c r="AK298" i="17"/>
  <c r="AK297" i="17"/>
  <c r="AK296" i="17"/>
  <c r="T443" i="17"/>
  <c r="T189" i="17"/>
  <c r="U443" i="17"/>
  <c r="U189" i="17"/>
  <c r="AE18" i="38"/>
  <c r="AB18" i="38"/>
  <c r="G856" i="17" a="1"/>
  <c r="G856" i="17" s="1"/>
  <c r="AN824" i="17"/>
  <c r="AN19" i="38" s="1"/>
  <c r="AN588" i="17"/>
  <c r="AN444" i="17"/>
  <c r="AN547" i="17"/>
  <c r="AL443" i="17"/>
  <c r="AL237" i="17"/>
  <c r="AL240" i="17" s="1"/>
  <c r="AL241" i="17" s="1"/>
  <c r="AL295" i="17" s="1"/>
  <c r="AL189" i="17"/>
  <c r="AD824" i="17"/>
  <c r="AD19" i="38" s="1"/>
  <c r="AD588" i="17"/>
  <c r="AD547" i="17"/>
  <c r="AD444" i="17"/>
  <c r="AN783" i="17"/>
  <c r="AN252" i="17"/>
  <c r="AN554" i="17"/>
  <c r="AN593" i="17"/>
  <c r="AN878" i="17"/>
  <c r="AN41" i="38" s="1"/>
  <c r="AK824" i="17"/>
  <c r="AK19" i="38" s="1"/>
  <c r="AK444" i="17"/>
  <c r="AK547" i="17"/>
  <c r="AK588" i="17"/>
  <c r="Q588" i="17"/>
  <c r="Q444" i="17"/>
  <c r="Q824" i="17"/>
  <c r="Q19" i="38" s="1"/>
  <c r="Q547" i="17"/>
  <c r="AB443" i="17"/>
  <c r="AB237" i="17"/>
  <c r="AB240" i="17" s="1"/>
  <c r="N443" i="17"/>
  <c r="N189" i="17"/>
  <c r="AK783" i="17"/>
  <c r="AK593" i="17"/>
  <c r="AK554" i="17"/>
  <c r="AK878" i="17"/>
  <c r="AK41" i="38" s="1"/>
  <c r="AK252" i="17"/>
  <c r="AQ554" i="17"/>
  <c r="AQ783" i="17"/>
  <c r="AQ252" i="17"/>
  <c r="AQ878" i="17"/>
  <c r="AQ41" i="38" s="1"/>
  <c r="AQ593" i="17"/>
  <c r="AS878" i="17"/>
  <c r="AS41" i="38" s="1"/>
  <c r="AS593" i="17"/>
  <c r="AS554" i="17"/>
  <c r="AS252" i="17"/>
  <c r="AS783" i="17"/>
  <c r="O444" i="17"/>
  <c r="O824" i="17"/>
  <c r="O19" i="38" s="1"/>
  <c r="O588" i="17"/>
  <c r="O547" i="17"/>
  <c r="AR593" i="17"/>
  <c r="AR252" i="17"/>
  <c r="AR554" i="17"/>
  <c r="AR878" i="17"/>
  <c r="AR41" i="38" s="1"/>
  <c r="AR783" i="17"/>
  <c r="AH443" i="17"/>
  <c r="AH237" i="17"/>
  <c r="AH240" i="17" s="1"/>
  <c r="AH241" i="17" s="1"/>
  <c r="AH295" i="17" s="1"/>
  <c r="AH189" i="17"/>
  <c r="AS824" i="17"/>
  <c r="AS19" i="38" s="1"/>
  <c r="AS547" i="17"/>
  <c r="AS444" i="17"/>
  <c r="AS588" i="17"/>
  <c r="R443" i="17"/>
  <c r="R189" i="17"/>
  <c r="AM824" i="17"/>
  <c r="AM19" i="38" s="1"/>
  <c r="AM588" i="17"/>
  <c r="AM547" i="17"/>
  <c r="AM444" i="17"/>
  <c r="AR824" i="17"/>
  <c r="AR19" i="38" s="1"/>
  <c r="AR547" i="17"/>
  <c r="AR588" i="17"/>
  <c r="AR444" i="17"/>
  <c r="P547" i="17"/>
  <c r="P588" i="17"/>
  <c r="P444" i="17"/>
  <c r="P824" i="17"/>
  <c r="P19" i="38" s="1"/>
  <c r="AE443" i="17"/>
  <c r="AE189" i="17"/>
  <c r="AE237" i="17"/>
  <c r="AE240" i="17" s="1"/>
  <c r="AE241" i="17" s="1"/>
  <c r="AE295" i="17" s="1"/>
  <c r="AM783" i="17"/>
  <c r="AM252" i="17"/>
  <c r="AM878" i="17"/>
  <c r="AM41" i="38" s="1"/>
  <c r="AM554" i="17"/>
  <c r="AM593" i="17"/>
  <c r="V444" i="17"/>
  <c r="V588" i="17"/>
  <c r="V824" i="17"/>
  <c r="V19" i="38" s="1"/>
  <c r="V547" i="17"/>
  <c r="AF189" i="17"/>
  <c r="AF237" i="17"/>
  <c r="AF240" i="17" s="1"/>
  <c r="AF241" i="17" s="1"/>
  <c r="AF295" i="17" s="1"/>
  <c r="AF443" i="17"/>
  <c r="AP593" i="17"/>
  <c r="AP878" i="17"/>
  <c r="AP41" i="38" s="1"/>
  <c r="AP783" i="17"/>
  <c r="AP252" i="17"/>
  <c r="AP554" i="17"/>
  <c r="AI824" i="17"/>
  <c r="AI19" i="38" s="1"/>
  <c r="AI588" i="17"/>
  <c r="AI444" i="17"/>
  <c r="AI547" i="17"/>
  <c r="AJ443" i="17"/>
  <c r="AJ237" i="17"/>
  <c r="AJ240" i="17" s="1"/>
  <c r="AJ241" i="17" s="1"/>
  <c r="AJ295" i="17" s="1"/>
  <c r="AJ189" i="17"/>
  <c r="AC443" i="17"/>
  <c r="AC237" i="17"/>
  <c r="AC240" i="17" s="1"/>
  <c r="AG189" i="17"/>
  <c r="AG443" i="17"/>
  <c r="AG237" i="17"/>
  <c r="AG240" i="17" s="1"/>
  <c r="AG241" i="17" s="1"/>
  <c r="AG295" i="17" s="1"/>
  <c r="AO443" i="17"/>
  <c r="AO237" i="17"/>
  <c r="AO240" i="17" s="1"/>
  <c r="AO241" i="17" s="1"/>
  <c r="AO295" i="17" s="1"/>
  <c r="AO189" i="17"/>
  <c r="AI252" i="17"/>
  <c r="AI878" i="17"/>
  <c r="AI41" i="38" s="1"/>
  <c r="AI593" i="17"/>
  <c r="AI783" i="17"/>
  <c r="AI554" i="17"/>
  <c r="AD878" i="17"/>
  <c r="AD41" i="38" s="1"/>
  <c r="AD593" i="17"/>
  <c r="AD252" i="17"/>
  <c r="AD783" i="17"/>
  <c r="AD554" i="17"/>
  <c r="F218" i="12"/>
  <c r="F83" i="42" s="1"/>
  <c r="J83" i="42" s="1"/>
  <c r="I83" i="42" s="1"/>
  <c r="Y182" i="13"/>
  <c r="Y180" i="13"/>
  <c r="Z176" i="13" s="1"/>
  <c r="Z179" i="13" s="1"/>
  <c r="Z182" i="13" s="1"/>
  <c r="E157" i="4"/>
  <c r="F157" i="4"/>
  <c r="G157" i="4"/>
  <c r="I157" i="4"/>
  <c r="K157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Y156" i="4"/>
  <c r="Z156" i="4"/>
  <c r="AA156" i="4"/>
  <c r="AB156" i="4"/>
  <c r="AC156" i="4"/>
  <c r="AD156" i="4"/>
  <c r="AE156" i="4"/>
  <c r="AF156" i="4"/>
  <c r="AG156" i="4"/>
  <c r="AH156" i="4"/>
  <c r="AI156" i="4"/>
  <c r="AJ156" i="4"/>
  <c r="AK156" i="4"/>
  <c r="AL156" i="4"/>
  <c r="AM156" i="4"/>
  <c r="AN156" i="4"/>
  <c r="AO156" i="4"/>
  <c r="AP156" i="4"/>
  <c r="AQ156" i="4"/>
  <c r="AR156" i="4"/>
  <c r="AS156" i="4"/>
  <c r="AT156" i="4"/>
  <c r="AU156" i="4"/>
  <c r="AV156" i="4"/>
  <c r="AV143" i="4"/>
  <c r="AU143" i="4"/>
  <c r="AT143" i="4"/>
  <c r="AS143" i="4"/>
  <c r="AR143" i="4"/>
  <c r="AQ143" i="4"/>
  <c r="AP143" i="4"/>
  <c r="AO143" i="4"/>
  <c r="AN143" i="4"/>
  <c r="AM143" i="4"/>
  <c r="AL143" i="4"/>
  <c r="AK143" i="4"/>
  <c r="AJ143" i="4"/>
  <c r="AI143" i="4"/>
  <c r="AH143" i="4"/>
  <c r="AG143" i="4"/>
  <c r="AF143" i="4"/>
  <c r="AE143" i="4"/>
  <c r="AD143" i="4"/>
  <c r="AC143" i="4"/>
  <c r="AB143" i="4"/>
  <c r="AA143" i="4"/>
  <c r="Z143" i="4"/>
  <c r="Y143" i="4"/>
  <c r="X143" i="4"/>
  <c r="W143" i="4"/>
  <c r="V143" i="4"/>
  <c r="U143" i="4"/>
  <c r="T143" i="4"/>
  <c r="S143" i="4"/>
  <c r="R143" i="4"/>
  <c r="Q143" i="4"/>
  <c r="P143" i="4"/>
  <c r="O143" i="4"/>
  <c r="N143" i="4"/>
  <c r="M143" i="4"/>
  <c r="AV142" i="4"/>
  <c r="AU142" i="4"/>
  <c r="AT142" i="4"/>
  <c r="AS142" i="4"/>
  <c r="AR142" i="4"/>
  <c r="AQ142" i="4"/>
  <c r="AP142" i="4"/>
  <c r="AO142" i="4"/>
  <c r="AN142" i="4"/>
  <c r="AM142" i="4"/>
  <c r="AL142" i="4"/>
  <c r="AK142" i="4"/>
  <c r="AJ142" i="4"/>
  <c r="AI142" i="4"/>
  <c r="AH142" i="4"/>
  <c r="AG142" i="4"/>
  <c r="AF142" i="4"/>
  <c r="AE142" i="4"/>
  <c r="AD142" i="4"/>
  <c r="AC142" i="4"/>
  <c r="AB142" i="4"/>
  <c r="AA142" i="4"/>
  <c r="Z142" i="4"/>
  <c r="Y142" i="4"/>
  <c r="X142" i="4"/>
  <c r="W142" i="4"/>
  <c r="V142" i="4"/>
  <c r="U142" i="4"/>
  <c r="T142" i="4"/>
  <c r="S142" i="4"/>
  <c r="R142" i="4"/>
  <c r="Q142" i="4"/>
  <c r="P142" i="4"/>
  <c r="O142" i="4"/>
  <c r="N142" i="4"/>
  <c r="M142" i="4"/>
  <c r="AV141" i="4"/>
  <c r="AU141" i="4"/>
  <c r="AT141" i="4"/>
  <c r="AS141" i="4"/>
  <c r="AR141" i="4"/>
  <c r="AQ141" i="4"/>
  <c r="AP141" i="4"/>
  <c r="AO141" i="4"/>
  <c r="AN141" i="4"/>
  <c r="AM141" i="4"/>
  <c r="AL141" i="4"/>
  <c r="AK141" i="4"/>
  <c r="AJ141" i="4"/>
  <c r="AI141" i="4"/>
  <c r="AH141" i="4"/>
  <c r="AG141" i="4"/>
  <c r="AF141" i="4"/>
  <c r="AE141" i="4"/>
  <c r="AD141" i="4"/>
  <c r="AC141" i="4"/>
  <c r="AB141" i="4"/>
  <c r="AA141" i="4"/>
  <c r="Z141" i="4"/>
  <c r="Y141" i="4"/>
  <c r="X141" i="4"/>
  <c r="W141" i="4"/>
  <c r="V141" i="4"/>
  <c r="U141" i="4"/>
  <c r="T141" i="4"/>
  <c r="S141" i="4"/>
  <c r="R141" i="4"/>
  <c r="Q141" i="4"/>
  <c r="P141" i="4"/>
  <c r="O141" i="4"/>
  <c r="N141" i="4"/>
  <c r="M141" i="4"/>
  <c r="AV140" i="4"/>
  <c r="AU140" i="4"/>
  <c r="AT140" i="4"/>
  <c r="AS140" i="4"/>
  <c r="AR140" i="4"/>
  <c r="AQ140" i="4"/>
  <c r="AP140" i="4"/>
  <c r="AO140" i="4"/>
  <c r="AN140" i="4"/>
  <c r="AM140" i="4"/>
  <c r="AL140" i="4"/>
  <c r="AK140" i="4"/>
  <c r="AJ140" i="4"/>
  <c r="AI140" i="4"/>
  <c r="AH140" i="4"/>
  <c r="AG140" i="4"/>
  <c r="AF140" i="4"/>
  <c r="AE140" i="4"/>
  <c r="AD140" i="4"/>
  <c r="AC140" i="4"/>
  <c r="AB140" i="4"/>
  <c r="AA140" i="4"/>
  <c r="Z140" i="4"/>
  <c r="Y140" i="4"/>
  <c r="X140" i="4"/>
  <c r="W140" i="4"/>
  <c r="V140" i="4"/>
  <c r="U140" i="4"/>
  <c r="T140" i="4"/>
  <c r="S140" i="4"/>
  <c r="R140" i="4"/>
  <c r="Q140" i="4"/>
  <c r="P140" i="4"/>
  <c r="O140" i="4"/>
  <c r="N140" i="4"/>
  <c r="M140" i="4"/>
  <c r="L143" i="4"/>
  <c r="L142" i="4"/>
  <c r="L141" i="4"/>
  <c r="L140" i="4"/>
  <c r="F143" i="4"/>
  <c r="E143" i="4"/>
  <c r="F142" i="4"/>
  <c r="E142" i="4"/>
  <c r="F141" i="4"/>
  <c r="E141" i="4"/>
  <c r="F140" i="4"/>
  <c r="E140" i="4"/>
  <c r="E137" i="4"/>
  <c r="E136" i="4"/>
  <c r="E135" i="4"/>
  <c r="E134" i="4"/>
  <c r="K151" i="4"/>
  <c r="I151" i="4"/>
  <c r="G151" i="4"/>
  <c r="F151" i="4"/>
  <c r="E151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AA99" i="4"/>
  <c r="AB99" i="4"/>
  <c r="AC99" i="4"/>
  <c r="AD99" i="4"/>
  <c r="AE99" i="4"/>
  <c r="AF99" i="4"/>
  <c r="AG99" i="4"/>
  <c r="AH99" i="4"/>
  <c r="AI99" i="4"/>
  <c r="AJ99" i="4"/>
  <c r="AK99" i="4"/>
  <c r="AL99" i="4"/>
  <c r="AM99" i="4"/>
  <c r="AN99" i="4"/>
  <c r="AO99" i="4"/>
  <c r="AP99" i="4"/>
  <c r="AQ99" i="4"/>
  <c r="AR99" i="4"/>
  <c r="AS99" i="4"/>
  <c r="AT99" i="4"/>
  <c r="AU99" i="4"/>
  <c r="AV99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AA98" i="4"/>
  <c r="AB98" i="4"/>
  <c r="AC98" i="4"/>
  <c r="AD98" i="4"/>
  <c r="AE98" i="4"/>
  <c r="AF98" i="4"/>
  <c r="AG98" i="4"/>
  <c r="AH98" i="4"/>
  <c r="AI98" i="4"/>
  <c r="AJ98" i="4"/>
  <c r="AK98" i="4"/>
  <c r="AL98" i="4"/>
  <c r="AM98" i="4"/>
  <c r="AN98" i="4"/>
  <c r="AO98" i="4"/>
  <c r="AP98" i="4"/>
  <c r="AQ98" i="4"/>
  <c r="AR98" i="4"/>
  <c r="AS98" i="4"/>
  <c r="AT98" i="4"/>
  <c r="AU98" i="4"/>
  <c r="AV98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AC94" i="4"/>
  <c r="AD94" i="4"/>
  <c r="AE94" i="4"/>
  <c r="AF94" i="4"/>
  <c r="AG94" i="4"/>
  <c r="AH94" i="4"/>
  <c r="AI94" i="4"/>
  <c r="AJ94" i="4"/>
  <c r="AK94" i="4"/>
  <c r="AL94" i="4"/>
  <c r="AM94" i="4"/>
  <c r="AN94" i="4"/>
  <c r="AO94" i="4"/>
  <c r="AP94" i="4"/>
  <c r="AQ94" i="4"/>
  <c r="AR94" i="4"/>
  <c r="AS94" i="4"/>
  <c r="AT94" i="4"/>
  <c r="AU94" i="4"/>
  <c r="AV94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AA93" i="4"/>
  <c r="AB93" i="4"/>
  <c r="AC93" i="4"/>
  <c r="AD93" i="4"/>
  <c r="AE93" i="4"/>
  <c r="AF93" i="4"/>
  <c r="AG93" i="4"/>
  <c r="AH93" i="4"/>
  <c r="AI93" i="4"/>
  <c r="AJ93" i="4"/>
  <c r="AK93" i="4"/>
  <c r="AL93" i="4"/>
  <c r="AM93" i="4"/>
  <c r="AN93" i="4"/>
  <c r="AO93" i="4"/>
  <c r="AP93" i="4"/>
  <c r="AQ93" i="4"/>
  <c r="AR93" i="4"/>
  <c r="AS93" i="4"/>
  <c r="AT93" i="4"/>
  <c r="AU93" i="4"/>
  <c r="AV93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A89" i="4"/>
  <c r="AB89" i="4"/>
  <c r="AC89" i="4"/>
  <c r="AD89" i="4"/>
  <c r="AE89" i="4"/>
  <c r="AF89" i="4"/>
  <c r="AG89" i="4"/>
  <c r="AH89" i="4"/>
  <c r="AI89" i="4"/>
  <c r="AJ89" i="4"/>
  <c r="AK89" i="4"/>
  <c r="AL89" i="4"/>
  <c r="AM89" i="4"/>
  <c r="AN89" i="4"/>
  <c r="AO89" i="4"/>
  <c r="AP89" i="4"/>
  <c r="AQ89" i="4"/>
  <c r="AR89" i="4"/>
  <c r="AS89" i="4"/>
  <c r="AT89" i="4"/>
  <c r="AU89" i="4"/>
  <c r="AV89" i="4"/>
  <c r="L88" i="4"/>
  <c r="M88" i="4"/>
  <c r="N88" i="4"/>
  <c r="O88" i="4"/>
  <c r="P88" i="4"/>
  <c r="Q88" i="4"/>
  <c r="R88" i="4"/>
  <c r="S88" i="4"/>
  <c r="T88" i="4"/>
  <c r="U88" i="4"/>
  <c r="V88" i="4"/>
  <c r="W88" i="4"/>
  <c r="X88" i="4"/>
  <c r="Y88" i="4"/>
  <c r="Z88" i="4"/>
  <c r="AA88" i="4"/>
  <c r="AB88" i="4"/>
  <c r="AC88" i="4"/>
  <c r="AD88" i="4"/>
  <c r="AE88" i="4"/>
  <c r="AF88" i="4"/>
  <c r="AG88" i="4"/>
  <c r="AH88" i="4"/>
  <c r="AI88" i="4"/>
  <c r="AJ88" i="4"/>
  <c r="AK88" i="4"/>
  <c r="AL88" i="4"/>
  <c r="AM88" i="4"/>
  <c r="AN88" i="4"/>
  <c r="AO88" i="4"/>
  <c r="AP88" i="4"/>
  <c r="AQ88" i="4"/>
  <c r="AR88" i="4"/>
  <c r="AS88" i="4"/>
  <c r="AT88" i="4"/>
  <c r="AU88" i="4"/>
  <c r="AV8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Z78" i="4"/>
  <c r="AA78" i="4"/>
  <c r="AB78" i="4"/>
  <c r="AC78" i="4"/>
  <c r="AD78" i="4"/>
  <c r="AE78" i="4"/>
  <c r="AF78" i="4"/>
  <c r="AG78" i="4"/>
  <c r="AH78" i="4"/>
  <c r="AI78" i="4"/>
  <c r="AJ78" i="4"/>
  <c r="AK78" i="4"/>
  <c r="AL78" i="4"/>
  <c r="AM78" i="4"/>
  <c r="AN78" i="4"/>
  <c r="AO78" i="4"/>
  <c r="AP78" i="4"/>
  <c r="AQ78" i="4"/>
  <c r="AR78" i="4"/>
  <c r="AS78" i="4"/>
  <c r="AT78" i="4"/>
  <c r="AU78" i="4"/>
  <c r="AV78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Y77" i="4"/>
  <c r="Z77" i="4"/>
  <c r="AA77" i="4"/>
  <c r="AB77" i="4"/>
  <c r="AC77" i="4"/>
  <c r="AD77" i="4"/>
  <c r="AE77" i="4"/>
  <c r="AF77" i="4"/>
  <c r="AG77" i="4"/>
  <c r="AH77" i="4"/>
  <c r="AI77" i="4"/>
  <c r="AJ77" i="4"/>
  <c r="AK77" i="4"/>
  <c r="AL77" i="4"/>
  <c r="AM77" i="4"/>
  <c r="AN77" i="4"/>
  <c r="AO77" i="4"/>
  <c r="AP77" i="4"/>
  <c r="AQ77" i="4"/>
  <c r="AR77" i="4"/>
  <c r="AS77" i="4"/>
  <c r="AT77" i="4"/>
  <c r="AU77" i="4"/>
  <c r="AV77" i="4"/>
  <c r="AV67" i="4"/>
  <c r="AU67" i="4"/>
  <c r="AT67" i="4"/>
  <c r="AS67" i="4"/>
  <c r="AR67" i="4"/>
  <c r="AQ67" i="4"/>
  <c r="AP67" i="4"/>
  <c r="AO67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AV66" i="4"/>
  <c r="AU66" i="4"/>
  <c r="AT66" i="4"/>
  <c r="AS66" i="4"/>
  <c r="AR66" i="4"/>
  <c r="AQ66" i="4"/>
  <c r="AP66" i="4"/>
  <c r="AO66" i="4"/>
  <c r="AN66" i="4"/>
  <c r="AM66" i="4"/>
  <c r="AL66" i="4"/>
  <c r="AK66" i="4"/>
  <c r="AJ66" i="4"/>
  <c r="AI66" i="4"/>
  <c r="AH66" i="4"/>
  <c r="AG66" i="4"/>
  <c r="AF66" i="4"/>
  <c r="AE66" i="4"/>
  <c r="AD66" i="4"/>
  <c r="AC66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Y55" i="4"/>
  <c r="Z55" i="4"/>
  <c r="AA55" i="4"/>
  <c r="AB55" i="4"/>
  <c r="AC55" i="4"/>
  <c r="AD55" i="4"/>
  <c r="AE55" i="4"/>
  <c r="AF55" i="4"/>
  <c r="AG55" i="4"/>
  <c r="AH55" i="4"/>
  <c r="AI55" i="4"/>
  <c r="AJ55" i="4"/>
  <c r="AK55" i="4"/>
  <c r="AL55" i="4"/>
  <c r="AM55" i="4"/>
  <c r="AN55" i="4"/>
  <c r="AO55" i="4"/>
  <c r="AP55" i="4"/>
  <c r="AQ55" i="4"/>
  <c r="AR55" i="4"/>
  <c r="AS55" i="4"/>
  <c r="AT55" i="4"/>
  <c r="AU55" i="4"/>
  <c r="AV55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AH54" i="4"/>
  <c r="AI54" i="4"/>
  <c r="AJ54" i="4"/>
  <c r="AK54" i="4"/>
  <c r="AL54" i="4"/>
  <c r="AM54" i="4"/>
  <c r="AN54" i="4"/>
  <c r="AO54" i="4"/>
  <c r="AP54" i="4"/>
  <c r="AQ54" i="4"/>
  <c r="AR54" i="4"/>
  <c r="AS54" i="4"/>
  <c r="AT54" i="4"/>
  <c r="AU54" i="4"/>
  <c r="AV54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Y150" i="4"/>
  <c r="Z150" i="4"/>
  <c r="AA150" i="4"/>
  <c r="AB150" i="4"/>
  <c r="AC150" i="4"/>
  <c r="AD150" i="4"/>
  <c r="AE150" i="4"/>
  <c r="AF150" i="4"/>
  <c r="AG150" i="4"/>
  <c r="AH150" i="4"/>
  <c r="AI150" i="4"/>
  <c r="AJ150" i="4"/>
  <c r="AK150" i="4"/>
  <c r="AL150" i="4"/>
  <c r="AM150" i="4"/>
  <c r="AN150" i="4"/>
  <c r="AO150" i="4"/>
  <c r="AP150" i="4"/>
  <c r="AQ150" i="4"/>
  <c r="AR150" i="4"/>
  <c r="AS150" i="4"/>
  <c r="AT150" i="4"/>
  <c r="AU150" i="4"/>
  <c r="AV150" i="4"/>
  <c r="G148" i="4"/>
  <c r="X148" i="4"/>
  <c r="W148" i="4"/>
  <c r="V148" i="4"/>
  <c r="U148" i="4"/>
  <c r="T148" i="4"/>
  <c r="S148" i="4"/>
  <c r="R148" i="4"/>
  <c r="Q148" i="4"/>
  <c r="P148" i="4"/>
  <c r="O148" i="4"/>
  <c r="N148" i="4"/>
  <c r="M148" i="4"/>
  <c r="L148" i="4"/>
  <c r="Y134" i="4"/>
  <c r="Z134" i="4"/>
  <c r="AA134" i="4"/>
  <c r="AB134" i="4"/>
  <c r="AC134" i="4"/>
  <c r="AD134" i="4"/>
  <c r="AE134" i="4"/>
  <c r="AF134" i="4"/>
  <c r="AG134" i="4"/>
  <c r="AH134" i="4"/>
  <c r="AI134" i="4"/>
  <c r="AJ134" i="4"/>
  <c r="AK134" i="4"/>
  <c r="AL134" i="4"/>
  <c r="AM134" i="4"/>
  <c r="AN134" i="4"/>
  <c r="Y135" i="4"/>
  <c r="Z135" i="4"/>
  <c r="AA135" i="4"/>
  <c r="AB135" i="4"/>
  <c r="AC135" i="4"/>
  <c r="AD135" i="4"/>
  <c r="AE135" i="4"/>
  <c r="AF135" i="4"/>
  <c r="AG135" i="4"/>
  <c r="AH135" i="4"/>
  <c r="AI135" i="4"/>
  <c r="AJ135" i="4"/>
  <c r="AK135" i="4"/>
  <c r="AL135" i="4"/>
  <c r="AM135" i="4"/>
  <c r="AN135" i="4"/>
  <c r="Y136" i="4"/>
  <c r="Z136" i="4"/>
  <c r="AA136" i="4"/>
  <c r="AB136" i="4"/>
  <c r="AC136" i="4"/>
  <c r="AD136" i="4"/>
  <c r="AE136" i="4"/>
  <c r="AF136" i="4"/>
  <c r="AG136" i="4"/>
  <c r="AH136" i="4"/>
  <c r="AI136" i="4"/>
  <c r="AJ136" i="4"/>
  <c r="AK136" i="4"/>
  <c r="AL136" i="4"/>
  <c r="AM136" i="4"/>
  <c r="AN136" i="4"/>
  <c r="Y137" i="4"/>
  <c r="Y138" i="4" s="1"/>
  <c r="Z137" i="4"/>
  <c r="AA137" i="4"/>
  <c r="AB137" i="4"/>
  <c r="AC137" i="4"/>
  <c r="AD137" i="4"/>
  <c r="AE137" i="4"/>
  <c r="AF137" i="4"/>
  <c r="AG137" i="4"/>
  <c r="AH137" i="4"/>
  <c r="AI137" i="4"/>
  <c r="AJ137" i="4"/>
  <c r="AK137" i="4"/>
  <c r="AL137" i="4"/>
  <c r="AM137" i="4"/>
  <c r="AN137" i="4"/>
  <c r="AV137" i="4"/>
  <c r="AU137" i="4"/>
  <c r="AT137" i="4"/>
  <c r="AS137" i="4"/>
  <c r="AR137" i="4"/>
  <c r="AQ137" i="4"/>
  <c r="AP137" i="4"/>
  <c r="AO137" i="4"/>
  <c r="X137" i="4"/>
  <c r="W137" i="4"/>
  <c r="V137" i="4"/>
  <c r="U137" i="4"/>
  <c r="T137" i="4"/>
  <c r="S137" i="4"/>
  <c r="R137" i="4"/>
  <c r="Q137" i="4"/>
  <c r="P137" i="4"/>
  <c r="O137" i="4"/>
  <c r="N137" i="4"/>
  <c r="M137" i="4"/>
  <c r="L137" i="4"/>
  <c r="G137" i="4"/>
  <c r="F137" i="4"/>
  <c r="AV136" i="4"/>
  <c r="AU136" i="4"/>
  <c r="AT136" i="4"/>
  <c r="AS136" i="4"/>
  <c r="AR136" i="4"/>
  <c r="AQ136" i="4"/>
  <c r="AP136" i="4"/>
  <c r="AO136" i="4"/>
  <c r="X136" i="4"/>
  <c r="W136" i="4"/>
  <c r="V136" i="4"/>
  <c r="U136" i="4"/>
  <c r="T136" i="4"/>
  <c r="S136" i="4"/>
  <c r="R136" i="4"/>
  <c r="Q136" i="4"/>
  <c r="P136" i="4"/>
  <c r="O136" i="4"/>
  <c r="N136" i="4"/>
  <c r="M136" i="4"/>
  <c r="L136" i="4"/>
  <c r="G136" i="4"/>
  <c r="F136" i="4"/>
  <c r="AV135" i="4"/>
  <c r="AU135" i="4"/>
  <c r="AT135" i="4"/>
  <c r="AS135" i="4"/>
  <c r="AR135" i="4"/>
  <c r="AQ135" i="4"/>
  <c r="AP135" i="4"/>
  <c r="AO135" i="4"/>
  <c r="X135" i="4"/>
  <c r="W135" i="4"/>
  <c r="V135" i="4"/>
  <c r="U135" i="4"/>
  <c r="T135" i="4"/>
  <c r="S135" i="4"/>
  <c r="R135" i="4"/>
  <c r="Q135" i="4"/>
  <c r="P135" i="4"/>
  <c r="O135" i="4"/>
  <c r="N135" i="4"/>
  <c r="M135" i="4"/>
  <c r="L135" i="4"/>
  <c r="G135" i="4"/>
  <c r="F135" i="4"/>
  <c r="AV134" i="4"/>
  <c r="AU134" i="4"/>
  <c r="AT134" i="4"/>
  <c r="AS134" i="4"/>
  <c r="AR134" i="4"/>
  <c r="AQ134" i="4"/>
  <c r="AP134" i="4"/>
  <c r="AO134" i="4"/>
  <c r="X134" i="4"/>
  <c r="W134" i="4"/>
  <c r="V134" i="4"/>
  <c r="U134" i="4"/>
  <c r="T134" i="4"/>
  <c r="S134" i="4"/>
  <c r="R134" i="4"/>
  <c r="Q134" i="4"/>
  <c r="P134" i="4"/>
  <c r="O134" i="4"/>
  <c r="N134" i="4"/>
  <c r="M134" i="4"/>
  <c r="L134" i="4"/>
  <c r="G134" i="4"/>
  <c r="F134" i="4"/>
  <c r="AN148" i="4"/>
  <c r="AM148" i="4"/>
  <c r="AL148" i="4"/>
  <c r="AK148" i="4"/>
  <c r="AJ148" i="4"/>
  <c r="AI148" i="4"/>
  <c r="AH148" i="4"/>
  <c r="AG148" i="4"/>
  <c r="AF148" i="4"/>
  <c r="AE148" i="4"/>
  <c r="AD148" i="4"/>
  <c r="AC148" i="4"/>
  <c r="AB148" i="4"/>
  <c r="AA148" i="4"/>
  <c r="Z148" i="4"/>
  <c r="U37" i="4"/>
  <c r="T37" i="4"/>
  <c r="S37" i="4"/>
  <c r="R37" i="4"/>
  <c r="Q37" i="4"/>
  <c r="P37" i="4"/>
  <c r="O37" i="4"/>
  <c r="N37" i="4"/>
  <c r="J111" i="4"/>
  <c r="J128" i="13" s="1"/>
  <c r="J110" i="4"/>
  <c r="J127" i="13" s="1"/>
  <c r="J109" i="4"/>
  <c r="J126" i="13" s="1"/>
  <c r="J108" i="4"/>
  <c r="J125" i="13" s="1"/>
  <c r="J107" i="4"/>
  <c r="J124" i="13" s="1"/>
  <c r="J104" i="4"/>
  <c r="J159" i="13" s="1"/>
  <c r="J103" i="4"/>
  <c r="J158" i="13" s="1"/>
  <c r="J86" i="4"/>
  <c r="J85" i="4"/>
  <c r="J84" i="4"/>
  <c r="J137" i="4" s="1"/>
  <c r="J81" i="4"/>
  <c r="J125" i="4" s="1"/>
  <c r="J75" i="4"/>
  <c r="J74" i="4"/>
  <c r="J73" i="4"/>
  <c r="J136" i="4" s="1"/>
  <c r="J70" i="4"/>
  <c r="J124" i="4" s="1"/>
  <c r="J64" i="4"/>
  <c r="J63" i="4"/>
  <c r="J135" i="4" s="1"/>
  <c r="J58" i="4"/>
  <c r="J123" i="4" s="1"/>
  <c r="J52" i="4"/>
  <c r="J51" i="4"/>
  <c r="J134" i="4" s="1"/>
  <c r="J46" i="4"/>
  <c r="J122" i="4" s="1"/>
  <c r="J36" i="4"/>
  <c r="J35" i="4"/>
  <c r="J34" i="4"/>
  <c r="J33" i="4"/>
  <c r="J31" i="4"/>
  <c r="J30" i="4"/>
  <c r="J26" i="4"/>
  <c r="J22" i="4"/>
  <c r="J18" i="4"/>
  <c r="J14" i="4"/>
  <c r="J10" i="4"/>
  <c r="J41" i="4"/>
  <c r="J40" i="4"/>
  <c r="J39" i="4"/>
  <c r="J121" i="4" s="1"/>
  <c r="A1" i="4"/>
  <c r="B53" i="24" s="1"/>
  <c r="AM718" i="17" l="1"/>
  <c r="AQ444" i="17"/>
  <c r="AQ588" i="17"/>
  <c r="AQ547" i="17"/>
  <c r="AP547" i="17"/>
  <c r="AP824" i="17"/>
  <c r="AP19" i="38" s="1"/>
  <c r="AP444" i="17"/>
  <c r="AT298" i="17"/>
  <c r="AT37" i="37"/>
  <c r="AT300" i="17"/>
  <c r="AT296" i="17"/>
  <c r="AT297" i="17"/>
  <c r="AM682" i="17"/>
  <c r="AN678" i="17" s="1"/>
  <c r="AN679" i="17" s="1"/>
  <c r="AL300" i="17"/>
  <c r="AL299" i="17"/>
  <c r="AL298" i="17"/>
  <c r="AL297" i="17"/>
  <c r="AL296" i="17"/>
  <c r="AG300" i="17"/>
  <c r="AG299" i="17"/>
  <c r="AG298" i="17"/>
  <c r="AG297" i="17"/>
  <c r="AG296" i="17"/>
  <c r="AF300" i="17"/>
  <c r="AF299" i="17"/>
  <c r="AF298" i="17"/>
  <c r="AF297" i="17"/>
  <c r="AF296" i="17"/>
  <c r="AH300" i="17"/>
  <c r="AH299" i="17"/>
  <c r="AH298" i="17"/>
  <c r="AH297" i="17"/>
  <c r="AH296" i="17"/>
  <c r="AE300" i="17"/>
  <c r="AE299" i="17"/>
  <c r="AE298" i="17"/>
  <c r="AE297" i="17"/>
  <c r="AE296" i="17"/>
  <c r="AO300" i="17"/>
  <c r="AO299" i="17"/>
  <c r="AO298" i="17"/>
  <c r="AO297" i="17"/>
  <c r="AO296" i="17"/>
  <c r="AJ300" i="17"/>
  <c r="AJ299" i="17"/>
  <c r="AJ298" i="17"/>
  <c r="AJ297" i="17"/>
  <c r="AJ296" i="17"/>
  <c r="U547" i="17"/>
  <c r="U824" i="17"/>
  <c r="U19" i="38" s="1"/>
  <c r="U444" i="17"/>
  <c r="U588" i="17"/>
  <c r="T444" i="17"/>
  <c r="T824" i="17"/>
  <c r="T19" i="38" s="1"/>
  <c r="T547" i="17"/>
  <c r="T588" i="17"/>
  <c r="D144" i="43"/>
  <c r="AM37" i="37"/>
  <c r="AM38" i="37" s="1"/>
  <c r="AM142" i="26"/>
  <c r="AH554" i="17"/>
  <c r="AH783" i="17"/>
  <c r="AH593" i="17"/>
  <c r="AH878" i="17"/>
  <c r="AH41" i="38" s="1"/>
  <c r="AH252" i="17"/>
  <c r="N824" i="17"/>
  <c r="N19" i="38" s="1"/>
  <c r="N547" i="17"/>
  <c r="N588" i="17"/>
  <c r="N444" i="17"/>
  <c r="AN37" i="37"/>
  <c r="AN142" i="26"/>
  <c r="AJ593" i="17"/>
  <c r="AJ554" i="17"/>
  <c r="AJ783" i="17"/>
  <c r="AJ878" i="17"/>
  <c r="AJ41" i="38" s="1"/>
  <c r="AJ252" i="17"/>
  <c r="AK37" i="37"/>
  <c r="AK142" i="26"/>
  <c r="AO783" i="17"/>
  <c r="AO878" i="17"/>
  <c r="AO41" i="38" s="1"/>
  <c r="AO593" i="17"/>
  <c r="AO554" i="17"/>
  <c r="AO252" i="17"/>
  <c r="R588" i="17"/>
  <c r="R824" i="17"/>
  <c r="R19" i="38" s="1"/>
  <c r="R444" i="17"/>
  <c r="R547" i="17"/>
  <c r="AG824" i="17"/>
  <c r="AG19" i="38" s="1"/>
  <c r="AG547" i="17"/>
  <c r="AG588" i="17"/>
  <c r="AG444" i="17"/>
  <c r="AE783" i="17"/>
  <c r="AE252" i="17"/>
  <c r="AE878" i="17"/>
  <c r="AE41" i="38" s="1"/>
  <c r="AE554" i="17"/>
  <c r="AE593" i="17"/>
  <c r="AR142" i="26"/>
  <c r="AR37" i="37"/>
  <c r="AD142" i="26"/>
  <c r="AD37" i="37"/>
  <c r="AF783" i="17"/>
  <c r="AF252" i="17"/>
  <c r="AF554" i="17"/>
  <c r="AF878" i="17"/>
  <c r="AF41" i="38" s="1"/>
  <c r="AF593" i="17"/>
  <c r="AE824" i="17"/>
  <c r="AE444" i="17"/>
  <c r="AE547" i="17"/>
  <c r="AE588" i="17"/>
  <c r="AP142" i="26"/>
  <c r="AP37" i="37"/>
  <c r="AI37" i="37"/>
  <c r="AI142" i="26"/>
  <c r="AG878" i="17"/>
  <c r="AG41" i="38" s="1"/>
  <c r="AG252" i="17"/>
  <c r="AG554" i="17"/>
  <c r="AG593" i="17"/>
  <c r="AG783" i="17"/>
  <c r="AF444" i="17"/>
  <c r="AF824" i="17"/>
  <c r="AF19" i="38" s="1"/>
  <c r="AF588" i="17"/>
  <c r="AF547" i="17"/>
  <c r="AL824" i="17"/>
  <c r="AL19" i="38" s="1"/>
  <c r="AL547" i="17"/>
  <c r="AL444" i="17"/>
  <c r="AL588" i="17"/>
  <c r="AH824" i="17"/>
  <c r="AH19" i="38" s="1"/>
  <c r="AH588" i="17"/>
  <c r="AH547" i="17"/>
  <c r="AH444" i="17"/>
  <c r="AO824" i="17"/>
  <c r="AO19" i="38" s="1"/>
  <c r="AO588" i="17"/>
  <c r="AO547" i="17"/>
  <c r="AO444" i="17"/>
  <c r="AJ824" i="17"/>
  <c r="AJ19" i="38" s="1"/>
  <c r="AJ444" i="17"/>
  <c r="AJ547" i="17"/>
  <c r="AJ588" i="17"/>
  <c r="AS142" i="26"/>
  <c r="AS37" i="37"/>
  <c r="AQ142" i="26"/>
  <c r="AQ37" i="37"/>
  <c r="AL783" i="17"/>
  <c r="AL593" i="17"/>
  <c r="AL252" i="17"/>
  <c r="AL554" i="17"/>
  <c r="AL878" i="17"/>
  <c r="AL41" i="38" s="1"/>
  <c r="J25" i="13"/>
  <c r="J38" i="13"/>
  <c r="Y207" i="13"/>
  <c r="Z180" i="13"/>
  <c r="AA176" i="13" s="1"/>
  <c r="AA179" i="13" s="1"/>
  <c r="AA182" i="13" s="1"/>
  <c r="Z207" i="13"/>
  <c r="AE138" i="4"/>
  <c r="M144" i="4"/>
  <c r="U144" i="4"/>
  <c r="AC144" i="4"/>
  <c r="AK144" i="4"/>
  <c r="AS144" i="4"/>
  <c r="L144" i="4"/>
  <c r="J156" i="4"/>
  <c r="S138" i="4"/>
  <c r="AQ138" i="4"/>
  <c r="N144" i="4"/>
  <c r="V144" i="4"/>
  <c r="AD144" i="4"/>
  <c r="AL144" i="4"/>
  <c r="AT144" i="4"/>
  <c r="O144" i="4"/>
  <c r="W144" i="4"/>
  <c r="AE144" i="4"/>
  <c r="AM144" i="4"/>
  <c r="AU144" i="4"/>
  <c r="P144" i="4"/>
  <c r="X144" i="4"/>
  <c r="AF144" i="4"/>
  <c r="AN144" i="4"/>
  <c r="AV144" i="4"/>
  <c r="Q144" i="4"/>
  <c r="AG144" i="4"/>
  <c r="J141" i="4"/>
  <c r="Z144" i="4"/>
  <c r="AP144" i="4"/>
  <c r="J142" i="4"/>
  <c r="S144" i="4"/>
  <c r="AA144" i="4"/>
  <c r="AI144" i="4"/>
  <c r="AQ144" i="4"/>
  <c r="J140" i="4"/>
  <c r="Y144" i="4"/>
  <c r="AO144" i="4"/>
  <c r="R144" i="4"/>
  <c r="AH144" i="4"/>
  <c r="J143" i="4"/>
  <c r="T144" i="4"/>
  <c r="AB144" i="4"/>
  <c r="AJ144" i="4"/>
  <c r="AR144" i="4"/>
  <c r="M138" i="4"/>
  <c r="AS138" i="4"/>
  <c r="O138" i="4"/>
  <c r="AU138" i="4"/>
  <c r="U138" i="4"/>
  <c r="W138" i="4"/>
  <c r="AC138" i="4"/>
  <c r="AB138" i="4"/>
  <c r="AA138" i="4"/>
  <c r="Z138" i="4"/>
  <c r="AD138" i="4"/>
  <c r="AE100" i="4"/>
  <c r="AE157" i="4" s="1"/>
  <c r="AH138" i="4"/>
  <c r="AV95" i="4"/>
  <c r="AR95" i="4"/>
  <c r="AJ95" i="4"/>
  <c r="AB95" i="4"/>
  <c r="T95" i="4"/>
  <c r="L95" i="4"/>
  <c r="AQ95" i="4"/>
  <c r="AI95" i="4"/>
  <c r="AA95" i="4"/>
  <c r="S95" i="4"/>
  <c r="AM95" i="4"/>
  <c r="AE95" i="4"/>
  <c r="Z95" i="4"/>
  <c r="AS100" i="4"/>
  <c r="AS157" i="4" s="1"/>
  <c r="AK100" i="4"/>
  <c r="AK157" i="4" s="1"/>
  <c r="AC100" i="4"/>
  <c r="AC157" i="4" s="1"/>
  <c r="U100" i="4"/>
  <c r="U157" i="4" s="1"/>
  <c r="M100" i="4"/>
  <c r="M157" i="4" s="1"/>
  <c r="Y95" i="4"/>
  <c r="AU95" i="4"/>
  <c r="W95" i="4"/>
  <c r="AT95" i="4"/>
  <c r="AL95" i="4"/>
  <c r="AD95" i="4"/>
  <c r="V95" i="4"/>
  <c r="N95" i="4"/>
  <c r="J98" i="4"/>
  <c r="AR100" i="4"/>
  <c r="AR157" i="4" s="1"/>
  <c r="AJ100" i="4"/>
  <c r="AJ157" i="4" s="1"/>
  <c r="AB100" i="4"/>
  <c r="AB157" i="4" s="1"/>
  <c r="T100" i="4"/>
  <c r="T157" i="4" s="1"/>
  <c r="AN95" i="4"/>
  <c r="AF95" i="4"/>
  <c r="X95" i="4"/>
  <c r="P95" i="4"/>
  <c r="AM100" i="4"/>
  <c r="AM157" i="4" s="1"/>
  <c r="AI100" i="4"/>
  <c r="AI157" i="4" s="1"/>
  <c r="AT100" i="4"/>
  <c r="AT157" i="4" s="1"/>
  <c r="AL100" i="4"/>
  <c r="AL157" i="4" s="1"/>
  <c r="AD100" i="4"/>
  <c r="AD157" i="4" s="1"/>
  <c r="V100" i="4"/>
  <c r="V157" i="4" s="1"/>
  <c r="N100" i="4"/>
  <c r="N157" i="4" s="1"/>
  <c r="AP95" i="4"/>
  <c r="AH95" i="4"/>
  <c r="R95" i="4"/>
  <c r="AO95" i="4"/>
  <c r="AG95" i="4"/>
  <c r="Q95" i="4"/>
  <c r="O95" i="4"/>
  <c r="AQ100" i="4"/>
  <c r="AQ157" i="4" s="1"/>
  <c r="AA100" i="4"/>
  <c r="AA157" i="4" s="1"/>
  <c r="S100" i="4"/>
  <c r="S157" i="4" s="1"/>
  <c r="AV100" i="4"/>
  <c r="AV157" i="4" s="1"/>
  <c r="AN100" i="4"/>
  <c r="AN157" i="4" s="1"/>
  <c r="AF100" i="4"/>
  <c r="AF157" i="4" s="1"/>
  <c r="X100" i="4"/>
  <c r="X157" i="4" s="1"/>
  <c r="P100" i="4"/>
  <c r="P157" i="4" s="1"/>
  <c r="AP100" i="4"/>
  <c r="AP157" i="4" s="1"/>
  <c r="AH100" i="4"/>
  <c r="AH157" i="4" s="1"/>
  <c r="Z100" i="4"/>
  <c r="Z157" i="4" s="1"/>
  <c r="R100" i="4"/>
  <c r="R157" i="4" s="1"/>
  <c r="AO100" i="4"/>
  <c r="AO157" i="4" s="1"/>
  <c r="AG100" i="4"/>
  <c r="AG157" i="4" s="1"/>
  <c r="Y100" i="4"/>
  <c r="Y157" i="4" s="1"/>
  <c r="Q100" i="4"/>
  <c r="Q157" i="4" s="1"/>
  <c r="O100" i="4"/>
  <c r="O157" i="4" s="1"/>
  <c r="W100" i="4"/>
  <c r="W157" i="4" s="1"/>
  <c r="AU100" i="4"/>
  <c r="AU157" i="4" s="1"/>
  <c r="L100" i="4"/>
  <c r="L157" i="4" s="1"/>
  <c r="J99" i="4"/>
  <c r="J93" i="4"/>
  <c r="AS95" i="4"/>
  <c r="AK95" i="4"/>
  <c r="AC95" i="4"/>
  <c r="U95" i="4"/>
  <c r="M95" i="4"/>
  <c r="J94" i="4"/>
  <c r="AG138" i="4"/>
  <c r="AF138" i="4"/>
  <c r="J150" i="4"/>
  <c r="AM138" i="4"/>
  <c r="AK138" i="4"/>
  <c r="R138" i="4"/>
  <c r="AP138" i="4"/>
  <c r="N138" i="4"/>
  <c r="V138" i="4"/>
  <c r="AT138" i="4"/>
  <c r="AL138" i="4"/>
  <c r="L138" i="4"/>
  <c r="T138" i="4"/>
  <c r="AR138" i="4"/>
  <c r="AJ138" i="4"/>
  <c r="J148" i="4"/>
  <c r="AN138" i="4"/>
  <c r="Q138" i="4"/>
  <c r="AO138" i="4"/>
  <c r="P138" i="4"/>
  <c r="X138" i="4"/>
  <c r="AV138" i="4"/>
  <c r="AI138" i="4"/>
  <c r="J373" i="1"/>
  <c r="J18" i="12" s="1"/>
  <c r="J53" i="12" s="1"/>
  <c r="J422" i="1"/>
  <c r="J192" i="12" s="1"/>
  <c r="J421" i="1"/>
  <c r="J420" i="1"/>
  <c r="J91" i="12" s="1"/>
  <c r="J419" i="1"/>
  <c r="J418" i="1"/>
  <c r="J64" i="12" s="1"/>
  <c r="J417" i="1"/>
  <c r="J416" i="1"/>
  <c r="J120" i="12" s="1"/>
  <c r="J415" i="1"/>
  <c r="J119" i="12" s="1"/>
  <c r="J414" i="1"/>
  <c r="J413" i="1"/>
  <c r="J118" i="12" s="1"/>
  <c r="J412" i="1"/>
  <c r="J117" i="12" s="1"/>
  <c r="J411" i="1"/>
  <c r="J322" i="1"/>
  <c r="J321" i="1"/>
  <c r="J320" i="1"/>
  <c r="J319" i="1"/>
  <c r="J318" i="1"/>
  <c r="J307" i="1"/>
  <c r="J337" i="1"/>
  <c r="J336" i="1"/>
  <c r="J335" i="1"/>
  <c r="J334" i="1"/>
  <c r="J333" i="1"/>
  <c r="J330" i="1"/>
  <c r="J329" i="1"/>
  <c r="J328" i="1"/>
  <c r="J327" i="1"/>
  <c r="J326" i="1"/>
  <c r="J325" i="1"/>
  <c r="J310" i="1"/>
  <c r="J309" i="1"/>
  <c r="J313" i="1"/>
  <c r="J305" i="1"/>
  <c r="J312" i="1"/>
  <c r="AN701" i="17" l="1"/>
  <c r="AN681" i="17"/>
  <c r="AE19" i="38"/>
  <c r="G857" i="17" a="1"/>
  <c r="G857" i="17" s="1"/>
  <c r="AL37" i="37"/>
  <c r="AL142" i="26"/>
  <c r="AE142" i="26"/>
  <c r="AE37" i="37"/>
  <c r="AF142" i="26"/>
  <c r="AF37" i="37"/>
  <c r="AO37" i="37"/>
  <c r="AO142" i="26"/>
  <c r="AH37" i="37"/>
  <c r="AH142" i="26"/>
  <c r="AJ142" i="26"/>
  <c r="AJ37" i="37"/>
  <c r="AG142" i="26"/>
  <c r="AG37" i="37"/>
  <c r="J155" i="12"/>
  <c r="J148" i="12"/>
  <c r="J115" i="12"/>
  <c r="AA180" i="13"/>
  <c r="AB176" i="13" s="1"/>
  <c r="AB179" i="13" s="1"/>
  <c r="AB182" i="13" s="1"/>
  <c r="AA207" i="13"/>
  <c r="J61" i="12"/>
  <c r="J151" i="12"/>
  <c r="J62" i="12"/>
  <c r="J152" i="12"/>
  <c r="J63" i="12"/>
  <c r="J153" i="12"/>
  <c r="J136" i="12"/>
  <c r="J225" i="13"/>
  <c r="J39" i="12"/>
  <c r="J149" i="12"/>
  <c r="J40" i="12"/>
  <c r="F49" i="12" s="1"/>
  <c r="J150" i="12"/>
  <c r="J162" i="12"/>
  <c r="J41" i="12"/>
  <c r="J163" i="12"/>
  <c r="J154" i="12"/>
  <c r="J67" i="12"/>
  <c r="J36" i="12"/>
  <c r="Z151" i="4"/>
  <c r="Z152" i="4" s="1"/>
  <c r="Z158" i="4"/>
  <c r="AH151" i="4"/>
  <c r="AH152" i="4" s="1"/>
  <c r="AH158" i="4"/>
  <c r="AB151" i="4"/>
  <c r="AB152" i="4" s="1"/>
  <c r="AB158" i="4"/>
  <c r="P151" i="4"/>
  <c r="P152" i="4" s="1"/>
  <c r="P158" i="4"/>
  <c r="R151" i="4"/>
  <c r="R152" i="4" s="1"/>
  <c r="R158" i="4"/>
  <c r="W151" i="4"/>
  <c r="W152" i="4" s="1"/>
  <c r="W158" i="4"/>
  <c r="T151" i="4"/>
  <c r="T152" i="4" s="1"/>
  <c r="T158" i="4"/>
  <c r="M151" i="4"/>
  <c r="M152" i="4" s="1"/>
  <c r="M158" i="4"/>
  <c r="AU151" i="4"/>
  <c r="AU152" i="4" s="1"/>
  <c r="AU158" i="4"/>
  <c r="AE151" i="4"/>
  <c r="AE152" i="4" s="1"/>
  <c r="AE158" i="4"/>
  <c r="U151" i="4"/>
  <c r="U152" i="4" s="1"/>
  <c r="U158" i="4"/>
  <c r="AP151" i="4"/>
  <c r="AP152" i="4" s="1"/>
  <c r="AP158" i="4"/>
  <c r="Y151" i="4"/>
  <c r="Y152" i="4" s="1"/>
  <c r="Y158" i="4"/>
  <c r="AM151" i="4"/>
  <c r="AM152" i="4" s="1"/>
  <c r="AM158" i="4"/>
  <c r="AJ151" i="4"/>
  <c r="AJ152" i="4" s="1"/>
  <c r="AJ158" i="4"/>
  <c r="AC151" i="4"/>
  <c r="AC152" i="4" s="1"/>
  <c r="AC158" i="4"/>
  <c r="X151" i="4"/>
  <c r="X152" i="4" s="1"/>
  <c r="X158" i="4"/>
  <c r="N151" i="4"/>
  <c r="N152" i="4" s="1"/>
  <c r="N158" i="4"/>
  <c r="S151" i="4"/>
  <c r="S152" i="4" s="1"/>
  <c r="S158" i="4"/>
  <c r="AR151" i="4"/>
  <c r="AR152" i="4" s="1"/>
  <c r="AR158" i="4"/>
  <c r="AK151" i="4"/>
  <c r="AK152" i="4" s="1"/>
  <c r="AK158" i="4"/>
  <c r="O151" i="4"/>
  <c r="O152" i="4" s="1"/>
  <c r="O158" i="4"/>
  <c r="AF151" i="4"/>
  <c r="AF152" i="4" s="1"/>
  <c r="AF158" i="4"/>
  <c r="V151" i="4"/>
  <c r="V152" i="4" s="1"/>
  <c r="V158" i="4"/>
  <c r="AA151" i="4"/>
  <c r="AA152" i="4" s="1"/>
  <c r="AA158" i="4"/>
  <c r="AV151" i="4"/>
  <c r="AV152" i="4" s="1"/>
  <c r="AV158" i="4"/>
  <c r="AS151" i="4"/>
  <c r="AS152" i="4" s="1"/>
  <c r="AS158" i="4"/>
  <c r="Q151" i="4"/>
  <c r="Q152" i="4" s="1"/>
  <c r="Q158" i="4"/>
  <c r="AN151" i="4"/>
  <c r="AN152" i="4" s="1"/>
  <c r="AN158" i="4"/>
  <c r="AD151" i="4"/>
  <c r="AD152" i="4" s="1"/>
  <c r="AD158" i="4"/>
  <c r="AI151" i="4"/>
  <c r="AI152" i="4" s="1"/>
  <c r="AI158" i="4"/>
  <c r="AG151" i="4"/>
  <c r="AG152" i="4" s="1"/>
  <c r="AG158" i="4"/>
  <c r="AL151" i="4"/>
  <c r="AL152" i="4" s="1"/>
  <c r="AL158" i="4"/>
  <c r="AQ151" i="4"/>
  <c r="AQ152" i="4" s="1"/>
  <c r="AQ158" i="4"/>
  <c r="AO151" i="4"/>
  <c r="AO152" i="4" s="1"/>
  <c r="AO158" i="4"/>
  <c r="AT151" i="4"/>
  <c r="AT152" i="4" s="1"/>
  <c r="AT158" i="4"/>
  <c r="L151" i="4"/>
  <c r="L152" i="4" s="1"/>
  <c r="L158" i="4"/>
  <c r="J144" i="4"/>
  <c r="J100" i="4"/>
  <c r="J157" i="4" s="1"/>
  <c r="F159" i="4" s="1"/>
  <c r="F380" i="1" s="1"/>
  <c r="J95" i="4"/>
  <c r="J138" i="4"/>
  <c r="J162" i="1"/>
  <c r="AN718" i="17" l="1"/>
  <c r="AN682" i="17"/>
  <c r="AO678" i="17" s="1"/>
  <c r="AO679" i="17" s="1"/>
  <c r="D145" i="43"/>
  <c r="J146" i="13"/>
  <c r="J164" i="13"/>
  <c r="AR154" i="4"/>
  <c r="AR26" i="13"/>
  <c r="S160" i="4"/>
  <c r="S39" i="13"/>
  <c r="S40" i="13" s="1"/>
  <c r="T160" i="4"/>
  <c r="T39" i="13"/>
  <c r="T40" i="13" s="1"/>
  <c r="AT160" i="4"/>
  <c r="AT39" i="13"/>
  <c r="AT40" i="13" s="1"/>
  <c r="AG160" i="4"/>
  <c r="AG39" i="13"/>
  <c r="AG40" i="13" s="1"/>
  <c r="Q160" i="4"/>
  <c r="Q39" i="13"/>
  <c r="Q40" i="13" s="1"/>
  <c r="V160" i="4"/>
  <c r="V39" i="13"/>
  <c r="V40" i="13" s="1"/>
  <c r="AR160" i="4"/>
  <c r="AR39" i="13"/>
  <c r="AR40" i="13" s="1"/>
  <c r="AC160" i="4"/>
  <c r="AC39" i="13"/>
  <c r="AC40" i="13" s="1"/>
  <c r="AP160" i="4"/>
  <c r="AP39" i="13"/>
  <c r="AP40" i="13" s="1"/>
  <c r="M160" i="4"/>
  <c r="M39" i="13"/>
  <c r="M40" i="13" s="1"/>
  <c r="P160" i="4"/>
  <c r="P39" i="13"/>
  <c r="P40" i="13" s="1"/>
  <c r="AS160" i="4"/>
  <c r="AS39" i="13"/>
  <c r="AS40" i="13" s="1"/>
  <c r="AG154" i="4"/>
  <c r="AG26" i="13"/>
  <c r="P154" i="4"/>
  <c r="P26" i="13"/>
  <c r="U160" i="4"/>
  <c r="U39" i="13"/>
  <c r="U40" i="13" s="1"/>
  <c r="AQ160" i="4"/>
  <c r="AQ39" i="13"/>
  <c r="AQ40" i="13" s="1"/>
  <c r="AD160" i="4"/>
  <c r="AD39" i="13"/>
  <c r="AD40" i="13" s="1"/>
  <c r="AV160" i="4"/>
  <c r="AV39" i="13"/>
  <c r="AV40" i="13" s="1"/>
  <c r="O160" i="4"/>
  <c r="O39" i="13"/>
  <c r="O40" i="13" s="1"/>
  <c r="N160" i="4"/>
  <c r="N39" i="13"/>
  <c r="N40" i="13" s="1"/>
  <c r="AM160" i="4"/>
  <c r="AM39" i="13"/>
  <c r="AM40" i="13" s="1"/>
  <c r="AE160" i="4"/>
  <c r="AE39" i="13"/>
  <c r="AE40" i="13" s="1"/>
  <c r="W160" i="4"/>
  <c r="W39" i="13"/>
  <c r="W40" i="13" s="1"/>
  <c r="AH160" i="4"/>
  <c r="AH39" i="13"/>
  <c r="AH40" i="13" s="1"/>
  <c r="V154" i="4"/>
  <c r="V26" i="13"/>
  <c r="M154" i="4"/>
  <c r="M26" i="13"/>
  <c r="AF160" i="4"/>
  <c r="AF39" i="13"/>
  <c r="AF40" i="13" s="1"/>
  <c r="AB160" i="4"/>
  <c r="AB39" i="13"/>
  <c r="AB40" i="13" s="1"/>
  <c r="AS154" i="4"/>
  <c r="AS26" i="13"/>
  <c r="AJ154" i="4"/>
  <c r="AJ26" i="13"/>
  <c r="T154" i="4"/>
  <c r="T26" i="13"/>
  <c r="AQ154" i="4"/>
  <c r="AQ26" i="13"/>
  <c r="AD154" i="4"/>
  <c r="AD26" i="13"/>
  <c r="AV154" i="4"/>
  <c r="AV26" i="13"/>
  <c r="O154" i="4"/>
  <c r="O26" i="13"/>
  <c r="N154" i="4"/>
  <c r="N26" i="13"/>
  <c r="AM154" i="4"/>
  <c r="AM26" i="13"/>
  <c r="AE154" i="4"/>
  <c r="AE26" i="13"/>
  <c r="W154" i="4"/>
  <c r="W26" i="13"/>
  <c r="AH154" i="4"/>
  <c r="AH26" i="13"/>
  <c r="AT154" i="4"/>
  <c r="AT26" i="13"/>
  <c r="AC154" i="4"/>
  <c r="AC26" i="13"/>
  <c r="AI160" i="4"/>
  <c r="AI39" i="13"/>
  <c r="AI40" i="13" s="1"/>
  <c r="AI154" i="4"/>
  <c r="AI26" i="13"/>
  <c r="S154" i="4"/>
  <c r="S26" i="13"/>
  <c r="U154" i="4"/>
  <c r="U26" i="13"/>
  <c r="L160" i="4"/>
  <c r="L39" i="13"/>
  <c r="L40" i="13" s="1"/>
  <c r="AL160" i="4"/>
  <c r="AL39" i="13"/>
  <c r="AL40" i="13" s="1"/>
  <c r="AN160" i="4"/>
  <c r="AN39" i="13"/>
  <c r="AN40" i="13" s="1"/>
  <c r="AA160" i="4"/>
  <c r="AA39" i="13"/>
  <c r="AA40" i="13" s="1"/>
  <c r="AK160" i="4"/>
  <c r="AK39" i="13"/>
  <c r="AK40" i="13" s="1"/>
  <c r="X160" i="4"/>
  <c r="X39" i="13"/>
  <c r="X40" i="13" s="1"/>
  <c r="Y160" i="4"/>
  <c r="Y39" i="13"/>
  <c r="Y40" i="13" s="1"/>
  <c r="AU160" i="4"/>
  <c r="AU39" i="13"/>
  <c r="AU40" i="13" s="1"/>
  <c r="R160" i="4"/>
  <c r="R39" i="13"/>
  <c r="R40" i="13" s="1"/>
  <c r="Z160" i="4"/>
  <c r="Z39" i="13"/>
  <c r="Z40" i="13" s="1"/>
  <c r="Q154" i="4"/>
  <c r="Q26" i="13"/>
  <c r="AP154" i="4"/>
  <c r="AP26" i="13"/>
  <c r="AO160" i="4"/>
  <c r="AO39" i="13"/>
  <c r="AO40" i="13" s="1"/>
  <c r="AJ160" i="4"/>
  <c r="AJ39" i="13"/>
  <c r="AJ40" i="13" s="1"/>
  <c r="AO154" i="4"/>
  <c r="AO26" i="13"/>
  <c r="AF154" i="4"/>
  <c r="AF26" i="13"/>
  <c r="AB154" i="4"/>
  <c r="AB26" i="13"/>
  <c r="L154" i="4"/>
  <c r="L26" i="13"/>
  <c r="AL154" i="4"/>
  <c r="AL26" i="13"/>
  <c r="AN154" i="4"/>
  <c r="AN26" i="13"/>
  <c r="AA154" i="4"/>
  <c r="AA26" i="13"/>
  <c r="AK154" i="4"/>
  <c r="AK26" i="13"/>
  <c r="X154" i="4"/>
  <c r="X26" i="13"/>
  <c r="Y154" i="4"/>
  <c r="Y26" i="13"/>
  <c r="AU154" i="4"/>
  <c r="AU26" i="13"/>
  <c r="R154" i="4"/>
  <c r="R26" i="13"/>
  <c r="Z154" i="4"/>
  <c r="Z26" i="13"/>
  <c r="AB180" i="13"/>
  <c r="AC176" i="13" s="1"/>
  <c r="AC179" i="13" s="1"/>
  <c r="AC182" i="13" s="1"/>
  <c r="AB207" i="13"/>
  <c r="J151" i="4"/>
  <c r="F153" i="4" s="1"/>
  <c r="F379" i="1" s="1"/>
  <c r="F381" i="1" s="1"/>
  <c r="F24" i="12" s="1"/>
  <c r="J152" i="4"/>
  <c r="J158" i="4"/>
  <c r="G5" i="3"/>
  <c r="A1" i="3"/>
  <c r="A1" i="1"/>
  <c r="AO681" i="17" l="1"/>
  <c r="Y819" i="17"/>
  <c r="Y9" i="38" s="1"/>
  <c r="Y13" i="26"/>
  <c r="Y29" i="17"/>
  <c r="Y30" i="17" s="1"/>
  <c r="Y165" i="17"/>
  <c r="Z819" i="17"/>
  <c r="Z9" i="38" s="1"/>
  <c r="Z13" i="26"/>
  <c r="Z165" i="17"/>
  <c r="Z29" i="17"/>
  <c r="Z30" i="17" s="1"/>
  <c r="AA29" i="17"/>
  <c r="AA30" i="17" s="1"/>
  <c r="AA165" i="17"/>
  <c r="AA13" i="26"/>
  <c r="AA819" i="17"/>
  <c r="AA9" i="38" s="1"/>
  <c r="AB819" i="17"/>
  <c r="AB9" i="38" s="1"/>
  <c r="AB165" i="17"/>
  <c r="AB29" i="17"/>
  <c r="AB30" i="17" s="1"/>
  <c r="AB13" i="26"/>
  <c r="AC165" i="17"/>
  <c r="AC29" i="17"/>
  <c r="AC30" i="17" s="1"/>
  <c r="AC13" i="26"/>
  <c r="AC819" i="17"/>
  <c r="AC9" i="38" s="1"/>
  <c r="AU632" i="17"/>
  <c r="AU638" i="17" s="1"/>
  <c r="V632" i="17"/>
  <c r="V638" i="17" s="1"/>
  <c r="T632" i="17"/>
  <c r="T638" i="17" s="1"/>
  <c r="AN632" i="17"/>
  <c r="AN638" i="17" s="1"/>
  <c r="O632" i="17"/>
  <c r="O638" i="17" s="1"/>
  <c r="P632" i="17"/>
  <c r="P638" i="17" s="1"/>
  <c r="S632" i="17"/>
  <c r="S638" i="17" s="1"/>
  <c r="N632" i="17"/>
  <c r="N638" i="17" s="1"/>
  <c r="AP632" i="17"/>
  <c r="AP638" i="17" s="1"/>
  <c r="AT632" i="17"/>
  <c r="AT638" i="17" s="1"/>
  <c r="R632" i="17"/>
  <c r="R638" i="17" s="1"/>
  <c r="Q632" i="17"/>
  <c r="Q638" i="17" s="1"/>
  <c r="AS632" i="17"/>
  <c r="AS638" i="17" s="1"/>
  <c r="W632" i="17"/>
  <c r="W638" i="17" s="1"/>
  <c r="U632" i="17"/>
  <c r="U638" i="17" s="1"/>
  <c r="AA632" i="17"/>
  <c r="AA638" i="17" s="1"/>
  <c r="AJ632" i="17"/>
  <c r="AJ638" i="17" s="1"/>
  <c r="AB632" i="17"/>
  <c r="AB638" i="17" s="1"/>
  <c r="AF632" i="17"/>
  <c r="AF638" i="17" s="1"/>
  <c r="AL632" i="17"/>
  <c r="AL638" i="17" s="1"/>
  <c r="AM632" i="17"/>
  <c r="AM638" i="17" s="1"/>
  <c r="AG632" i="17"/>
  <c r="AG638" i="17" s="1"/>
  <c r="M632" i="17"/>
  <c r="M638" i="17" s="1"/>
  <c r="AH632" i="17"/>
  <c r="AH638" i="17" s="1"/>
  <c r="AQ632" i="17"/>
  <c r="AQ638" i="17" s="1"/>
  <c r="X632" i="17"/>
  <c r="X638" i="17" s="1"/>
  <c r="AC632" i="17"/>
  <c r="AC638" i="17" s="1"/>
  <c r="AK632" i="17"/>
  <c r="AK638" i="17" s="1"/>
  <c r="L632" i="17"/>
  <c r="L638" i="17" s="1"/>
  <c r="Y632" i="17"/>
  <c r="Y638" i="17" s="1"/>
  <c r="AO632" i="17"/>
  <c r="AO638" i="17" s="1"/>
  <c r="AR632" i="17"/>
  <c r="AR638" i="17" s="1"/>
  <c r="AV632" i="17"/>
  <c r="AV638" i="17" s="1"/>
  <c r="AE632" i="17"/>
  <c r="AE638" i="17" s="1"/>
  <c r="Z632" i="17"/>
  <c r="Z638" i="17" s="1"/>
  <c r="AI632" i="17"/>
  <c r="AI638" i="17" s="1"/>
  <c r="AD632" i="17"/>
  <c r="AD638" i="17" s="1"/>
  <c r="J12" i="17"/>
  <c r="J52" i="40" s="1"/>
  <c r="J39" i="13"/>
  <c r="J26" i="13"/>
  <c r="J154" i="4"/>
  <c r="J160" i="4"/>
  <c r="Y27" i="13"/>
  <c r="Y29" i="13"/>
  <c r="AN27" i="13"/>
  <c r="AN29" i="13"/>
  <c r="AF29" i="13"/>
  <c r="AF27" i="13"/>
  <c r="AP27" i="13"/>
  <c r="AP29" i="13"/>
  <c r="AU59" i="13"/>
  <c r="AU44" i="13"/>
  <c r="AA59" i="13"/>
  <c r="AA44" i="13"/>
  <c r="U27" i="13"/>
  <c r="U29" i="13"/>
  <c r="AC29" i="13"/>
  <c r="AC27" i="13"/>
  <c r="AE27" i="13"/>
  <c r="AE29" i="13"/>
  <c r="AV29" i="13"/>
  <c r="AV27" i="13"/>
  <c r="AJ29" i="13"/>
  <c r="AJ27" i="13"/>
  <c r="M27" i="13"/>
  <c r="M29" i="13"/>
  <c r="AE59" i="13"/>
  <c r="AE44" i="13"/>
  <c r="AV59" i="13"/>
  <c r="AV44" i="13"/>
  <c r="P27" i="13"/>
  <c r="P29" i="13"/>
  <c r="M59" i="13"/>
  <c r="M44" i="13"/>
  <c r="V44" i="13"/>
  <c r="V59" i="13"/>
  <c r="T44" i="13"/>
  <c r="T59" i="13"/>
  <c r="AI59" i="13"/>
  <c r="AI44" i="13"/>
  <c r="T27" i="13"/>
  <c r="T29" i="13"/>
  <c r="O59" i="13"/>
  <c r="O44" i="13"/>
  <c r="AR59" i="13"/>
  <c r="AR44" i="13"/>
  <c r="X27" i="13"/>
  <c r="X29" i="13"/>
  <c r="Q29" i="13"/>
  <c r="Q27" i="13"/>
  <c r="AT29" i="13"/>
  <c r="AT27" i="13"/>
  <c r="AM29" i="13"/>
  <c r="AM27" i="13"/>
  <c r="AD27" i="13"/>
  <c r="AD29" i="13"/>
  <c r="AS27" i="13"/>
  <c r="AS29" i="13"/>
  <c r="V29" i="13"/>
  <c r="V27" i="13"/>
  <c r="AM59" i="13"/>
  <c r="AM44" i="13"/>
  <c r="AD59" i="13"/>
  <c r="AD44" i="13"/>
  <c r="AG27" i="13"/>
  <c r="AG29" i="13"/>
  <c r="AP59" i="13"/>
  <c r="AP44" i="13"/>
  <c r="Q44" i="13"/>
  <c r="Q59" i="13"/>
  <c r="S59" i="13"/>
  <c r="S44" i="13"/>
  <c r="O27" i="13"/>
  <c r="O29" i="13"/>
  <c r="W59" i="13"/>
  <c r="W44" i="13"/>
  <c r="P59" i="13"/>
  <c r="P44" i="13"/>
  <c r="Y59" i="13"/>
  <c r="Y44" i="13"/>
  <c r="R29" i="13"/>
  <c r="R27" i="13"/>
  <c r="AK29" i="13"/>
  <c r="AK27" i="13"/>
  <c r="L29" i="13"/>
  <c r="L27" i="13"/>
  <c r="AJ59" i="13"/>
  <c r="AJ44" i="13"/>
  <c r="Z59" i="13"/>
  <c r="Z44" i="13"/>
  <c r="X59" i="13"/>
  <c r="X44" i="13"/>
  <c r="AL59" i="13"/>
  <c r="AL44" i="13"/>
  <c r="AI27" i="13"/>
  <c r="AI29" i="13"/>
  <c r="W29" i="13"/>
  <c r="W27" i="13"/>
  <c r="AF59" i="13"/>
  <c r="AF44" i="13"/>
  <c r="U44" i="13"/>
  <c r="U59" i="13"/>
  <c r="AT59" i="13"/>
  <c r="AT44" i="13"/>
  <c r="Z27" i="13"/>
  <c r="Z29" i="13"/>
  <c r="AL27" i="13"/>
  <c r="AL29" i="13"/>
  <c r="AO27" i="13"/>
  <c r="AO29" i="13"/>
  <c r="S27" i="13"/>
  <c r="S29" i="13"/>
  <c r="AH27" i="13"/>
  <c r="AH29" i="13"/>
  <c r="N29" i="13"/>
  <c r="N27" i="13"/>
  <c r="AQ29" i="13"/>
  <c r="AQ27" i="13"/>
  <c r="AB59" i="13"/>
  <c r="AB44" i="13"/>
  <c r="AH59" i="13"/>
  <c r="AH44" i="13"/>
  <c r="N59" i="13"/>
  <c r="N44" i="13"/>
  <c r="AQ59" i="13"/>
  <c r="AQ44" i="13"/>
  <c r="AS59" i="13"/>
  <c r="AS44" i="13"/>
  <c r="AC59" i="13"/>
  <c r="AC44" i="13"/>
  <c r="AG59" i="13"/>
  <c r="AG44" i="13"/>
  <c r="AR27" i="13"/>
  <c r="AR29" i="13"/>
  <c r="AN59" i="13"/>
  <c r="AN44" i="13"/>
  <c r="S26" i="12"/>
  <c r="AT26" i="12"/>
  <c r="AC26" i="12"/>
  <c r="AS26" i="12"/>
  <c r="N26" i="12"/>
  <c r="AH26" i="12"/>
  <c r="Y26" i="12"/>
  <c r="AA26" i="12"/>
  <c r="AV26" i="12"/>
  <c r="R26" i="12"/>
  <c r="U26" i="12"/>
  <c r="AJ26" i="12"/>
  <c r="AG26" i="12"/>
  <c r="AU26" i="12"/>
  <c r="AR26" i="12"/>
  <c r="W26" i="12"/>
  <c r="AI26" i="12"/>
  <c r="X26" i="12"/>
  <c r="P26" i="12"/>
  <c r="V26" i="12"/>
  <c r="L26" i="12"/>
  <c r="AK26" i="12"/>
  <c r="AP26" i="12"/>
  <c r="Z26" i="12"/>
  <c r="AL26" i="12"/>
  <c r="AD26" i="12"/>
  <c r="AO26" i="12"/>
  <c r="AF26" i="12"/>
  <c r="Q26" i="12"/>
  <c r="M26" i="12"/>
  <c r="AQ26" i="12"/>
  <c r="T26" i="12"/>
  <c r="AN26" i="12"/>
  <c r="AM26" i="12"/>
  <c r="O26" i="12"/>
  <c r="AB26" i="12"/>
  <c r="AE26" i="12"/>
  <c r="AU29" i="13"/>
  <c r="AU27" i="13"/>
  <c r="AA27" i="13"/>
  <c r="AA29" i="13"/>
  <c r="AB29" i="13"/>
  <c r="AB27" i="13"/>
  <c r="AO59" i="13"/>
  <c r="AO44" i="13"/>
  <c r="R44" i="13"/>
  <c r="R59" i="13"/>
  <c r="AK59" i="13"/>
  <c r="AK44" i="13"/>
  <c r="L59" i="13"/>
  <c r="L44" i="13"/>
  <c r="F41" i="13"/>
  <c r="J40" i="13"/>
  <c r="AC180" i="13"/>
  <c r="AD176" i="13" s="1"/>
  <c r="AD179" i="13" s="1"/>
  <c r="AD182" i="13" s="1"/>
  <c r="AC207" i="13"/>
  <c r="G6" i="3"/>
  <c r="I5" i="3"/>
  <c r="AO718" i="17" l="1"/>
  <c r="AO682" i="17"/>
  <c r="AP678" i="17" s="1"/>
  <c r="AP679" i="17" s="1"/>
  <c r="AO701" i="17"/>
  <c r="Y204" i="17"/>
  <c r="Y167" i="17"/>
  <c r="Y174" i="17"/>
  <c r="AA167" i="17"/>
  <c r="AA174" i="17"/>
  <c r="AA204" i="17"/>
  <c r="AB167" i="17"/>
  <c r="AB204" i="17"/>
  <c r="AB174" i="17"/>
  <c r="Z174" i="17"/>
  <c r="Z204" i="17"/>
  <c r="Z167" i="17"/>
  <c r="AC167" i="17"/>
  <c r="AC204" i="17"/>
  <c r="AC174" i="17"/>
  <c r="J638" i="17"/>
  <c r="J632" i="17"/>
  <c r="AP70" i="37"/>
  <c r="AH70" i="37"/>
  <c r="Z70" i="37"/>
  <c r="S70" i="37"/>
  <c r="AI70" i="37"/>
  <c r="AO70" i="37"/>
  <c r="AG70" i="37"/>
  <c r="Y70" i="37"/>
  <c r="R70" i="37"/>
  <c r="AA70" i="37"/>
  <c r="AV70" i="37"/>
  <c r="AN70" i="37"/>
  <c r="AF70" i="37"/>
  <c r="X70" i="37"/>
  <c r="Q70" i="37"/>
  <c r="AU70" i="37"/>
  <c r="AM70" i="37"/>
  <c r="AE70" i="37"/>
  <c r="W70" i="37"/>
  <c r="P70" i="37"/>
  <c r="AT70" i="37"/>
  <c r="AL70" i="37"/>
  <c r="AD70" i="37"/>
  <c r="V70" i="37"/>
  <c r="O70" i="37"/>
  <c r="AQ70" i="37"/>
  <c r="AS70" i="37"/>
  <c r="AK70" i="37"/>
  <c r="AC70" i="37"/>
  <c r="N70" i="37"/>
  <c r="T70" i="37"/>
  <c r="AR70" i="37"/>
  <c r="AJ70" i="37"/>
  <c r="AB70" i="37"/>
  <c r="U70" i="37"/>
  <c r="M70" i="37"/>
  <c r="L820" i="17"/>
  <c r="L14" i="26"/>
  <c r="L179" i="17"/>
  <c r="M820" i="17"/>
  <c r="M10" i="38" s="1"/>
  <c r="M179" i="17"/>
  <c r="M14" i="26"/>
  <c r="M819" i="17"/>
  <c r="M9" i="38" s="1"/>
  <c r="M29" i="17"/>
  <c r="M30" i="17" s="1"/>
  <c r="M13" i="26"/>
  <c r="M165" i="17"/>
  <c r="W30" i="17"/>
  <c r="W179" i="17"/>
  <c r="W14" i="26"/>
  <c r="W820" i="17"/>
  <c r="W10" i="38" s="1"/>
  <c r="L819" i="17"/>
  <c r="F852" i="17" s="1"/>
  <c r="C140" i="43" s="1"/>
  <c r="L13" i="26"/>
  <c r="L29" i="17"/>
  <c r="L30" i="17" s="1"/>
  <c r="L165" i="17"/>
  <c r="L174" i="17" s="1"/>
  <c r="AV819" i="17"/>
  <c r="AV13" i="26"/>
  <c r="AV165" i="17"/>
  <c r="AV29" i="17"/>
  <c r="AV30" i="17" s="1"/>
  <c r="AU820" i="17"/>
  <c r="AU10" i="38" s="1"/>
  <c r="AU14" i="26"/>
  <c r="AU179" i="17"/>
  <c r="J26" i="17"/>
  <c r="J378" i="17" s="1"/>
  <c r="AU819" i="17"/>
  <c r="AU9" i="38" s="1"/>
  <c r="AU29" i="17"/>
  <c r="AU30" i="17" s="1"/>
  <c r="AU13" i="26"/>
  <c r="AU165" i="17"/>
  <c r="J16" i="17"/>
  <c r="J377" i="17" s="1"/>
  <c r="AV14" i="26"/>
  <c r="AV179" i="17"/>
  <c r="AV820" i="17"/>
  <c r="AQ31" i="38"/>
  <c r="AQ103" i="26"/>
  <c r="AI31" i="38"/>
  <c r="AI103" i="26"/>
  <c r="AA31" i="38"/>
  <c r="AA103" i="26"/>
  <c r="T31" i="38"/>
  <c r="T103" i="26"/>
  <c r="AP31" i="38"/>
  <c r="AP103" i="26"/>
  <c r="AH103" i="26"/>
  <c r="AH31" i="38"/>
  <c r="Z31" i="38"/>
  <c r="Z103" i="26"/>
  <c r="S31" i="38"/>
  <c r="S103" i="26"/>
  <c r="AO31" i="38"/>
  <c r="AO103" i="26"/>
  <c r="AG103" i="26"/>
  <c r="AG31" i="38"/>
  <c r="Y103" i="26"/>
  <c r="Y31" i="38"/>
  <c r="R31" i="38"/>
  <c r="R103" i="26"/>
  <c r="AV103" i="26"/>
  <c r="AV31" i="38"/>
  <c r="AN31" i="38"/>
  <c r="AN103" i="26"/>
  <c r="AF103" i="26"/>
  <c r="AF31" i="38"/>
  <c r="X31" i="38"/>
  <c r="X103" i="26"/>
  <c r="Q103" i="26"/>
  <c r="Q31" i="38"/>
  <c r="AU31" i="38"/>
  <c r="AU103" i="26"/>
  <c r="AM31" i="38"/>
  <c r="AM103" i="26"/>
  <c r="AE103" i="26"/>
  <c r="W103" i="26"/>
  <c r="W31" i="38"/>
  <c r="P31" i="38"/>
  <c r="P103" i="26"/>
  <c r="AT31" i="38"/>
  <c r="AT103" i="26"/>
  <c r="AL103" i="26"/>
  <c r="AL31" i="38"/>
  <c r="AD31" i="38"/>
  <c r="AD103" i="26"/>
  <c r="V31" i="38"/>
  <c r="V103" i="26"/>
  <c r="O103" i="26"/>
  <c r="O31" i="38"/>
  <c r="AS103" i="26"/>
  <c r="AS31" i="38"/>
  <c r="AK103" i="26"/>
  <c r="AK31" i="38"/>
  <c r="AC31" i="38"/>
  <c r="AC103" i="26"/>
  <c r="L31" i="38"/>
  <c r="L103" i="26"/>
  <c r="N31" i="38"/>
  <c r="N103" i="26"/>
  <c r="AR103" i="26"/>
  <c r="AR31" i="38"/>
  <c r="AJ103" i="26"/>
  <c r="AJ31" i="38"/>
  <c r="AB103" i="26"/>
  <c r="U31" i="38"/>
  <c r="U103" i="26"/>
  <c r="M103" i="26"/>
  <c r="M31" i="38"/>
  <c r="J59" i="13"/>
  <c r="AI54" i="12"/>
  <c r="AI55" i="12" s="1"/>
  <c r="AI57" i="12" s="1"/>
  <c r="AI28" i="12"/>
  <c r="AI32" i="12" s="1"/>
  <c r="AI33" i="12" s="1"/>
  <c r="AH33" i="13"/>
  <c r="AH132" i="13"/>
  <c r="AH56" i="13"/>
  <c r="AB48" i="13"/>
  <c r="AB87" i="13" s="1"/>
  <c r="AB90" i="13" s="1"/>
  <c r="AI48" i="13"/>
  <c r="AI87" i="13" s="1"/>
  <c r="AI90" i="13" s="1"/>
  <c r="AU56" i="13"/>
  <c r="AU132" i="13"/>
  <c r="AU33" i="13"/>
  <c r="AQ54" i="12"/>
  <c r="AQ55" i="12" s="1"/>
  <c r="AQ57" i="12" s="1"/>
  <c r="AQ28" i="12"/>
  <c r="AQ32" i="12" s="1"/>
  <c r="AQ33" i="12" s="1"/>
  <c r="AP54" i="12"/>
  <c r="AP55" i="12" s="1"/>
  <c r="AP57" i="12" s="1"/>
  <c r="AP28" i="12"/>
  <c r="AP32" i="12" s="1"/>
  <c r="AP33" i="12" s="1"/>
  <c r="AR54" i="12"/>
  <c r="AR55" i="12" s="1"/>
  <c r="AR57" i="12" s="1"/>
  <c r="AR28" i="12"/>
  <c r="AR32" i="12" s="1"/>
  <c r="AR33" i="12" s="1"/>
  <c r="Y54" i="12"/>
  <c r="Y55" i="12" s="1"/>
  <c r="Y57" i="12" s="1"/>
  <c r="Y28" i="12"/>
  <c r="Y32" i="12" s="1"/>
  <c r="Y33" i="12" s="1"/>
  <c r="S56" i="13"/>
  <c r="S132" i="13"/>
  <c r="S33" i="13"/>
  <c r="AI56" i="13"/>
  <c r="AI132" i="13"/>
  <c r="AI33" i="13"/>
  <c r="AD33" i="13"/>
  <c r="AD56" i="13"/>
  <c r="AD132" i="13"/>
  <c r="X132" i="13"/>
  <c r="X56" i="13"/>
  <c r="X33" i="13"/>
  <c r="P132" i="13"/>
  <c r="P56" i="13"/>
  <c r="P33" i="13"/>
  <c r="U33" i="13"/>
  <c r="U132" i="13"/>
  <c r="U56" i="13"/>
  <c r="AV54" i="12"/>
  <c r="AV55" i="12" s="1"/>
  <c r="AV57" i="12" s="1"/>
  <c r="AV28" i="12"/>
  <c r="AV32" i="12" s="1"/>
  <c r="AV33" i="12" s="1"/>
  <c r="AS56" i="13"/>
  <c r="AS132" i="13"/>
  <c r="AS33" i="13"/>
  <c r="W54" i="12"/>
  <c r="W55" i="12" s="1"/>
  <c r="W57" i="12" s="1"/>
  <c r="W28" i="12"/>
  <c r="W32" i="12" s="1"/>
  <c r="W33" i="12" s="1"/>
  <c r="AT48" i="13"/>
  <c r="AT87" i="13" s="1"/>
  <c r="AT90" i="13" s="1"/>
  <c r="S48" i="13"/>
  <c r="R48" i="13"/>
  <c r="AU54" i="12"/>
  <c r="AU55" i="12" s="1"/>
  <c r="AU57" i="12" s="1"/>
  <c r="AU28" i="12"/>
  <c r="AU32" i="12" s="1"/>
  <c r="AU33" i="12" s="1"/>
  <c r="AQ48" i="13"/>
  <c r="AQ87" i="13" s="1"/>
  <c r="AQ90" i="13" s="1"/>
  <c r="AQ132" i="13"/>
  <c r="AQ56" i="13"/>
  <c r="AQ33" i="13"/>
  <c r="AL48" i="13"/>
  <c r="AL87" i="13" s="1"/>
  <c r="AL90" i="13" s="1"/>
  <c r="L33" i="13"/>
  <c r="L56" i="13"/>
  <c r="F28" i="13"/>
  <c r="J27" i="13"/>
  <c r="L132" i="13"/>
  <c r="P48" i="13"/>
  <c r="AM48" i="13"/>
  <c r="AM87" i="13" s="1"/>
  <c r="AM90" i="13" s="1"/>
  <c r="AM56" i="13"/>
  <c r="AM132" i="13"/>
  <c r="AM33" i="13"/>
  <c r="AR48" i="13"/>
  <c r="AR87" i="13" s="1"/>
  <c r="AR90" i="13" s="1"/>
  <c r="AV48" i="13"/>
  <c r="AV87" i="13" s="1"/>
  <c r="AV90" i="13" s="1"/>
  <c r="AV56" i="13"/>
  <c r="AV132" i="13"/>
  <c r="AV33" i="13"/>
  <c r="AA48" i="13"/>
  <c r="AA87" i="13" s="1"/>
  <c r="AA90" i="13" s="1"/>
  <c r="AN54" i="12"/>
  <c r="AN55" i="12" s="1"/>
  <c r="AN57" i="12" s="1"/>
  <c r="AN28" i="12"/>
  <c r="AN32" i="12" s="1"/>
  <c r="AN33" i="12" s="1"/>
  <c r="AG132" i="13"/>
  <c r="AG56" i="13"/>
  <c r="AG33" i="13"/>
  <c r="AP56" i="13"/>
  <c r="AP132" i="13"/>
  <c r="AP33" i="13"/>
  <c r="AA56" i="13"/>
  <c r="AA33" i="13"/>
  <c r="AA132" i="13"/>
  <c r="AS48" i="13"/>
  <c r="AS87" i="13" s="1"/>
  <c r="AS90" i="13" s="1"/>
  <c r="AK54" i="12"/>
  <c r="AK55" i="12" s="1"/>
  <c r="AK57" i="12" s="1"/>
  <c r="AK28" i="12"/>
  <c r="AK32" i="12" s="1"/>
  <c r="AK33" i="12" s="1"/>
  <c r="AO48" i="13"/>
  <c r="AO87" i="13" s="1"/>
  <c r="AO90" i="13" s="1"/>
  <c r="AE54" i="12"/>
  <c r="AE55" i="12" s="1"/>
  <c r="AE57" i="12" s="1"/>
  <c r="AE28" i="12"/>
  <c r="AE32" i="12" s="1"/>
  <c r="AE33" i="12" s="1"/>
  <c r="Q54" i="12"/>
  <c r="Q55" i="12" s="1"/>
  <c r="Q57" i="12" s="1"/>
  <c r="Q28" i="12"/>
  <c r="Q32" i="12" s="1"/>
  <c r="Q33" i="12" s="1"/>
  <c r="L54" i="12"/>
  <c r="L55" i="12" s="1"/>
  <c r="J26" i="12"/>
  <c r="J54" i="12" s="1"/>
  <c r="L28" i="12"/>
  <c r="AG54" i="12"/>
  <c r="AG55" i="12" s="1"/>
  <c r="AG57" i="12" s="1"/>
  <c r="AG28" i="12"/>
  <c r="AG32" i="12" s="1"/>
  <c r="AG33" i="12" s="1"/>
  <c r="N54" i="12"/>
  <c r="N55" i="12" s="1"/>
  <c r="N57" i="12" s="1"/>
  <c r="N28" i="12"/>
  <c r="N32" i="12" s="1"/>
  <c r="N33" i="12" s="1"/>
  <c r="AR56" i="13"/>
  <c r="AR132" i="13"/>
  <c r="AR33" i="13"/>
  <c r="AO132" i="13"/>
  <c r="AO56" i="13"/>
  <c r="AO33" i="13"/>
  <c r="U48" i="13"/>
  <c r="J29" i="13"/>
  <c r="Q48" i="13"/>
  <c r="T48" i="13"/>
  <c r="AN56" i="13"/>
  <c r="AN132" i="13"/>
  <c r="AN33" i="13"/>
  <c r="AL54" i="12"/>
  <c r="AL55" i="12" s="1"/>
  <c r="AL57" i="12" s="1"/>
  <c r="AL28" i="12"/>
  <c r="AL32" i="12" s="1"/>
  <c r="AL33" i="12" s="1"/>
  <c r="Z33" i="13"/>
  <c r="Z132" i="13"/>
  <c r="Z56" i="13"/>
  <c r="O132" i="13"/>
  <c r="O33" i="13"/>
  <c r="O56" i="13"/>
  <c r="T56" i="13"/>
  <c r="T33" i="13"/>
  <c r="T132" i="13"/>
  <c r="AA54" i="12"/>
  <c r="AA55" i="12" s="1"/>
  <c r="AA57" i="12" s="1"/>
  <c r="AA28" i="12"/>
  <c r="AA32" i="12" s="1"/>
  <c r="AA33" i="12" s="1"/>
  <c r="AF33" i="13"/>
  <c r="AF56" i="13"/>
  <c r="AF132" i="13"/>
  <c r="AB54" i="12"/>
  <c r="AB55" i="12" s="1"/>
  <c r="AB57" i="12" s="1"/>
  <c r="AB28" i="12"/>
  <c r="AB32" i="12" s="1"/>
  <c r="AB33" i="12" s="1"/>
  <c r="AF54" i="12"/>
  <c r="AF55" i="12" s="1"/>
  <c r="AF57" i="12" s="1"/>
  <c r="AF28" i="12"/>
  <c r="AF32" i="12" s="1"/>
  <c r="AF33" i="12" s="1"/>
  <c r="V54" i="12"/>
  <c r="V55" i="12" s="1"/>
  <c r="V57" i="12" s="1"/>
  <c r="V28" i="12"/>
  <c r="V32" i="12" s="1"/>
  <c r="V33" i="12" s="1"/>
  <c r="AJ54" i="12"/>
  <c r="AJ55" i="12" s="1"/>
  <c r="AJ57" i="12" s="1"/>
  <c r="AJ28" i="12"/>
  <c r="AJ32" i="12" s="1"/>
  <c r="AJ33" i="12" s="1"/>
  <c r="AS54" i="12"/>
  <c r="AS55" i="12" s="1"/>
  <c r="AS57" i="12" s="1"/>
  <c r="AS28" i="12"/>
  <c r="AS32" i="12" s="1"/>
  <c r="AS33" i="12" s="1"/>
  <c r="AG48" i="13"/>
  <c r="AG87" i="13" s="1"/>
  <c r="AG90" i="13" s="1"/>
  <c r="N48" i="13"/>
  <c r="N56" i="13"/>
  <c r="N132" i="13"/>
  <c r="N33" i="13"/>
  <c r="AF48" i="13"/>
  <c r="AF87" i="13" s="1"/>
  <c r="AF90" i="13" s="1"/>
  <c r="X48" i="13"/>
  <c r="X87" i="13" s="1"/>
  <c r="X90" i="13" s="1"/>
  <c r="AK56" i="13"/>
  <c r="AK132" i="13"/>
  <c r="AK33" i="13"/>
  <c r="W48" i="13"/>
  <c r="AP48" i="13"/>
  <c r="AP87" i="13" s="1"/>
  <c r="AP90" i="13" s="1"/>
  <c r="V132" i="13"/>
  <c r="V33" i="13"/>
  <c r="V56" i="13"/>
  <c r="AT56" i="13"/>
  <c r="AT132" i="13"/>
  <c r="AT33" i="13"/>
  <c r="O48" i="13"/>
  <c r="AE48" i="13"/>
  <c r="AE87" i="13" s="1"/>
  <c r="AE90" i="13" s="1"/>
  <c r="AU48" i="13"/>
  <c r="AU87" i="13" s="1"/>
  <c r="AU90" i="13" s="1"/>
  <c r="T54" i="12"/>
  <c r="T55" i="12" s="1"/>
  <c r="T57" i="12" s="1"/>
  <c r="T28" i="12"/>
  <c r="T32" i="12" s="1"/>
  <c r="T33" i="12" s="1"/>
  <c r="AN48" i="13"/>
  <c r="AN87" i="13" s="1"/>
  <c r="AN90" i="13" s="1"/>
  <c r="AJ48" i="13"/>
  <c r="AJ87" i="13" s="1"/>
  <c r="AJ90" i="13" s="1"/>
  <c r="AD48" i="13"/>
  <c r="AD87" i="13" s="1"/>
  <c r="AD90" i="13" s="1"/>
  <c r="AJ56" i="13"/>
  <c r="AJ132" i="13"/>
  <c r="AJ33" i="13"/>
  <c r="AB56" i="13"/>
  <c r="AB132" i="13"/>
  <c r="AB33" i="13"/>
  <c r="O54" i="12"/>
  <c r="O55" i="12" s="1"/>
  <c r="O57" i="12" s="1"/>
  <c r="O28" i="12"/>
  <c r="O32" i="12" s="1"/>
  <c r="O33" i="12" s="1"/>
  <c r="AO54" i="12"/>
  <c r="AO55" i="12" s="1"/>
  <c r="AO57" i="12" s="1"/>
  <c r="AO28" i="12"/>
  <c r="AO32" i="12" s="1"/>
  <c r="AO33" i="12" s="1"/>
  <c r="P54" i="12"/>
  <c r="P55" i="12" s="1"/>
  <c r="P57" i="12" s="1"/>
  <c r="P28" i="12"/>
  <c r="P32" i="12" s="1"/>
  <c r="P33" i="12" s="1"/>
  <c r="U54" i="12"/>
  <c r="U55" i="12" s="1"/>
  <c r="U57" i="12" s="1"/>
  <c r="U28" i="12"/>
  <c r="U32" i="12" s="1"/>
  <c r="U33" i="12" s="1"/>
  <c r="AC54" i="12"/>
  <c r="AC55" i="12" s="1"/>
  <c r="AC57" i="12" s="1"/>
  <c r="AC28" i="12"/>
  <c r="AC32" i="12" s="1"/>
  <c r="AC33" i="12" s="1"/>
  <c r="AL56" i="13"/>
  <c r="AL132" i="13"/>
  <c r="AL33" i="13"/>
  <c r="V48" i="13"/>
  <c r="AE56" i="13"/>
  <c r="AE132" i="13"/>
  <c r="AE33" i="13"/>
  <c r="Y132" i="13"/>
  <c r="Y56" i="13"/>
  <c r="Y33" i="13"/>
  <c r="AK48" i="13"/>
  <c r="AK87" i="13" s="1"/>
  <c r="AK90" i="13" s="1"/>
  <c r="S54" i="12"/>
  <c r="S55" i="12" s="1"/>
  <c r="S57" i="12" s="1"/>
  <c r="S28" i="12"/>
  <c r="S32" i="12" s="1"/>
  <c r="S33" i="12" s="1"/>
  <c r="M132" i="13"/>
  <c r="M56" i="13"/>
  <c r="M33" i="13"/>
  <c r="Z54" i="12"/>
  <c r="Z55" i="12" s="1"/>
  <c r="Z57" i="12" s="1"/>
  <c r="Z28" i="12"/>
  <c r="Z32" i="12" s="1"/>
  <c r="Z33" i="12" s="1"/>
  <c r="Y48" i="13"/>
  <c r="Y87" i="13" s="1"/>
  <c r="Y90" i="13" s="1"/>
  <c r="M54" i="12"/>
  <c r="M55" i="12" s="1"/>
  <c r="M57" i="12" s="1"/>
  <c r="M28" i="12"/>
  <c r="M32" i="12" s="1"/>
  <c r="M33" i="12" s="1"/>
  <c r="AH54" i="12"/>
  <c r="AH55" i="12" s="1"/>
  <c r="AH57" i="12" s="1"/>
  <c r="AH28" i="12"/>
  <c r="AH32" i="12" s="1"/>
  <c r="AH33" i="12" s="1"/>
  <c r="F35" i="13"/>
  <c r="L48" i="13"/>
  <c r="J44" i="13"/>
  <c r="J48" i="13" s="1"/>
  <c r="AM54" i="12"/>
  <c r="AM55" i="12" s="1"/>
  <c r="AM57" i="12" s="1"/>
  <c r="AM28" i="12"/>
  <c r="AM32" i="12" s="1"/>
  <c r="AM33" i="12" s="1"/>
  <c r="AD54" i="12"/>
  <c r="AD55" i="12" s="1"/>
  <c r="AD57" i="12" s="1"/>
  <c r="AD28" i="12"/>
  <c r="AD32" i="12" s="1"/>
  <c r="AD33" i="12" s="1"/>
  <c r="X54" i="12"/>
  <c r="X55" i="12" s="1"/>
  <c r="X57" i="12" s="1"/>
  <c r="X28" i="12"/>
  <c r="X32" i="12" s="1"/>
  <c r="X33" i="12" s="1"/>
  <c r="R54" i="12"/>
  <c r="R55" i="12" s="1"/>
  <c r="R57" i="12" s="1"/>
  <c r="R28" i="12"/>
  <c r="R32" i="12" s="1"/>
  <c r="R33" i="12" s="1"/>
  <c r="AT54" i="12"/>
  <c r="AT55" i="12" s="1"/>
  <c r="AT57" i="12" s="1"/>
  <c r="AT28" i="12"/>
  <c r="AT32" i="12" s="1"/>
  <c r="AT33" i="12" s="1"/>
  <c r="AC48" i="13"/>
  <c r="AC87" i="13" s="1"/>
  <c r="AC90" i="13" s="1"/>
  <c r="AH48" i="13"/>
  <c r="AH87" i="13" s="1"/>
  <c r="AH90" i="13" s="1"/>
  <c r="W132" i="13"/>
  <c r="W33" i="13"/>
  <c r="W56" i="13"/>
  <c r="Z48" i="13"/>
  <c r="Z87" i="13" s="1"/>
  <c r="Z90" i="13" s="1"/>
  <c r="R132" i="13"/>
  <c r="R56" i="13"/>
  <c r="R33" i="13"/>
  <c r="Q33" i="13"/>
  <c r="Q56" i="13"/>
  <c r="Q132" i="13"/>
  <c r="M48" i="13"/>
  <c r="AC132" i="13"/>
  <c r="AC56" i="13"/>
  <c r="AC33" i="13"/>
  <c r="AD180" i="13"/>
  <c r="AE176" i="13" s="1"/>
  <c r="AE179" i="13" s="1"/>
  <c r="AE182" i="13" s="1"/>
  <c r="AD207" i="13"/>
  <c r="G7" i="3"/>
  <c r="I6" i="3"/>
  <c r="I131" i="1"/>
  <c r="I10" i="17" s="1"/>
  <c r="F853" i="17" l="1"/>
  <c r="C141" i="43" s="1"/>
  <c r="AP701" i="17"/>
  <c r="J349" i="17"/>
  <c r="AP681" i="17"/>
  <c r="J179" i="17"/>
  <c r="J207" i="17" s="1"/>
  <c r="J350" i="17"/>
  <c r="Y822" i="17"/>
  <c r="Y17" i="38" s="1"/>
  <c r="Y187" i="17"/>
  <c r="Y138" i="26"/>
  <c r="Y92" i="26"/>
  <c r="Z138" i="26"/>
  <c r="Z187" i="17"/>
  <c r="Z822" i="17"/>
  <c r="Z17" i="38" s="1"/>
  <c r="Z92" i="26"/>
  <c r="AB92" i="26"/>
  <c r="AB822" i="17"/>
  <c r="AB17" i="38" s="1"/>
  <c r="AB187" i="17"/>
  <c r="AB138" i="26"/>
  <c r="AC92" i="26"/>
  <c r="AC822" i="17"/>
  <c r="AC17" i="38" s="1"/>
  <c r="AC138" i="26"/>
  <c r="AC187" i="17"/>
  <c r="AA822" i="17"/>
  <c r="AA17" i="38" s="1"/>
  <c r="AA92" i="26"/>
  <c r="AA187" i="17"/>
  <c r="AA138" i="26"/>
  <c r="H852" i="17"/>
  <c r="E140" i="43" s="1"/>
  <c r="H853" i="17"/>
  <c r="AE31" i="38"/>
  <c r="H869" i="17"/>
  <c r="AV9" i="38"/>
  <c r="AV10" i="38"/>
  <c r="AB31" i="38"/>
  <c r="G869" i="17" a="1"/>
  <c r="G869" i="17" s="1"/>
  <c r="D157" i="43" s="1"/>
  <c r="L9" i="38"/>
  <c r="L70" i="37"/>
  <c r="L10" i="38"/>
  <c r="O952" i="17" a="1"/>
  <c r="O952" i="17" s="1"/>
  <c r="W207" i="17"/>
  <c r="W209" i="17" s="1"/>
  <c r="W184" i="17"/>
  <c r="M184" i="17"/>
  <c r="M207" i="17"/>
  <c r="M209" i="17" s="1"/>
  <c r="L167" i="17"/>
  <c r="L168" i="17" s="1"/>
  <c r="L204" i="17"/>
  <c r="L205" i="17" s="1"/>
  <c r="M167" i="17"/>
  <c r="M174" i="17"/>
  <c r="M204" i="17"/>
  <c r="L184" i="17"/>
  <c r="L207" i="17"/>
  <c r="L209" i="17" s="1"/>
  <c r="J819" i="17"/>
  <c r="J9" i="38" s="1"/>
  <c r="J165" i="17"/>
  <c r="J13" i="26"/>
  <c r="J29" i="17"/>
  <c r="AU207" i="17"/>
  <c r="AU209" i="17" s="1"/>
  <c r="F180" i="17"/>
  <c r="AU184" i="17"/>
  <c r="AU167" i="17"/>
  <c r="AU204" i="17"/>
  <c r="AB169" i="17"/>
  <c r="AQ169" i="17"/>
  <c r="O169" i="17"/>
  <c r="AS169" i="17"/>
  <c r="AC169" i="17"/>
  <c r="F166" i="17"/>
  <c r="Q169" i="17"/>
  <c r="AK169" i="17"/>
  <c r="AJ169" i="17"/>
  <c r="Z169" i="17"/>
  <c r="W169" i="17"/>
  <c r="AO169" i="17"/>
  <c r="Y169" i="17"/>
  <c r="AN169" i="17"/>
  <c r="U169" i="17"/>
  <c r="N169" i="17"/>
  <c r="AG169" i="17"/>
  <c r="AI169" i="17"/>
  <c r="P169" i="17"/>
  <c r="AE169" i="17"/>
  <c r="AM169" i="17"/>
  <c r="X169" i="17"/>
  <c r="AU169" i="17"/>
  <c r="T169" i="17"/>
  <c r="V169" i="17"/>
  <c r="AD169" i="17"/>
  <c r="L169" i="17"/>
  <c r="AF169" i="17"/>
  <c r="AL169" i="17"/>
  <c r="AA169" i="17"/>
  <c r="AR169" i="17"/>
  <c r="R169" i="17"/>
  <c r="S169" i="17"/>
  <c r="M169" i="17"/>
  <c r="AT169" i="17"/>
  <c r="AH169" i="17"/>
  <c r="AU174" i="17"/>
  <c r="L952" i="17"/>
  <c r="N952" i="17" a="1"/>
  <c r="N952" i="17" s="1"/>
  <c r="M952" i="17" a="1"/>
  <c r="M952" i="17" s="1"/>
  <c r="L951" i="17"/>
  <c r="M951" i="17" a="1"/>
  <c r="M951" i="17" s="1"/>
  <c r="O951" i="17" a="1"/>
  <c r="O951" i="17" s="1"/>
  <c r="D20" i="25" s="1"/>
  <c r="F28" i="42" s="1"/>
  <c r="N951" i="17" a="1"/>
  <c r="N951" i="17" s="1"/>
  <c r="AP169" i="17"/>
  <c r="AV167" i="17"/>
  <c r="AV169" i="17"/>
  <c r="AV170" i="17" s="1"/>
  <c r="AV204" i="17"/>
  <c r="AV174" i="17"/>
  <c r="AV207" i="17"/>
  <c r="AV209" i="17" s="1"/>
  <c r="AV184" i="17"/>
  <c r="F30" i="17"/>
  <c r="J820" i="17"/>
  <c r="J10" i="38" s="1"/>
  <c r="J14" i="26"/>
  <c r="N968" i="17" a="1"/>
  <c r="N968" i="17" s="1"/>
  <c r="O968" i="17" a="1"/>
  <c r="O968" i="17" s="1"/>
  <c r="D27" i="25" s="1"/>
  <c r="F35" i="42" s="1"/>
  <c r="M968" i="17" a="1"/>
  <c r="M968" i="17" s="1"/>
  <c r="J31" i="38"/>
  <c r="J103" i="26"/>
  <c r="L968" i="17"/>
  <c r="W47" i="13"/>
  <c r="W49" i="13" s="1"/>
  <c r="R51" i="12"/>
  <c r="R34" i="12"/>
  <c r="S51" i="12"/>
  <c r="S34" i="12"/>
  <c r="AE47" i="13"/>
  <c r="AC51" i="12"/>
  <c r="AC34" i="12"/>
  <c r="AS34" i="12"/>
  <c r="AS51" i="12"/>
  <c r="L32" i="12"/>
  <c r="L33" i="12" s="1"/>
  <c r="J28" i="12"/>
  <c r="J32" i="12" s="1"/>
  <c r="AU51" i="12"/>
  <c r="AU34" i="12"/>
  <c r="AQ51" i="12"/>
  <c r="AQ34" i="12"/>
  <c r="Q47" i="13"/>
  <c r="Q49" i="13" s="1"/>
  <c r="W135" i="13"/>
  <c r="W137" i="13"/>
  <c r="W136" i="13"/>
  <c r="W138" i="13"/>
  <c r="W134" i="13"/>
  <c r="AE138" i="13"/>
  <c r="AE136" i="13"/>
  <c r="AE135" i="13"/>
  <c r="AE137" i="13"/>
  <c r="AE134" i="13"/>
  <c r="AT137" i="13"/>
  <c r="AT135" i="13"/>
  <c r="AT134" i="13"/>
  <c r="AT136" i="13"/>
  <c r="AT138" i="13"/>
  <c r="N47" i="13"/>
  <c r="N49" i="13" s="1"/>
  <c r="T134" i="13"/>
  <c r="T136" i="13"/>
  <c r="T138" i="13"/>
  <c r="T137" i="13"/>
  <c r="T135" i="13"/>
  <c r="Z47" i="13"/>
  <c r="AR47" i="13"/>
  <c r="AK34" i="12"/>
  <c r="AK51" i="12"/>
  <c r="AP137" i="13"/>
  <c r="AP134" i="13"/>
  <c r="AP138" i="13"/>
  <c r="AP136" i="13"/>
  <c r="AP135" i="13"/>
  <c r="U47" i="13"/>
  <c r="U49" i="13" s="1"/>
  <c r="AD135" i="13"/>
  <c r="AD134" i="13"/>
  <c r="AD136" i="13"/>
  <c r="AD137" i="13"/>
  <c r="AD138" i="13"/>
  <c r="AI136" i="13"/>
  <c r="AI138" i="13"/>
  <c r="AI135" i="13"/>
  <c r="AI137" i="13"/>
  <c r="AI134" i="13"/>
  <c r="O34" i="12"/>
  <c r="O51" i="12"/>
  <c r="AT47" i="13"/>
  <c r="AB34" i="12"/>
  <c r="AB51" i="12"/>
  <c r="Z137" i="13"/>
  <c r="Z138" i="13"/>
  <c r="Z134" i="13"/>
  <c r="Z135" i="13"/>
  <c r="Z136" i="13"/>
  <c r="AP47" i="13"/>
  <c r="W34" i="12"/>
  <c r="W51" i="12"/>
  <c r="U136" i="13"/>
  <c r="U138" i="13"/>
  <c r="U134" i="13"/>
  <c r="U135" i="13"/>
  <c r="U137" i="13"/>
  <c r="X137" i="13"/>
  <c r="X134" i="13"/>
  <c r="X135" i="13"/>
  <c r="X136" i="13"/>
  <c r="X138" i="13"/>
  <c r="AI47" i="13"/>
  <c r="AC47" i="13"/>
  <c r="R47" i="13"/>
  <c r="R49" i="13" s="1"/>
  <c r="X51" i="12"/>
  <c r="X34" i="12"/>
  <c r="U34" i="12"/>
  <c r="U51" i="12"/>
  <c r="AB47" i="13"/>
  <c r="AK47" i="13"/>
  <c r="N136" i="13"/>
  <c r="N138" i="13"/>
  <c r="N137" i="13"/>
  <c r="N135" i="13"/>
  <c r="N134" i="13"/>
  <c r="AJ34" i="12"/>
  <c r="AJ51" i="12"/>
  <c r="T47" i="13"/>
  <c r="T49" i="13" s="1"/>
  <c r="AR138" i="13"/>
  <c r="AR134" i="13"/>
  <c r="AR136" i="13"/>
  <c r="AR137" i="13"/>
  <c r="AR135" i="13"/>
  <c r="L57" i="12"/>
  <c r="J55" i="12"/>
  <c r="F57" i="12"/>
  <c r="F197" i="17" s="1"/>
  <c r="AS47" i="13"/>
  <c r="P47" i="13"/>
  <c r="P49" i="13" s="1"/>
  <c r="Y34" i="12"/>
  <c r="Y51" i="12"/>
  <c r="AU47" i="13"/>
  <c r="Z51" i="12"/>
  <c r="Z34" i="12"/>
  <c r="AK137" i="13"/>
  <c r="AK135" i="13"/>
  <c r="AK134" i="13"/>
  <c r="AK136" i="13"/>
  <c r="AK138" i="13"/>
  <c r="AF137" i="13"/>
  <c r="AF136" i="13"/>
  <c r="AF134" i="13"/>
  <c r="AF135" i="13"/>
  <c r="AF138" i="13"/>
  <c r="Q51" i="12"/>
  <c r="Q34" i="12"/>
  <c r="L137" i="13"/>
  <c r="L135" i="13"/>
  <c r="L138" i="13"/>
  <c r="L134" i="13"/>
  <c r="L136" i="13"/>
  <c r="AD47" i="13"/>
  <c r="AU135" i="13"/>
  <c r="AU137" i="13"/>
  <c r="AU138" i="13"/>
  <c r="AU134" i="13"/>
  <c r="AU136" i="13"/>
  <c r="N51" i="12"/>
  <c r="N34" i="12"/>
  <c r="AG47" i="13"/>
  <c r="J56" i="13"/>
  <c r="J132" i="13"/>
  <c r="P137" i="13"/>
  <c r="P134" i="13"/>
  <c r="P135" i="13"/>
  <c r="P136" i="13"/>
  <c r="P138" i="13"/>
  <c r="S47" i="13"/>
  <c r="S49" i="13" s="1"/>
  <c r="AR34" i="12"/>
  <c r="AR51" i="12"/>
  <c r="AH134" i="13"/>
  <c r="AH136" i="13"/>
  <c r="AH135" i="13"/>
  <c r="AH137" i="13"/>
  <c r="AH138" i="13"/>
  <c r="AH51" i="12"/>
  <c r="AH34" i="12"/>
  <c r="M47" i="13"/>
  <c r="M49" i="13" s="1"/>
  <c r="AJ47" i="13"/>
  <c r="V134" i="13"/>
  <c r="V137" i="13"/>
  <c r="V135" i="13"/>
  <c r="V138" i="13"/>
  <c r="V136" i="13"/>
  <c r="AF47" i="13"/>
  <c r="O47" i="13"/>
  <c r="O49" i="13" s="1"/>
  <c r="AN47" i="13"/>
  <c r="AO47" i="13"/>
  <c r="AE34" i="12"/>
  <c r="AE51" i="12"/>
  <c r="AA134" i="13"/>
  <c r="AA138" i="13"/>
  <c r="AA135" i="13"/>
  <c r="AA137" i="13"/>
  <c r="AA136" i="13"/>
  <c r="AQ134" i="13"/>
  <c r="AQ138" i="13"/>
  <c r="AQ136" i="13"/>
  <c r="AQ135" i="13"/>
  <c r="AQ137" i="13"/>
  <c r="AV34" i="12"/>
  <c r="AV51" i="12"/>
  <c r="S136" i="13"/>
  <c r="S138" i="13"/>
  <c r="S135" i="13"/>
  <c r="S137" i="13"/>
  <c r="S134" i="13"/>
  <c r="AH47" i="13"/>
  <c r="AL47" i="13"/>
  <c r="AB136" i="13"/>
  <c r="AB138" i="13"/>
  <c r="AB135" i="13"/>
  <c r="AB134" i="13"/>
  <c r="AB137" i="13"/>
  <c r="AL51" i="12"/>
  <c r="AL34" i="12"/>
  <c r="AV47" i="13"/>
  <c r="AQ47" i="13"/>
  <c r="AS134" i="13"/>
  <c r="AS138" i="13"/>
  <c r="AS135" i="13"/>
  <c r="AS136" i="13"/>
  <c r="AS137" i="13"/>
  <c r="AC135" i="13"/>
  <c r="AC136" i="13"/>
  <c r="AC138" i="13"/>
  <c r="AC137" i="13"/>
  <c r="AC134" i="13"/>
  <c r="R138" i="13"/>
  <c r="R135" i="13"/>
  <c r="R136" i="13"/>
  <c r="R134" i="13"/>
  <c r="R137" i="13"/>
  <c r="P51" i="12"/>
  <c r="P34" i="12"/>
  <c r="V47" i="13"/>
  <c r="V49" i="13" s="1"/>
  <c r="V51" i="12"/>
  <c r="V34" i="12"/>
  <c r="AM138" i="13"/>
  <c r="AM137" i="13"/>
  <c r="AM136" i="13"/>
  <c r="AM134" i="13"/>
  <c r="AM135" i="13"/>
  <c r="AT34" i="12"/>
  <c r="AT51" i="12"/>
  <c r="AO51" i="12"/>
  <c r="AO34" i="12"/>
  <c r="AJ134" i="13"/>
  <c r="AJ136" i="13"/>
  <c r="AJ137" i="13"/>
  <c r="AJ135" i="13"/>
  <c r="AJ138" i="13"/>
  <c r="T34" i="12"/>
  <c r="T51" i="12"/>
  <c r="AF34" i="12"/>
  <c r="AF51" i="12"/>
  <c r="AA34" i="12"/>
  <c r="AA51" i="12"/>
  <c r="O134" i="13"/>
  <c r="O135" i="13"/>
  <c r="O137" i="13"/>
  <c r="O136" i="13"/>
  <c r="O138" i="13"/>
  <c r="AN134" i="13"/>
  <c r="AN135" i="13"/>
  <c r="AN137" i="13"/>
  <c r="AN136" i="13"/>
  <c r="AN138" i="13"/>
  <c r="AG51" i="12"/>
  <c r="AG34" i="12"/>
  <c r="AA47" i="13"/>
  <c r="AG136" i="13"/>
  <c r="AG135" i="13"/>
  <c r="AG138" i="13"/>
  <c r="AG134" i="13"/>
  <c r="AG137" i="13"/>
  <c r="X47" i="13"/>
  <c r="AP34" i="12"/>
  <c r="AP51" i="12"/>
  <c r="AI51" i="12"/>
  <c r="AI34" i="12"/>
  <c r="AM47" i="13"/>
  <c r="AD34" i="12"/>
  <c r="AD51" i="12"/>
  <c r="Y47" i="13"/>
  <c r="AL137" i="13"/>
  <c r="AL134" i="13"/>
  <c r="AL135" i="13"/>
  <c r="AL136" i="13"/>
  <c r="AL138" i="13"/>
  <c r="AV137" i="13"/>
  <c r="AV136" i="13"/>
  <c r="AV134" i="13"/>
  <c r="AV135" i="13"/>
  <c r="AV138" i="13"/>
  <c r="AM34" i="12"/>
  <c r="AM51" i="12"/>
  <c r="Y135" i="13"/>
  <c r="Y137" i="13"/>
  <c r="Y136" i="13"/>
  <c r="Y138" i="13"/>
  <c r="Y134" i="13"/>
  <c r="Q136" i="13"/>
  <c r="Q138" i="13"/>
  <c r="Q134" i="13"/>
  <c r="Q135" i="13"/>
  <c r="Q137" i="13"/>
  <c r="M34" i="12"/>
  <c r="M51" i="12"/>
  <c r="M134" i="13"/>
  <c r="M136" i="13"/>
  <c r="M138" i="13"/>
  <c r="M137" i="13"/>
  <c r="M135" i="13"/>
  <c r="AO138" i="13"/>
  <c r="AO135" i="13"/>
  <c r="AO137" i="13"/>
  <c r="AO134" i="13"/>
  <c r="AO136" i="13"/>
  <c r="AN34" i="12"/>
  <c r="AN51" i="12"/>
  <c r="L47" i="13"/>
  <c r="L49" i="13" s="1"/>
  <c r="J33" i="13"/>
  <c r="J47" i="13" s="1"/>
  <c r="AE180" i="13"/>
  <c r="AF176" i="13" s="1"/>
  <c r="AF179" i="13" s="1"/>
  <c r="AE207" i="13"/>
  <c r="I7" i="3"/>
  <c r="I187" i="1"/>
  <c r="I299" i="1"/>
  <c r="I298" i="1"/>
  <c r="I237" i="1"/>
  <c r="I139" i="1"/>
  <c r="I20" i="17" s="1"/>
  <c r="I169" i="1"/>
  <c r="I172" i="1"/>
  <c r="I236" i="1"/>
  <c r="I235" i="1"/>
  <c r="I170" i="1"/>
  <c r="I171" i="1"/>
  <c r="I300" i="1"/>
  <c r="I162" i="1"/>
  <c r="I188" i="1"/>
  <c r="AP718" i="17" l="1"/>
  <c r="AP682" i="17"/>
  <c r="AQ678" i="17" s="1"/>
  <c r="AQ679" i="17" s="1"/>
  <c r="J35" i="42"/>
  <c r="I35" i="42" s="1"/>
  <c r="J28" i="42"/>
  <c r="I28" i="42" s="1"/>
  <c r="Y442" i="17"/>
  <c r="Y189" i="17"/>
  <c r="Y236" i="17"/>
  <c r="Y239" i="17" s="1"/>
  <c r="Y241" i="17" s="1"/>
  <c r="Y295" i="17" s="1"/>
  <c r="AA236" i="17"/>
  <c r="AA239" i="17" s="1"/>
  <c r="AA241" i="17" s="1"/>
  <c r="AA295" i="17" s="1"/>
  <c r="AA442" i="17"/>
  <c r="AA189" i="17"/>
  <c r="AB442" i="17"/>
  <c r="AB236" i="17"/>
  <c r="AB239" i="17" s="1"/>
  <c r="AB241" i="17" s="1"/>
  <c r="AB295" i="17" s="1"/>
  <c r="AB189" i="17"/>
  <c r="AC236" i="17"/>
  <c r="AC239" i="17" s="1"/>
  <c r="AC241" i="17" s="1"/>
  <c r="AC295" i="17" s="1"/>
  <c r="AC442" i="17"/>
  <c r="AC189" i="17"/>
  <c r="Z442" i="17"/>
  <c r="Z189" i="17"/>
  <c r="Z236" i="17"/>
  <c r="Z239" i="17" s="1"/>
  <c r="Z241" i="17" s="1"/>
  <c r="Z295" i="17" s="1"/>
  <c r="E141" i="43"/>
  <c r="L214" i="17"/>
  <c r="S170" i="17"/>
  <c r="M170" i="17"/>
  <c r="AA170" i="17"/>
  <c r="Y170" i="17"/>
  <c r="AI170" i="17"/>
  <c r="AF170" i="17"/>
  <c r="AL170" i="17"/>
  <c r="V170" i="17"/>
  <c r="X170" i="17"/>
  <c r="AN170" i="17"/>
  <c r="AJ170" i="17"/>
  <c r="AT170" i="17"/>
  <c r="AH170" i="17"/>
  <c r="AP170" i="17"/>
  <c r="P170" i="17"/>
  <c r="T170" i="17"/>
  <c r="AR170" i="17"/>
  <c r="AD170" i="17"/>
  <c r="N170" i="17"/>
  <c r="AM170" i="17"/>
  <c r="AC170" i="17"/>
  <c r="AE170" i="17"/>
  <c r="AO170" i="17"/>
  <c r="AS170" i="17"/>
  <c r="L170" i="17"/>
  <c r="W170" i="17"/>
  <c r="O170" i="17"/>
  <c r="Z170" i="17"/>
  <c r="AQ170" i="17"/>
  <c r="AG170" i="17"/>
  <c r="AB170" i="17"/>
  <c r="R170" i="17"/>
  <c r="AK170" i="17"/>
  <c r="AU170" i="17"/>
  <c r="U170" i="17"/>
  <c r="Q170" i="17"/>
  <c r="M188" i="17"/>
  <c r="M443" i="17" s="1"/>
  <c r="M93" i="26"/>
  <c r="M823" i="17"/>
  <c r="M18" i="38" s="1"/>
  <c r="M139" i="26"/>
  <c r="L139" i="26"/>
  <c r="L823" i="17"/>
  <c r="L93" i="26"/>
  <c r="L188" i="17"/>
  <c r="L443" i="17" s="1"/>
  <c r="W139" i="26"/>
  <c r="W93" i="26"/>
  <c r="W188" i="17"/>
  <c r="W823" i="17"/>
  <c r="W18" i="38" s="1"/>
  <c r="M822" i="17"/>
  <c r="M17" i="38" s="1"/>
  <c r="M92" i="26"/>
  <c r="M138" i="26"/>
  <c r="M187" i="17"/>
  <c r="L822" i="17"/>
  <c r="L187" i="17"/>
  <c r="L138" i="26"/>
  <c r="L92" i="26"/>
  <c r="M168" i="17"/>
  <c r="N953" i="17"/>
  <c r="L953" i="17"/>
  <c r="AV93" i="26"/>
  <c r="AV188" i="17"/>
  <c r="AV823" i="17"/>
  <c r="AV18" i="38" s="1"/>
  <c r="AV139" i="26"/>
  <c r="J204" i="17"/>
  <c r="AU187" i="17"/>
  <c r="J174" i="17"/>
  <c r="AU92" i="26"/>
  <c r="AU822" i="17"/>
  <c r="AU17" i="38" s="1"/>
  <c r="AU138" i="26"/>
  <c r="M953" i="17"/>
  <c r="AU188" i="17"/>
  <c r="AU139" i="26"/>
  <c r="AU93" i="26"/>
  <c r="J184" i="17"/>
  <c r="AU823" i="17"/>
  <c r="AV187" i="17"/>
  <c r="AV92" i="26"/>
  <c r="AV822" i="17"/>
  <c r="AV138" i="26"/>
  <c r="O953" i="17"/>
  <c r="D22" i="25" s="1"/>
  <c r="F30" i="42" s="1"/>
  <c r="D21" i="25"/>
  <c r="F29" i="42" s="1"/>
  <c r="J169" i="17"/>
  <c r="F176" i="17"/>
  <c r="AN827" i="17"/>
  <c r="AN22" i="38" s="1"/>
  <c r="P827" i="17"/>
  <c r="P22" i="38" s="1"/>
  <c r="X827" i="17"/>
  <c r="X22" i="38" s="1"/>
  <c r="AF827" i="17"/>
  <c r="AF22" i="38" s="1"/>
  <c r="V827" i="17"/>
  <c r="V22" i="38" s="1"/>
  <c r="O205" i="17"/>
  <c r="AL827" i="17"/>
  <c r="AL22" i="38" s="1"/>
  <c r="T827" i="17"/>
  <c r="T22" i="38" s="1"/>
  <c r="AV827" i="17"/>
  <c r="AV22" i="38" s="1"/>
  <c r="AT827" i="17"/>
  <c r="AT22" i="38" s="1"/>
  <c r="AJ827" i="17"/>
  <c r="AJ22" i="38" s="1"/>
  <c r="W205" i="17"/>
  <c r="AR827" i="17"/>
  <c r="AR22" i="38" s="1"/>
  <c r="AB827" i="17"/>
  <c r="Q205" i="17"/>
  <c r="L827" i="17"/>
  <c r="AE827" i="17"/>
  <c r="U827" i="17"/>
  <c r="U22" i="38" s="1"/>
  <c r="AU205" i="17"/>
  <c r="AS827" i="17"/>
  <c r="AS22" i="38" s="1"/>
  <c r="AK827" i="17"/>
  <c r="AK22" i="38" s="1"/>
  <c r="V205" i="17"/>
  <c r="AH205" i="17"/>
  <c r="X205" i="17"/>
  <c r="AQ205" i="17"/>
  <c r="AP205" i="17"/>
  <c r="AM205" i="17"/>
  <c r="M827" i="17"/>
  <c r="M22" i="38" s="1"/>
  <c r="AE205" i="17"/>
  <c r="O827" i="17"/>
  <c r="O22" i="38" s="1"/>
  <c r="AG827" i="17"/>
  <c r="AG22" i="38" s="1"/>
  <c r="AV205" i="17"/>
  <c r="AF205" i="17"/>
  <c r="AA205" i="17"/>
  <c r="Y205" i="17"/>
  <c r="AU827" i="17"/>
  <c r="AU22" i="38" s="1"/>
  <c r="U205" i="17"/>
  <c r="AL205" i="17"/>
  <c r="P205" i="17"/>
  <c r="Q827" i="17"/>
  <c r="Q22" i="38" s="1"/>
  <c r="S205" i="17"/>
  <c r="AO205" i="17"/>
  <c r="AM827" i="17"/>
  <c r="AM22" i="38" s="1"/>
  <c r="AN205" i="17"/>
  <c r="Z205" i="17"/>
  <c r="N827" i="17"/>
  <c r="N22" i="38" s="1"/>
  <c r="W827" i="17"/>
  <c r="W22" i="38" s="1"/>
  <c r="AS205" i="17"/>
  <c r="AC205" i="17"/>
  <c r="AI205" i="17"/>
  <c r="R827" i="17"/>
  <c r="R22" i="38" s="1"/>
  <c r="Y827" i="17"/>
  <c r="Y22" i="38" s="1"/>
  <c r="S827" i="17"/>
  <c r="S22" i="38" s="1"/>
  <c r="AI827" i="17"/>
  <c r="AI22" i="38" s="1"/>
  <c r="AD827" i="17"/>
  <c r="AD22" i="38" s="1"/>
  <c r="AC827" i="17"/>
  <c r="AC22" i="38" s="1"/>
  <c r="AA827" i="17"/>
  <c r="AA22" i="38" s="1"/>
  <c r="AO827" i="17"/>
  <c r="AO22" i="38" s="1"/>
  <c r="R205" i="17"/>
  <c r="AG205" i="17"/>
  <c r="N205" i="17"/>
  <c r="AD205" i="17"/>
  <c r="AK205" i="17"/>
  <c r="AH827" i="17"/>
  <c r="AH22" i="38" s="1"/>
  <c r="AP827" i="17"/>
  <c r="AP22" i="38" s="1"/>
  <c r="AT205" i="17"/>
  <c r="Z827" i="17"/>
  <c r="Z22" i="38" s="1"/>
  <c r="M205" i="17"/>
  <c r="AQ827" i="17"/>
  <c r="AQ22" i="38" s="1"/>
  <c r="AR205" i="17"/>
  <c r="T205" i="17"/>
  <c r="AB205" i="17"/>
  <c r="L826" i="17"/>
  <c r="AJ205" i="17"/>
  <c r="F55" i="13"/>
  <c r="N60" i="13" s="1"/>
  <c r="AH139" i="13"/>
  <c r="AI139" i="13"/>
  <c r="AF139" i="13"/>
  <c r="AC49" i="13"/>
  <c r="AC86" i="13"/>
  <c r="AC89" i="13" s="1"/>
  <c r="AC91" i="13" s="1"/>
  <c r="Z49" i="13"/>
  <c r="Z86" i="13"/>
  <c r="Z89" i="13" s="1"/>
  <c r="Z91" i="13" s="1"/>
  <c r="N197" i="13"/>
  <c r="N230" i="13"/>
  <c r="Y139" i="13"/>
  <c r="F142" i="13" s="1"/>
  <c r="Y49" i="13"/>
  <c r="Y86" i="13"/>
  <c r="Y89" i="13" s="1"/>
  <c r="Y91" i="13" s="1"/>
  <c r="X49" i="13"/>
  <c r="X86" i="13"/>
  <c r="X89" i="13" s="1"/>
  <c r="X91" i="13" s="1"/>
  <c r="R139" i="13"/>
  <c r="AS139" i="13"/>
  <c r="AL49" i="13"/>
  <c r="AL86" i="13"/>
  <c r="AL89" i="13" s="1"/>
  <c r="AL91" i="13" s="1"/>
  <c r="AQ139" i="13"/>
  <c r="AG49" i="13"/>
  <c r="AG86" i="13"/>
  <c r="AG89" i="13" s="1"/>
  <c r="AG91" i="13" s="1"/>
  <c r="AP49" i="13"/>
  <c r="AP86" i="13"/>
  <c r="AP89" i="13" s="1"/>
  <c r="AP91" i="13" s="1"/>
  <c r="AD139" i="13"/>
  <c r="AP139" i="13"/>
  <c r="AE139" i="13"/>
  <c r="AE49" i="13"/>
  <c r="AE86" i="13"/>
  <c r="AE89" i="13" s="1"/>
  <c r="AE91" i="13" s="1"/>
  <c r="AN49" i="13"/>
  <c r="AN86" i="13"/>
  <c r="AN89" i="13" s="1"/>
  <c r="AN91" i="13" s="1"/>
  <c r="M197" i="13"/>
  <c r="M230" i="13"/>
  <c r="AO139" i="13"/>
  <c r="O139" i="13"/>
  <c r="AA139" i="13"/>
  <c r="O197" i="13"/>
  <c r="O230" i="13"/>
  <c r="V139" i="13"/>
  <c r="P139" i="13"/>
  <c r="T197" i="13"/>
  <c r="T230" i="13"/>
  <c r="AI49" i="13"/>
  <c r="AI86" i="13"/>
  <c r="AI89" i="13" s="1"/>
  <c r="AI91" i="13" s="1"/>
  <c r="L197" i="13"/>
  <c r="L230" i="13"/>
  <c r="AV139" i="13"/>
  <c r="AN139" i="13"/>
  <c r="V230" i="13"/>
  <c r="V197" i="13"/>
  <c r="AV49" i="13"/>
  <c r="AV86" i="13"/>
  <c r="AV89" i="13" s="1"/>
  <c r="AV91" i="13" s="1"/>
  <c r="AB139" i="13"/>
  <c r="AF49" i="13"/>
  <c r="AF86" i="13"/>
  <c r="AF89" i="13" s="1"/>
  <c r="AF91" i="13" s="1"/>
  <c r="AJ49" i="13"/>
  <c r="AJ86" i="13"/>
  <c r="AJ89" i="13" s="1"/>
  <c r="AJ91" i="13" s="1"/>
  <c r="AD49" i="13"/>
  <c r="AD86" i="13"/>
  <c r="AD89" i="13" s="1"/>
  <c r="AD91" i="13" s="1"/>
  <c r="P197" i="13"/>
  <c r="P230" i="13"/>
  <c r="AK49" i="13"/>
  <c r="AK86" i="13"/>
  <c r="AK89" i="13" s="1"/>
  <c r="AK91" i="13" s="1"/>
  <c r="U139" i="13"/>
  <c r="U197" i="13"/>
  <c r="U230" i="13"/>
  <c r="AT139" i="13"/>
  <c r="Q139" i="13"/>
  <c r="AM49" i="13"/>
  <c r="AM86" i="13"/>
  <c r="AM89" i="13" s="1"/>
  <c r="AM91" i="13" s="1"/>
  <c r="AM139" i="13"/>
  <c r="S139" i="13"/>
  <c r="S197" i="13"/>
  <c r="S230" i="13"/>
  <c r="AU49" i="13"/>
  <c r="AU86" i="13"/>
  <c r="AU89" i="13" s="1"/>
  <c r="AU91" i="13" s="1"/>
  <c r="AR49" i="13"/>
  <c r="AR86" i="13"/>
  <c r="AR89" i="13" s="1"/>
  <c r="AR91" i="13" s="1"/>
  <c r="Q197" i="13"/>
  <c r="Q230" i="13"/>
  <c r="AA49" i="13"/>
  <c r="AA86" i="13"/>
  <c r="AA89" i="13" s="1"/>
  <c r="AA91" i="13" s="1"/>
  <c r="AQ49" i="13"/>
  <c r="AQ86" i="13"/>
  <c r="AQ89" i="13" s="1"/>
  <c r="AQ91" i="13" s="1"/>
  <c r="AH49" i="13"/>
  <c r="AH86" i="13"/>
  <c r="AH89" i="13" s="1"/>
  <c r="AH91" i="13" s="1"/>
  <c r="L51" i="12"/>
  <c r="F51" i="12"/>
  <c r="L34" i="12"/>
  <c r="J34" i="12" s="1"/>
  <c r="J33" i="12"/>
  <c r="M139" i="13"/>
  <c r="AL139" i="13"/>
  <c r="AG139" i="13"/>
  <c r="AJ139" i="13"/>
  <c r="AC139" i="13"/>
  <c r="AO49" i="13"/>
  <c r="AO86" i="13"/>
  <c r="AO89" i="13" s="1"/>
  <c r="AO91" i="13" s="1"/>
  <c r="J139" i="13"/>
  <c r="J138" i="13"/>
  <c r="J135" i="13"/>
  <c r="J136" i="13"/>
  <c r="J134" i="13"/>
  <c r="J137" i="13"/>
  <c r="AK139" i="13"/>
  <c r="AS49" i="13"/>
  <c r="AS86" i="13"/>
  <c r="AS89" i="13" s="1"/>
  <c r="AS91" i="13" s="1"/>
  <c r="N139" i="13"/>
  <c r="R230" i="13"/>
  <c r="R197" i="13"/>
  <c r="Z139" i="13"/>
  <c r="T139" i="13"/>
  <c r="AT49" i="13"/>
  <c r="AT86" i="13"/>
  <c r="AT89" i="13" s="1"/>
  <c r="AT91" i="13" s="1"/>
  <c r="AU139" i="13"/>
  <c r="L139" i="13"/>
  <c r="AR139" i="13"/>
  <c r="AB49" i="13"/>
  <c r="AB86" i="13"/>
  <c r="AB89" i="13" s="1"/>
  <c r="AB91" i="13" s="1"/>
  <c r="X139" i="13"/>
  <c r="W139" i="13"/>
  <c r="W197" i="13"/>
  <c r="W230" i="13"/>
  <c r="AF182" i="13"/>
  <c r="AF180" i="13"/>
  <c r="AG176" i="13" s="1"/>
  <c r="AG179" i="13" s="1"/>
  <c r="AG182" i="13" s="1"/>
  <c r="I183" i="1"/>
  <c r="I184" i="1"/>
  <c r="I45" i="17" s="1"/>
  <c r="I244" i="1"/>
  <c r="I245" i="1"/>
  <c r="I106" i="17" s="1"/>
  <c r="F856" i="17" l="1"/>
  <c r="C144" i="43" s="1"/>
  <c r="F860" i="17"/>
  <c r="C148" i="43" s="1"/>
  <c r="F855" i="17"/>
  <c r="C143" i="43" s="1"/>
  <c r="AQ701" i="17"/>
  <c r="J29" i="42"/>
  <c r="I29" i="42" s="1"/>
  <c r="J30" i="42"/>
  <c r="I30" i="42" s="1"/>
  <c r="AA300" i="17"/>
  <c r="AA299" i="17"/>
  <c r="AA298" i="17"/>
  <c r="AA297" i="17"/>
  <c r="AA296" i="17"/>
  <c r="Y300" i="17"/>
  <c r="Y299" i="17"/>
  <c r="Y298" i="17"/>
  <c r="Y297" i="17"/>
  <c r="Y296" i="17"/>
  <c r="AC300" i="17"/>
  <c r="AC299" i="17"/>
  <c r="AC298" i="17"/>
  <c r="AC297" i="17"/>
  <c r="AC296" i="17"/>
  <c r="AB296" i="17"/>
  <c r="AB300" i="17"/>
  <c r="AB299" i="17"/>
  <c r="AB298" i="17"/>
  <c r="AB297" i="17"/>
  <c r="Z300" i="17"/>
  <c r="Z299" i="17"/>
  <c r="Z298" i="17"/>
  <c r="Z297" i="17"/>
  <c r="Z296" i="17"/>
  <c r="Y593" i="17"/>
  <c r="Y252" i="17"/>
  <c r="Y554" i="17"/>
  <c r="Y878" i="17"/>
  <c r="Y41" i="38" s="1"/>
  <c r="Y783" i="17"/>
  <c r="Y588" i="17"/>
  <c r="Y547" i="17"/>
  <c r="Y444" i="17"/>
  <c r="Y824" i="17"/>
  <c r="Y19" i="38" s="1"/>
  <c r="AB444" i="17"/>
  <c r="AB824" i="17"/>
  <c r="AB19" i="38" s="1"/>
  <c r="AB547" i="17"/>
  <c r="AB588" i="17"/>
  <c r="AC878" i="17"/>
  <c r="AC41" i="38" s="1"/>
  <c r="AC252" i="17"/>
  <c r="AC593" i="17"/>
  <c r="AC554" i="17"/>
  <c r="AC783" i="17"/>
  <c r="AB252" i="17"/>
  <c r="AB878" i="17"/>
  <c r="AB41" i="38" s="1"/>
  <c r="AB554" i="17"/>
  <c r="AB593" i="17"/>
  <c r="AB783" i="17"/>
  <c r="Z593" i="17"/>
  <c r="Z554" i="17"/>
  <c r="Z783" i="17"/>
  <c r="Z252" i="17"/>
  <c r="Z878" i="17"/>
  <c r="Z41" i="38" s="1"/>
  <c r="Z824" i="17"/>
  <c r="Z19" i="38" s="1"/>
  <c r="Z588" i="17"/>
  <c r="Z444" i="17"/>
  <c r="Z547" i="17"/>
  <c r="AA444" i="17"/>
  <c r="AA588" i="17"/>
  <c r="AA547" i="17"/>
  <c r="AA824" i="17"/>
  <c r="AA19" i="38" s="1"/>
  <c r="AC547" i="17"/>
  <c r="AC588" i="17"/>
  <c r="AC444" i="17"/>
  <c r="AC824" i="17"/>
  <c r="AC19" i="38" s="1"/>
  <c r="AA783" i="17"/>
  <c r="AA593" i="17"/>
  <c r="AA878" i="17"/>
  <c r="AA41" i="38" s="1"/>
  <c r="AA554" i="17"/>
  <c r="AA252" i="17"/>
  <c r="AE22" i="38"/>
  <c r="H860" i="17"/>
  <c r="H855" i="17"/>
  <c r="AU18" i="38"/>
  <c r="H856" i="17"/>
  <c r="N826" i="17"/>
  <c r="N21" i="38" s="1"/>
  <c r="Z826" i="17"/>
  <c r="Z21" i="38" s="1"/>
  <c r="U826" i="17"/>
  <c r="U21" i="38" s="1"/>
  <c r="AE826" i="17"/>
  <c r="AN826" i="17"/>
  <c r="AN21" i="38" s="1"/>
  <c r="W826" i="17"/>
  <c r="W21" i="38" s="1"/>
  <c r="AG826" i="17"/>
  <c r="AG21" i="38" s="1"/>
  <c r="AI826" i="17"/>
  <c r="AI21" i="38" s="1"/>
  <c r="AO826" i="17"/>
  <c r="AO21" i="38" s="1"/>
  <c r="AA826" i="17"/>
  <c r="AA21" i="38" s="1"/>
  <c r="AP826" i="17"/>
  <c r="AP21" i="38" s="1"/>
  <c r="Y826" i="17"/>
  <c r="Y21" i="38" s="1"/>
  <c r="AJ826" i="17"/>
  <c r="AJ21" i="38" s="1"/>
  <c r="AT826" i="17"/>
  <c r="AT21" i="38" s="1"/>
  <c r="AC826" i="17"/>
  <c r="AC21" i="38" s="1"/>
  <c r="S826" i="17"/>
  <c r="S21" i="38" s="1"/>
  <c r="AF826" i="17"/>
  <c r="AF21" i="38" s="1"/>
  <c r="AQ826" i="17"/>
  <c r="AQ21" i="38" s="1"/>
  <c r="AS826" i="17"/>
  <c r="AS21" i="38" s="1"/>
  <c r="AV826" i="17"/>
  <c r="AV21" i="38" s="1"/>
  <c r="X826" i="17"/>
  <c r="X21" i="38" s="1"/>
  <c r="AR826" i="17"/>
  <c r="AR21" i="38" s="1"/>
  <c r="R826" i="17"/>
  <c r="R21" i="38" s="1"/>
  <c r="AM826" i="17"/>
  <c r="AM21" i="38" s="1"/>
  <c r="AU826" i="17"/>
  <c r="AU21" i="38" s="1"/>
  <c r="AB826" i="17"/>
  <c r="AB21" i="38" s="1"/>
  <c r="T826" i="17"/>
  <c r="T21" i="38" s="1"/>
  <c r="AK826" i="17"/>
  <c r="AK21" i="38" s="1"/>
  <c r="P826" i="17"/>
  <c r="P21" i="38" s="1"/>
  <c r="AH826" i="17"/>
  <c r="AH21" i="38" s="1"/>
  <c r="Q826" i="17"/>
  <c r="Q21" i="38" s="1"/>
  <c r="AD826" i="17"/>
  <c r="AD21" i="38" s="1"/>
  <c r="AL826" i="17"/>
  <c r="AL21" i="38" s="1"/>
  <c r="V826" i="17"/>
  <c r="V21" i="38" s="1"/>
  <c r="O826" i="17"/>
  <c r="O21" i="38" s="1"/>
  <c r="AV17" i="38"/>
  <c r="AB22" i="38"/>
  <c r="G860" i="17" a="1"/>
  <c r="G860" i="17" s="1"/>
  <c r="L17" i="38"/>
  <c r="L18" i="38"/>
  <c r="L21" i="38"/>
  <c r="L22" i="38"/>
  <c r="F170" i="17"/>
  <c r="F417" i="17" s="1"/>
  <c r="M442" i="17"/>
  <c r="M189" i="17"/>
  <c r="N168" i="17"/>
  <c r="W189" i="17"/>
  <c r="W443" i="17"/>
  <c r="L442" i="17"/>
  <c r="L189" i="17"/>
  <c r="AU443" i="17"/>
  <c r="AU237" i="17"/>
  <c r="AU240" i="17" s="1"/>
  <c r="F191" i="17"/>
  <c r="L955" i="17"/>
  <c r="N955" i="17" a="1"/>
  <c r="N955" i="17" s="1"/>
  <c r="O955" i="17" a="1"/>
  <c r="O955" i="17" s="1"/>
  <c r="M955" i="17" a="1"/>
  <c r="M955" i="17" s="1"/>
  <c r="AV442" i="17"/>
  <c r="AV236" i="17"/>
  <c r="AV239" i="17" s="1"/>
  <c r="AV189" i="17"/>
  <c r="J138" i="26"/>
  <c r="J187" i="17"/>
  <c r="J442" i="17" s="1"/>
  <c r="J92" i="26"/>
  <c r="J822" i="17"/>
  <c r="J17" i="38" s="1"/>
  <c r="AV443" i="17"/>
  <c r="AV237" i="17"/>
  <c r="AV240" i="17" s="1"/>
  <c r="L956" i="17"/>
  <c r="M956" i="17" a="1"/>
  <c r="M956" i="17" s="1"/>
  <c r="N956" i="17" a="1"/>
  <c r="N956" i="17" s="1"/>
  <c r="O956" i="17" a="1"/>
  <c r="O956" i="17" s="1"/>
  <c r="F190" i="17"/>
  <c r="AU236" i="17"/>
  <c r="AU239" i="17" s="1"/>
  <c r="AU442" i="17"/>
  <c r="AU189" i="17"/>
  <c r="J823" i="17"/>
  <c r="J18" i="38" s="1"/>
  <c r="J188" i="17"/>
  <c r="J443" i="17" s="1"/>
  <c r="J93" i="26"/>
  <c r="J139" i="26"/>
  <c r="L960" i="17"/>
  <c r="O960" i="17" a="1"/>
  <c r="O960" i="17" s="1"/>
  <c r="M960" i="17" a="1"/>
  <c r="M960" i="17" s="1"/>
  <c r="N960" i="17" a="1"/>
  <c r="N960" i="17" s="1"/>
  <c r="M446" i="17"/>
  <c r="M826" i="17"/>
  <c r="X447" i="17"/>
  <c r="AJ446" i="17"/>
  <c r="AT446" i="17"/>
  <c r="AO447" i="17"/>
  <c r="AI446" i="17"/>
  <c r="AO446" i="17"/>
  <c r="AA446" i="17"/>
  <c r="AP446" i="17"/>
  <c r="U447" i="17"/>
  <c r="AT447" i="17"/>
  <c r="P447" i="17"/>
  <c r="R447" i="17"/>
  <c r="AA447" i="17"/>
  <c r="AC446" i="17"/>
  <c r="S446" i="17"/>
  <c r="AF446" i="17"/>
  <c r="AQ446" i="17"/>
  <c r="AE447" i="17"/>
  <c r="AV447" i="17"/>
  <c r="AN447" i="17"/>
  <c r="Z447" i="17"/>
  <c r="AJ447" i="17"/>
  <c r="AB446" i="17"/>
  <c r="AH447" i="17"/>
  <c r="AC447" i="17"/>
  <c r="AS446" i="17"/>
  <c r="Q447" i="17"/>
  <c r="AV446" i="17"/>
  <c r="X446" i="17"/>
  <c r="L447" i="17"/>
  <c r="T447" i="17"/>
  <c r="Y446" i="17"/>
  <c r="L446" i="17"/>
  <c r="T446" i="17"/>
  <c r="AK446" i="17"/>
  <c r="AD447" i="17"/>
  <c r="W447" i="17"/>
  <c r="P446" i="17"/>
  <c r="AG447" i="17"/>
  <c r="AH446" i="17"/>
  <c r="Q446" i="17"/>
  <c r="AL447" i="17"/>
  <c r="R446" i="17"/>
  <c r="AM446" i="17"/>
  <c r="AP447" i="17"/>
  <c r="AR446" i="17"/>
  <c r="AD446" i="17"/>
  <c r="AI447" i="17"/>
  <c r="N447" i="17"/>
  <c r="AL446" i="17"/>
  <c r="O447" i="17"/>
  <c r="V446" i="17"/>
  <c r="AB447" i="17"/>
  <c r="O446" i="17"/>
  <c r="AU446" i="17"/>
  <c r="AQ447" i="17"/>
  <c r="N446" i="17"/>
  <c r="S447" i="17"/>
  <c r="Z446" i="17"/>
  <c r="U446" i="17"/>
  <c r="AE446" i="17"/>
  <c r="AK447" i="17"/>
  <c r="AR447" i="17"/>
  <c r="V447" i="17"/>
  <c r="AM447" i="17"/>
  <c r="AG446" i="17"/>
  <c r="Y447" i="17"/>
  <c r="AN446" i="17"/>
  <c r="AU447" i="17"/>
  <c r="M447" i="17"/>
  <c r="AS447" i="17"/>
  <c r="W446" i="17"/>
  <c r="AF447" i="17"/>
  <c r="M211" i="17"/>
  <c r="O57" i="13"/>
  <c r="O231" i="13" s="1"/>
  <c r="AT211" i="17"/>
  <c r="AB211" i="17"/>
  <c r="AK211" i="17"/>
  <c r="AR211" i="17"/>
  <c r="V211" i="17"/>
  <c r="S211" i="17"/>
  <c r="AU211" i="17"/>
  <c r="Y211" i="17"/>
  <c r="AF211" i="17"/>
  <c r="AS211" i="17"/>
  <c r="AI211" i="17"/>
  <c r="AV211" i="17"/>
  <c r="R211" i="17"/>
  <c r="AA211" i="17"/>
  <c r="AP211" i="17"/>
  <c r="AN211" i="17"/>
  <c r="AO211" i="17"/>
  <c r="L211" i="17"/>
  <c r="Q211" i="17"/>
  <c r="T211" i="17"/>
  <c r="AC211" i="17"/>
  <c r="AQ211" i="17"/>
  <c r="AM211" i="17"/>
  <c r="AJ211" i="17"/>
  <c r="X211" i="17"/>
  <c r="AH211" i="17"/>
  <c r="AD211" i="17"/>
  <c r="AL211" i="17"/>
  <c r="O211" i="17"/>
  <c r="N211" i="17"/>
  <c r="Z211" i="17"/>
  <c r="U211" i="17"/>
  <c r="AE211" i="17"/>
  <c r="P211" i="17"/>
  <c r="AG211" i="17"/>
  <c r="W211" i="17"/>
  <c r="Z60" i="13"/>
  <c r="Z232" i="13" s="1"/>
  <c r="AH60" i="13"/>
  <c r="AH199" i="13" s="1"/>
  <c r="T57" i="13"/>
  <c r="T198" i="13" s="1"/>
  <c r="I77" i="17"/>
  <c r="Q60" i="13"/>
  <c r="Q232" i="13" s="1"/>
  <c r="R60" i="13"/>
  <c r="R199" i="13" s="1"/>
  <c r="Y60" i="13"/>
  <c r="Y232" i="13" s="1"/>
  <c r="AS57" i="13"/>
  <c r="AS231" i="13" s="1"/>
  <c r="AU60" i="13"/>
  <c r="AU232" i="13" s="1"/>
  <c r="AN57" i="13"/>
  <c r="AN198" i="13" s="1"/>
  <c r="P57" i="13"/>
  <c r="P231" i="13" s="1"/>
  <c r="AK60" i="13"/>
  <c r="AK199" i="13" s="1"/>
  <c r="U60" i="13"/>
  <c r="U232" i="13" s="1"/>
  <c r="AC60" i="13"/>
  <c r="AC64" i="13" s="1"/>
  <c r="AB57" i="13"/>
  <c r="AB63" i="13" s="1"/>
  <c r="AB110" i="13" s="1"/>
  <c r="AT57" i="13"/>
  <c r="AT231" i="13" s="1"/>
  <c r="L60" i="13"/>
  <c r="L232" i="13" s="1"/>
  <c r="AL60" i="13"/>
  <c r="AL64" i="13" s="1"/>
  <c r="AG60" i="13"/>
  <c r="AG64" i="13" s="1"/>
  <c r="AH57" i="13"/>
  <c r="AH198" i="13" s="1"/>
  <c r="X60" i="13"/>
  <c r="X232" i="13" s="1"/>
  <c r="V60" i="13"/>
  <c r="V232" i="13" s="1"/>
  <c r="N57" i="13"/>
  <c r="N231" i="13" s="1"/>
  <c r="AA57" i="13"/>
  <c r="AA63" i="13" s="1"/>
  <c r="AA110" i="13" s="1"/>
  <c r="AR57" i="13"/>
  <c r="AR198" i="13" s="1"/>
  <c r="W60" i="13"/>
  <c r="W199" i="13" s="1"/>
  <c r="S60" i="13"/>
  <c r="S232" i="13" s="1"/>
  <c r="S57" i="13"/>
  <c r="S63" i="13" s="1"/>
  <c r="S110" i="13" s="1"/>
  <c r="AF57" i="13"/>
  <c r="AF63" i="13" s="1"/>
  <c r="AF110" i="13" s="1"/>
  <c r="AA60" i="13"/>
  <c r="AA232" i="13" s="1"/>
  <c r="AE60" i="13"/>
  <c r="AE64" i="13" s="1"/>
  <c r="W57" i="13"/>
  <c r="W63" i="13" s="1"/>
  <c r="W110" i="13" s="1"/>
  <c r="AP60" i="13"/>
  <c r="AP64" i="13" s="1"/>
  <c r="V57" i="13"/>
  <c r="V63" i="13" s="1"/>
  <c r="V110" i="13" s="1"/>
  <c r="AR590" i="17"/>
  <c r="AR549" i="17"/>
  <c r="AR215" i="17"/>
  <c r="AR589" i="17"/>
  <c r="AR548" i="17"/>
  <c r="AR214" i="17"/>
  <c r="AD214" i="17"/>
  <c r="AD548" i="17"/>
  <c r="AD589" i="17"/>
  <c r="AI590" i="17"/>
  <c r="AI549" i="17"/>
  <c r="AI215" i="17"/>
  <c r="N215" i="17"/>
  <c r="N590" i="17"/>
  <c r="N549" i="17"/>
  <c r="AL589" i="17"/>
  <c r="AL548" i="17"/>
  <c r="AL214" i="17"/>
  <c r="O215" i="17"/>
  <c r="O590" i="17"/>
  <c r="O549" i="17"/>
  <c r="V214" i="17"/>
  <c r="V548" i="17"/>
  <c r="V589" i="17"/>
  <c r="AB590" i="17"/>
  <c r="AB549" i="17"/>
  <c r="AB215" i="17"/>
  <c r="O589" i="17"/>
  <c r="O214" i="17"/>
  <c r="O548" i="17"/>
  <c r="AQ590" i="17"/>
  <c r="AQ549" i="17"/>
  <c r="AQ215" i="17"/>
  <c r="M548" i="17"/>
  <c r="M214" i="17"/>
  <c r="M589" i="17"/>
  <c r="AG214" i="17"/>
  <c r="AG589" i="17"/>
  <c r="AG548" i="17"/>
  <c r="Y590" i="17"/>
  <c r="Y549" i="17"/>
  <c r="Y215" i="17"/>
  <c r="AN589" i="17"/>
  <c r="AN548" i="17"/>
  <c r="AN214" i="17"/>
  <c r="AU590" i="17"/>
  <c r="AU549" i="17"/>
  <c r="AU215" i="17"/>
  <c r="M590" i="17"/>
  <c r="M215" i="17"/>
  <c r="M549" i="17"/>
  <c r="AS549" i="17"/>
  <c r="AS590" i="17"/>
  <c r="AS215" i="17"/>
  <c r="W214" i="17"/>
  <c r="W548" i="17"/>
  <c r="W589" i="17"/>
  <c r="AF590" i="17"/>
  <c r="AF549" i="17"/>
  <c r="AF215" i="17"/>
  <c r="AE214" i="17"/>
  <c r="AE548" i="17"/>
  <c r="AE589" i="17"/>
  <c r="Z549" i="17"/>
  <c r="Z215" i="17"/>
  <c r="Z590" i="17"/>
  <c r="R214" i="17"/>
  <c r="R589" i="17"/>
  <c r="R548" i="17"/>
  <c r="R215" i="17"/>
  <c r="R590" i="17"/>
  <c r="R549" i="17"/>
  <c r="AM590" i="17"/>
  <c r="AM549" i="17"/>
  <c r="AM215" i="17"/>
  <c r="Y214" i="17"/>
  <c r="Y589" i="17"/>
  <c r="Y548" i="17"/>
  <c r="AM548" i="17"/>
  <c r="AM589" i="17"/>
  <c r="AM214" i="17"/>
  <c r="AU548" i="17"/>
  <c r="AU589" i="17"/>
  <c r="AU214" i="17"/>
  <c r="AJ590" i="17"/>
  <c r="AJ549" i="17"/>
  <c r="AJ215" i="17"/>
  <c r="X590" i="17"/>
  <c r="X549" i="17"/>
  <c r="X215" i="17"/>
  <c r="X237" i="17" s="1"/>
  <c r="X240" i="17" s="1"/>
  <c r="AJ548" i="17"/>
  <c r="AJ589" i="17"/>
  <c r="AJ214" i="17"/>
  <c r="AT589" i="17"/>
  <c r="AT548" i="17"/>
  <c r="AT214" i="17"/>
  <c r="AO590" i="17"/>
  <c r="AO549" i="17"/>
  <c r="AO215" i="17"/>
  <c r="AI214" i="17"/>
  <c r="AI589" i="17"/>
  <c r="AI548" i="17"/>
  <c r="AO589" i="17"/>
  <c r="AO548" i="17"/>
  <c r="AO214" i="17"/>
  <c r="AA214" i="17"/>
  <c r="AA589" i="17"/>
  <c r="AA548" i="17"/>
  <c r="AP589" i="17"/>
  <c r="AP548" i="17"/>
  <c r="AP214" i="17"/>
  <c r="U549" i="17"/>
  <c r="U215" i="17"/>
  <c r="U590" i="17"/>
  <c r="AT590" i="17"/>
  <c r="AT549" i="17"/>
  <c r="AT215" i="17"/>
  <c r="P590" i="17"/>
  <c r="P549" i="17"/>
  <c r="P215" i="17"/>
  <c r="Z589" i="17"/>
  <c r="Z548" i="17"/>
  <c r="Z214" i="17"/>
  <c r="L589" i="17"/>
  <c r="L548" i="17"/>
  <c r="J205" i="17"/>
  <c r="AP549" i="17"/>
  <c r="AP590" i="17"/>
  <c r="AP215" i="17"/>
  <c r="AA549" i="17"/>
  <c r="AA215" i="17"/>
  <c r="AA590" i="17"/>
  <c r="AC214" i="17"/>
  <c r="AC548" i="17"/>
  <c r="AC589" i="17"/>
  <c r="S214" i="17"/>
  <c r="S589" i="17"/>
  <c r="S548" i="17"/>
  <c r="AF214" i="17"/>
  <c r="AF589" i="17"/>
  <c r="AF548" i="17"/>
  <c r="AQ589" i="17"/>
  <c r="AQ548" i="17"/>
  <c r="AQ214" i="17"/>
  <c r="AE215" i="17"/>
  <c r="AE590" i="17"/>
  <c r="AE549" i="17"/>
  <c r="AV549" i="17"/>
  <c r="AV590" i="17"/>
  <c r="AV215" i="17"/>
  <c r="AN549" i="17"/>
  <c r="AN590" i="17"/>
  <c r="AN215" i="17"/>
  <c r="AK549" i="17"/>
  <c r="AK590" i="17"/>
  <c r="AK215" i="17"/>
  <c r="AB548" i="17"/>
  <c r="AB589" i="17"/>
  <c r="AB214" i="17"/>
  <c r="AH215" i="17"/>
  <c r="AH590" i="17"/>
  <c r="AH549" i="17"/>
  <c r="AC215" i="17"/>
  <c r="AC549" i="17"/>
  <c r="AC590" i="17"/>
  <c r="AS589" i="17"/>
  <c r="AS548" i="17"/>
  <c r="AS214" i="17"/>
  <c r="Q215" i="17"/>
  <c r="Q590" i="17"/>
  <c r="Q549" i="17"/>
  <c r="AV589" i="17"/>
  <c r="AV548" i="17"/>
  <c r="AV214" i="17"/>
  <c r="X589" i="17"/>
  <c r="X548" i="17"/>
  <c r="X214" i="17"/>
  <c r="X236" i="17" s="1"/>
  <c r="X239" i="17" s="1"/>
  <c r="L590" i="17"/>
  <c r="L549" i="17"/>
  <c r="J209" i="17"/>
  <c r="L215" i="17"/>
  <c r="T549" i="17"/>
  <c r="T590" i="17"/>
  <c r="T215" i="17"/>
  <c r="N214" i="17"/>
  <c r="N548" i="17"/>
  <c r="N589" i="17"/>
  <c r="S549" i="17"/>
  <c r="S590" i="17"/>
  <c r="S215" i="17"/>
  <c r="U589" i="17"/>
  <c r="U548" i="17"/>
  <c r="U214" i="17"/>
  <c r="V549" i="17"/>
  <c r="V590" i="17"/>
  <c r="V215" i="17"/>
  <c r="T214" i="17"/>
  <c r="T589" i="17"/>
  <c r="T548" i="17"/>
  <c r="AK589" i="17"/>
  <c r="AK548" i="17"/>
  <c r="AK214" i="17"/>
  <c r="AD590" i="17"/>
  <c r="AD549" i="17"/>
  <c r="AD215" i="17"/>
  <c r="W215" i="17"/>
  <c r="W549" i="17"/>
  <c r="W590" i="17"/>
  <c r="P589" i="17"/>
  <c r="P548" i="17"/>
  <c r="P214" i="17"/>
  <c r="AG590" i="17"/>
  <c r="AG215" i="17"/>
  <c r="AG549" i="17"/>
  <c r="AH589" i="17"/>
  <c r="AH548" i="17"/>
  <c r="AH214" i="17"/>
  <c r="Q214" i="17"/>
  <c r="Q589" i="17"/>
  <c r="Q548" i="17"/>
  <c r="AL549" i="17"/>
  <c r="AL590" i="17"/>
  <c r="AL215" i="17"/>
  <c r="AE57" i="13"/>
  <c r="AE231" i="13" s="1"/>
  <c r="P60" i="13"/>
  <c r="P232" i="13" s="1"/>
  <c r="AQ60" i="13"/>
  <c r="AQ199" i="13" s="1"/>
  <c r="M60" i="13"/>
  <c r="M232" i="13" s="1"/>
  <c r="AT60" i="13"/>
  <c r="AT64" i="13" s="1"/>
  <c r="AJ60" i="13"/>
  <c r="AJ199" i="13" s="1"/>
  <c r="U57" i="13"/>
  <c r="U198" i="13" s="1"/>
  <c r="Z57" i="13"/>
  <c r="Z198" i="13" s="1"/>
  <c r="AO57" i="13"/>
  <c r="AO231" i="13" s="1"/>
  <c r="AQ57" i="13"/>
  <c r="AQ231" i="13" s="1"/>
  <c r="AM57" i="13"/>
  <c r="AM231" i="13" s="1"/>
  <c r="AS60" i="13"/>
  <c r="AS199" i="13" s="1"/>
  <c r="T60" i="13"/>
  <c r="T64" i="13" s="1"/>
  <c r="T111" i="13" s="1"/>
  <c r="AD60" i="13"/>
  <c r="AD232" i="13" s="1"/>
  <c r="AR60" i="13"/>
  <c r="AR232" i="13" s="1"/>
  <c r="AB60" i="13"/>
  <c r="AB199" i="13" s="1"/>
  <c r="AU57" i="13"/>
  <c r="AU231" i="13" s="1"/>
  <c r="AP57" i="13"/>
  <c r="AP231" i="13" s="1"/>
  <c r="AD57" i="13"/>
  <c r="AD198" i="13" s="1"/>
  <c r="L57" i="13"/>
  <c r="L231" i="13" s="1"/>
  <c r="AV60" i="13"/>
  <c r="AV232" i="13" s="1"/>
  <c r="AF60" i="13"/>
  <c r="AF232" i="13" s="1"/>
  <c r="AM60" i="13"/>
  <c r="AM232" i="13" s="1"/>
  <c r="O60" i="13"/>
  <c r="O64" i="13" s="1"/>
  <c r="O111" i="13" s="1"/>
  <c r="AC57" i="13"/>
  <c r="AC231" i="13" s="1"/>
  <c r="Y57" i="13"/>
  <c r="Y231" i="13" s="1"/>
  <c r="AV57" i="13"/>
  <c r="AV198" i="13" s="1"/>
  <c r="AG57" i="13"/>
  <c r="AG231" i="13" s="1"/>
  <c r="M57" i="13"/>
  <c r="M198" i="13" s="1"/>
  <c r="AL57" i="13"/>
  <c r="AL231" i="13" s="1"/>
  <c r="Q57" i="13"/>
  <c r="Q63" i="13" s="1"/>
  <c r="Q110" i="13" s="1"/>
  <c r="AN60" i="13"/>
  <c r="AN64" i="13" s="1"/>
  <c r="AO60" i="13"/>
  <c r="AO199" i="13" s="1"/>
  <c r="AI60" i="13"/>
  <c r="AI199" i="13" s="1"/>
  <c r="AI57" i="13"/>
  <c r="AK57" i="13"/>
  <c r="AJ57" i="13"/>
  <c r="X57" i="13"/>
  <c r="R57" i="13"/>
  <c r="AB197" i="13"/>
  <c r="AB230" i="13"/>
  <c r="AF235" i="13"/>
  <c r="AF246" i="13" s="1"/>
  <c r="AF102" i="13"/>
  <c r="AF204" i="13"/>
  <c r="AP235" i="13"/>
  <c r="AP246" i="13" s="1"/>
  <c r="AP102" i="13"/>
  <c r="AP204" i="13"/>
  <c r="AS235" i="13"/>
  <c r="AS246" i="13" s="1"/>
  <c r="AS102" i="13"/>
  <c r="AS204" i="13"/>
  <c r="AU235" i="13"/>
  <c r="AU246" i="13" s="1"/>
  <c r="AU102" i="13"/>
  <c r="AU204" i="13"/>
  <c r="AM235" i="13"/>
  <c r="AM246" i="13" s="1"/>
  <c r="AM102" i="13"/>
  <c r="AM204" i="13"/>
  <c r="AF197" i="13"/>
  <c r="AF230" i="13"/>
  <c r="AN235" i="13"/>
  <c r="AN246" i="13" s="1"/>
  <c r="AN204" i="13"/>
  <c r="AN102" i="13"/>
  <c r="AP230" i="13"/>
  <c r="AP197" i="13"/>
  <c r="AC102" i="13"/>
  <c r="AC235" i="13"/>
  <c r="AC246" i="13" s="1"/>
  <c r="AC204" i="13"/>
  <c r="AQ230" i="13"/>
  <c r="AQ197" i="13"/>
  <c r="AT235" i="13"/>
  <c r="AT246" i="13" s="1"/>
  <c r="AT102" i="13"/>
  <c r="AT204" i="13"/>
  <c r="AS230" i="13"/>
  <c r="AS197" i="13"/>
  <c r="AA197" i="13"/>
  <c r="AA230" i="13"/>
  <c r="AU197" i="13"/>
  <c r="AU230" i="13"/>
  <c r="AM197" i="13"/>
  <c r="AM230" i="13"/>
  <c r="AD102" i="13"/>
  <c r="AD204" i="13"/>
  <c r="AD235" i="13"/>
  <c r="AD246" i="13" s="1"/>
  <c r="AI235" i="13"/>
  <c r="AI246" i="13" s="1"/>
  <c r="AI102" i="13"/>
  <c r="AI204" i="13"/>
  <c r="AN197" i="13"/>
  <c r="AN230" i="13"/>
  <c r="AI143" i="13"/>
  <c r="R143" i="13"/>
  <c r="AN143" i="13"/>
  <c r="Z143" i="13"/>
  <c r="X143" i="13"/>
  <c r="AR143" i="13"/>
  <c r="AH143" i="13"/>
  <c r="AO143" i="13"/>
  <c r="W143" i="13"/>
  <c r="P143" i="13"/>
  <c r="AP143" i="13"/>
  <c r="AD143" i="13"/>
  <c r="N143" i="13"/>
  <c r="AF143" i="13"/>
  <c r="L143" i="13"/>
  <c r="AU143" i="13"/>
  <c r="V143" i="13"/>
  <c r="AA143" i="13"/>
  <c r="AC143" i="13"/>
  <c r="O143" i="13"/>
  <c r="AK143" i="13"/>
  <c r="AQ143" i="13"/>
  <c r="S143" i="13"/>
  <c r="AS143" i="13"/>
  <c r="AG143" i="13"/>
  <c r="AM143" i="13"/>
  <c r="AB143" i="13"/>
  <c r="AL143" i="13"/>
  <c r="Q143" i="13"/>
  <c r="Y143" i="13"/>
  <c r="AT143" i="13"/>
  <c r="T143" i="13"/>
  <c r="U143" i="13"/>
  <c r="AJ143" i="13"/>
  <c r="AV143" i="13"/>
  <c r="M143" i="13"/>
  <c r="AE143" i="13"/>
  <c r="AC197" i="13"/>
  <c r="AC230" i="13"/>
  <c r="AL197" i="13"/>
  <c r="AL230" i="13"/>
  <c r="AA235" i="13"/>
  <c r="AA246" i="13" s="1"/>
  <c r="AA204" i="13"/>
  <c r="AA102" i="13"/>
  <c r="AT197" i="13"/>
  <c r="AT230" i="13"/>
  <c r="AI197" i="13"/>
  <c r="AI230" i="13"/>
  <c r="AG235" i="13"/>
  <c r="AG246" i="13" s="1"/>
  <c r="AG204" i="13"/>
  <c r="AG102" i="13"/>
  <c r="AV204" i="13"/>
  <c r="AV235" i="13"/>
  <c r="AV246" i="13" s="1"/>
  <c r="AV102" i="13"/>
  <c r="AE230" i="13"/>
  <c r="AE197" i="13"/>
  <c r="AG197" i="13"/>
  <c r="AG230" i="13"/>
  <c r="X235" i="13"/>
  <c r="X246" i="13" s="1"/>
  <c r="X204" i="13"/>
  <c r="X102" i="13"/>
  <c r="N232" i="13"/>
  <c r="N199" i="13"/>
  <c r="N64" i="13"/>
  <c r="N111" i="13" s="1"/>
  <c r="Y197" i="13"/>
  <c r="Y230" i="13"/>
  <c r="AD197" i="13"/>
  <c r="AD230" i="13"/>
  <c r="AE235" i="13"/>
  <c r="AE246" i="13" s="1"/>
  <c r="AE204" i="13"/>
  <c r="AE102" i="13"/>
  <c r="AO197" i="13"/>
  <c r="AO230" i="13"/>
  <c r="AH235" i="13"/>
  <c r="AH246" i="13" s="1"/>
  <c r="AH102" i="13"/>
  <c r="AH204" i="13"/>
  <c r="AR204" i="13"/>
  <c r="AR235" i="13"/>
  <c r="AR246" i="13" s="1"/>
  <c r="AR102" i="13"/>
  <c r="AV230" i="13"/>
  <c r="AV197" i="13"/>
  <c r="X197" i="13"/>
  <c r="X230" i="13"/>
  <c r="J49" i="13"/>
  <c r="AH230" i="13"/>
  <c r="AH197" i="13"/>
  <c r="AR197" i="13"/>
  <c r="AR230" i="13"/>
  <c r="AK235" i="13"/>
  <c r="AK246" i="13" s="1"/>
  <c r="AK204" i="13"/>
  <c r="AK102" i="13"/>
  <c r="AJ235" i="13"/>
  <c r="AJ246" i="13" s="1"/>
  <c r="AJ102" i="13"/>
  <c r="AJ204" i="13"/>
  <c r="Z197" i="13"/>
  <c r="Z230" i="13"/>
  <c r="AO235" i="13"/>
  <c r="AO246" i="13" s="1"/>
  <c r="AO102" i="13"/>
  <c r="AO204" i="13"/>
  <c r="AB102" i="13"/>
  <c r="AB235" i="13"/>
  <c r="AB246" i="13" s="1"/>
  <c r="AB204" i="13"/>
  <c r="AQ235" i="13"/>
  <c r="AQ246" i="13" s="1"/>
  <c r="AQ102" i="13"/>
  <c r="AQ204" i="13"/>
  <c r="AK230" i="13"/>
  <c r="AK197" i="13"/>
  <c r="AJ230" i="13"/>
  <c r="AJ197" i="13"/>
  <c r="AL235" i="13"/>
  <c r="AL246" i="13" s="1"/>
  <c r="AL102" i="13"/>
  <c r="AL204" i="13"/>
  <c r="Y235" i="13"/>
  <c r="Y246" i="13" s="1"/>
  <c r="Y204" i="13"/>
  <c r="Y102" i="13"/>
  <c r="Z235" i="13"/>
  <c r="Z246" i="13" s="1"/>
  <c r="Z204" i="13"/>
  <c r="Z102" i="13"/>
  <c r="AF207" i="13"/>
  <c r="AG180" i="13"/>
  <c r="AH176" i="13" s="1"/>
  <c r="AH179" i="13" s="1"/>
  <c r="AH182" i="13" s="1"/>
  <c r="AG207" i="13"/>
  <c r="I248" i="1"/>
  <c r="F859" i="17" l="1"/>
  <c r="C147" i="43" s="1"/>
  <c r="AQ681" i="17"/>
  <c r="Y142" i="26"/>
  <c r="Y37" i="37"/>
  <c r="Y38" i="37" s="1"/>
  <c r="AA142" i="26"/>
  <c r="AA37" i="37"/>
  <c r="AA38" i="37" s="1"/>
  <c r="AB142" i="26"/>
  <c r="AB37" i="37"/>
  <c r="AB38" i="37" s="1"/>
  <c r="Z142" i="26"/>
  <c r="Z37" i="37"/>
  <c r="Z38" i="37" s="1"/>
  <c r="AC142" i="26"/>
  <c r="AC37" i="37"/>
  <c r="D148" i="43"/>
  <c r="E148" i="43"/>
  <c r="E144" i="43"/>
  <c r="E143" i="43"/>
  <c r="X241" i="17"/>
  <c r="L69" i="37"/>
  <c r="AE21" i="38"/>
  <c r="H859" i="17"/>
  <c r="G859" i="17" a="1"/>
  <c r="G859" i="17" s="1"/>
  <c r="AG828" i="17"/>
  <c r="AG23" i="38" s="1"/>
  <c r="AD828" i="17"/>
  <c r="AD23" i="38" s="1"/>
  <c r="Q828" i="17"/>
  <c r="Q23" i="38" s="1"/>
  <c r="AI828" i="17"/>
  <c r="AI23" i="38" s="1"/>
  <c r="AK828" i="17"/>
  <c r="AK23" i="38" s="1"/>
  <c r="P828" i="17"/>
  <c r="P23" i="38" s="1"/>
  <c r="AH828" i="17"/>
  <c r="AH23" i="38" s="1"/>
  <c r="L828" i="17"/>
  <c r="AS828" i="17"/>
  <c r="AS23" i="38" s="1"/>
  <c r="J827" i="17"/>
  <c r="J22" i="38" s="1"/>
  <c r="AE828" i="17"/>
  <c r="U828" i="17"/>
  <c r="U23" i="38" s="1"/>
  <c r="AF828" i="17"/>
  <c r="AF23" i="38" s="1"/>
  <c r="AJ828" i="17"/>
  <c r="AJ23" i="38" s="1"/>
  <c r="AN828" i="17"/>
  <c r="AN23" i="38" s="1"/>
  <c r="Y828" i="17"/>
  <c r="Y23" i="38" s="1"/>
  <c r="Z828" i="17"/>
  <c r="Z23" i="38" s="1"/>
  <c r="AM828" i="17"/>
  <c r="AM23" i="38" s="1"/>
  <c r="AP828" i="17"/>
  <c r="AP23" i="38" s="1"/>
  <c r="AU828" i="17"/>
  <c r="AU23" i="38" s="1"/>
  <c r="M828" i="17"/>
  <c r="M23" i="38" s="1"/>
  <c r="AO828" i="17"/>
  <c r="AO23" i="38" s="1"/>
  <c r="AQ828" i="17"/>
  <c r="AQ23" i="38" s="1"/>
  <c r="S828" i="17"/>
  <c r="S23" i="38" s="1"/>
  <c r="X828" i="17"/>
  <c r="X23" i="38" s="1"/>
  <c r="N828" i="17"/>
  <c r="N23" i="38" s="1"/>
  <c r="AA828" i="17"/>
  <c r="AA23" i="38" s="1"/>
  <c r="O828" i="17"/>
  <c r="O23" i="38" s="1"/>
  <c r="AC828" i="17"/>
  <c r="AC23" i="38" s="1"/>
  <c r="R828" i="17"/>
  <c r="R23" i="38" s="1"/>
  <c r="V828" i="17"/>
  <c r="V23" i="38" s="1"/>
  <c r="J826" i="17"/>
  <c r="J21" i="38" s="1"/>
  <c r="W828" i="17"/>
  <c r="W23" i="38" s="1"/>
  <c r="AL828" i="17"/>
  <c r="AL23" i="38" s="1"/>
  <c r="T828" i="17"/>
  <c r="T23" i="38" s="1"/>
  <c r="AV828" i="17"/>
  <c r="AV23" i="38" s="1"/>
  <c r="AR828" i="17"/>
  <c r="AR23" i="38" s="1"/>
  <c r="L422" i="17"/>
  <c r="Q423" i="17" s="1"/>
  <c r="AE95" i="13"/>
  <c r="AE98" i="13" s="1"/>
  <c r="AE111" i="13"/>
  <c r="AT95" i="13"/>
  <c r="AT98" i="13" s="1"/>
  <c r="AT111" i="13"/>
  <c r="AC95" i="13"/>
  <c r="AC98" i="13" s="1"/>
  <c r="AC111" i="13"/>
  <c r="AG95" i="13"/>
  <c r="AG98" i="13" s="1"/>
  <c r="AG111" i="13"/>
  <c r="AL95" i="13"/>
  <c r="AL98" i="13" s="1"/>
  <c r="AL111" i="13"/>
  <c r="AN95" i="13"/>
  <c r="AN98" i="13" s="1"/>
  <c r="AN111" i="13"/>
  <c r="AP95" i="13"/>
  <c r="AP98" i="13" s="1"/>
  <c r="AP111" i="13"/>
  <c r="AC830" i="17"/>
  <c r="AC25" i="38" s="1"/>
  <c r="AJ830" i="17"/>
  <c r="AJ25" i="38" s="1"/>
  <c r="AE830" i="17"/>
  <c r="AN830" i="17"/>
  <c r="AN25" i="38" s="1"/>
  <c r="AI830" i="17"/>
  <c r="AI25" i="38" s="1"/>
  <c r="AF830" i="17"/>
  <c r="AF25" i="38" s="1"/>
  <c r="AK830" i="17"/>
  <c r="AK25" i="38" s="1"/>
  <c r="AA830" i="17"/>
  <c r="AA25" i="38" s="1"/>
  <c r="AL830" i="17"/>
  <c r="AL25" i="38" s="1"/>
  <c r="AG830" i="17"/>
  <c r="AG25" i="38" s="1"/>
  <c r="Z830" i="17"/>
  <c r="Z25" i="38" s="1"/>
  <c r="AH830" i="17"/>
  <c r="AH25" i="38" s="1"/>
  <c r="AO830" i="17"/>
  <c r="AO25" i="38" s="1"/>
  <c r="AM830" i="17"/>
  <c r="AM25" i="38" s="1"/>
  <c r="X830" i="17"/>
  <c r="X25" i="38" s="1"/>
  <c r="AS830" i="17"/>
  <c r="AS25" i="38" s="1"/>
  <c r="AQ830" i="17"/>
  <c r="AQ25" i="38" s="1"/>
  <c r="AT830" i="17"/>
  <c r="AT25" i="38" s="1"/>
  <c r="Y830" i="17"/>
  <c r="Y25" i="38" s="1"/>
  <c r="AB830" i="17"/>
  <c r="AP830" i="17"/>
  <c r="AP25" i="38" s="1"/>
  <c r="AD830" i="17"/>
  <c r="AD25" i="38" s="1"/>
  <c r="AU830" i="17"/>
  <c r="AU25" i="38" s="1"/>
  <c r="AV830" i="17"/>
  <c r="AV25" i="38" s="1"/>
  <c r="AR830" i="17"/>
  <c r="AR25" i="38" s="1"/>
  <c r="L421" i="17"/>
  <c r="R431" i="17"/>
  <c r="Q431" i="17"/>
  <c r="AM431" i="17"/>
  <c r="M431" i="17"/>
  <c r="T431" i="17"/>
  <c r="V431" i="17"/>
  <c r="AT426" i="17"/>
  <c r="AL431" i="17"/>
  <c r="AE431" i="17"/>
  <c r="L431" i="17"/>
  <c r="AV431" i="17"/>
  <c r="W431" i="17"/>
  <c r="S431" i="17"/>
  <c r="AA431" i="17"/>
  <c r="AS431" i="17"/>
  <c r="AC431" i="17"/>
  <c r="Z431" i="17"/>
  <c r="AU431" i="17"/>
  <c r="AQ431" i="17"/>
  <c r="AI431" i="17"/>
  <c r="AN431" i="17"/>
  <c r="O431" i="17"/>
  <c r="AU426" i="17"/>
  <c r="AJ431" i="17"/>
  <c r="N431" i="17"/>
  <c r="U431" i="17"/>
  <c r="AP431" i="17"/>
  <c r="AO431" i="17"/>
  <c r="X431" i="17"/>
  <c r="AK431" i="17"/>
  <c r="AR431" i="17"/>
  <c r="AH431" i="17"/>
  <c r="AG431" i="17"/>
  <c r="P431" i="17"/>
  <c r="AV426" i="17"/>
  <c r="Y431" i="17"/>
  <c r="AB431" i="17"/>
  <c r="O423" i="17"/>
  <c r="P423" i="17"/>
  <c r="N423" i="17"/>
  <c r="M423" i="17"/>
  <c r="L423" i="17"/>
  <c r="M959" i="17" a="1"/>
  <c r="M959" i="17" s="1"/>
  <c r="M21" i="38"/>
  <c r="AV241" i="17"/>
  <c r="AV295" i="17" s="1"/>
  <c r="W547" i="17"/>
  <c r="W444" i="17"/>
  <c r="W588" i="17"/>
  <c r="W824" i="17"/>
  <c r="W19" i="38" s="1"/>
  <c r="O168" i="17"/>
  <c r="M824" i="17"/>
  <c r="M444" i="17"/>
  <c r="M547" i="17"/>
  <c r="M588" i="17"/>
  <c r="L444" i="17"/>
  <c r="L824" i="17"/>
  <c r="L547" i="17"/>
  <c r="L588" i="17"/>
  <c r="AV824" i="17"/>
  <c r="AV19" i="38" s="1"/>
  <c r="AV444" i="17"/>
  <c r="AV547" i="17"/>
  <c r="AV588" i="17"/>
  <c r="AU824" i="17"/>
  <c r="AU547" i="17"/>
  <c r="AU444" i="17"/>
  <c r="AU588" i="17"/>
  <c r="J189" i="17"/>
  <c r="AU241" i="17"/>
  <c r="AU295" i="17" s="1"/>
  <c r="O63" i="13"/>
  <c r="O198" i="13"/>
  <c r="L959" i="17"/>
  <c r="O959" i="17" a="1"/>
  <c r="O959" i="17" s="1"/>
  <c r="N959" i="17" a="1"/>
  <c r="N959" i="17" s="1"/>
  <c r="AT448" i="17"/>
  <c r="AT828" i="17"/>
  <c r="AT23" i="38" s="1"/>
  <c r="AB448" i="17"/>
  <c r="AB828" i="17"/>
  <c r="U831" i="17"/>
  <c r="U26" i="38" s="1"/>
  <c r="Z831" i="17"/>
  <c r="Z26" i="38" s="1"/>
  <c r="AL831" i="17"/>
  <c r="AL26" i="38" s="1"/>
  <c r="P831" i="17"/>
  <c r="P26" i="38" s="1"/>
  <c r="W831" i="17"/>
  <c r="W26" i="38" s="1"/>
  <c r="AD831" i="17"/>
  <c r="AD26" i="38" s="1"/>
  <c r="L831" i="17"/>
  <c r="R831" i="17"/>
  <c r="R26" i="38" s="1"/>
  <c r="V831" i="17"/>
  <c r="V26" i="38" s="1"/>
  <c r="AK831" i="17"/>
  <c r="AK26" i="38" s="1"/>
  <c r="AT831" i="17"/>
  <c r="AT26" i="38" s="1"/>
  <c r="P830" i="17"/>
  <c r="P25" i="38" s="1"/>
  <c r="AC831" i="17"/>
  <c r="AC26" i="38" s="1"/>
  <c r="AA831" i="17"/>
  <c r="AA26" i="38" s="1"/>
  <c r="AF831" i="17"/>
  <c r="AF26" i="38" s="1"/>
  <c r="AI831" i="17"/>
  <c r="AI26" i="38" s="1"/>
  <c r="T831" i="17"/>
  <c r="T26" i="38" s="1"/>
  <c r="AQ831" i="17"/>
  <c r="AQ26" i="38" s="1"/>
  <c r="AV831" i="17"/>
  <c r="AV26" i="38" s="1"/>
  <c r="AG831" i="17"/>
  <c r="AG26" i="38" s="1"/>
  <c r="AS831" i="17"/>
  <c r="AS26" i="38" s="1"/>
  <c r="Q830" i="17"/>
  <c r="Q25" i="38" s="1"/>
  <c r="AO831" i="17"/>
  <c r="AO26" i="38" s="1"/>
  <c r="AM831" i="17"/>
  <c r="AM26" i="38" s="1"/>
  <c r="R830" i="17"/>
  <c r="R25" i="38" s="1"/>
  <c r="M830" i="17"/>
  <c r="M25" i="38" s="1"/>
  <c r="AB831" i="17"/>
  <c r="O831" i="17"/>
  <c r="O26" i="38" s="1"/>
  <c r="AR831" i="17"/>
  <c r="AR26" i="38" s="1"/>
  <c r="AH831" i="17"/>
  <c r="AH26" i="38" s="1"/>
  <c r="S830" i="17"/>
  <c r="S25" i="38" s="1"/>
  <c r="AU831" i="17"/>
  <c r="AU26" i="38" s="1"/>
  <c r="S831" i="17"/>
  <c r="S26" i="38" s="1"/>
  <c r="AJ831" i="17"/>
  <c r="AJ26" i="38" s="1"/>
  <c r="W830" i="17"/>
  <c r="W25" i="38" s="1"/>
  <c r="T830" i="17"/>
  <c r="T25" i="38" s="1"/>
  <c r="V830" i="17"/>
  <c r="V25" i="38" s="1"/>
  <c r="L830" i="17"/>
  <c r="O830" i="17"/>
  <c r="O25" i="38" s="1"/>
  <c r="N831" i="17"/>
  <c r="N26" i="38" s="1"/>
  <c r="U830" i="17"/>
  <c r="U25" i="38" s="1"/>
  <c r="N830" i="17"/>
  <c r="N25" i="38" s="1"/>
  <c r="Q831" i="17"/>
  <c r="Q26" i="38" s="1"/>
  <c r="AN831" i="17"/>
  <c r="AN26" i="38" s="1"/>
  <c r="AE831" i="17"/>
  <c r="AP831" i="17"/>
  <c r="AP26" i="38" s="1"/>
  <c r="X831" i="17"/>
  <c r="X26" i="38" s="1"/>
  <c r="M831" i="17"/>
  <c r="M26" i="38" s="1"/>
  <c r="Y831" i="17"/>
  <c r="Y26" i="38" s="1"/>
  <c r="P448" i="17"/>
  <c r="AH448" i="17"/>
  <c r="L448" i="17"/>
  <c r="AS448" i="17"/>
  <c r="AE448" i="17"/>
  <c r="X448" i="17"/>
  <c r="AO448" i="17"/>
  <c r="AF448" i="17"/>
  <c r="AI448" i="17"/>
  <c r="U448" i="17"/>
  <c r="AJ448" i="17"/>
  <c r="AN448" i="17"/>
  <c r="Y448" i="17"/>
  <c r="AG448" i="17"/>
  <c r="J446" i="17"/>
  <c r="Z448" i="17"/>
  <c r="AM448" i="17"/>
  <c r="AP448" i="17"/>
  <c r="AU448" i="17"/>
  <c r="AK448" i="17"/>
  <c r="N448" i="17"/>
  <c r="AQ448" i="17"/>
  <c r="AA448" i="17"/>
  <c r="S448" i="17"/>
  <c r="M448" i="17"/>
  <c r="AD448" i="17"/>
  <c r="J447" i="17"/>
  <c r="O448" i="17"/>
  <c r="AC448" i="17"/>
  <c r="R448" i="17"/>
  <c r="V448" i="17"/>
  <c r="Q448" i="17"/>
  <c r="W448" i="17"/>
  <c r="AL448" i="17"/>
  <c r="T448" i="17"/>
  <c r="AV448" i="17"/>
  <c r="AR448" i="17"/>
  <c r="M95" i="26"/>
  <c r="M101" i="26" s="1"/>
  <c r="AA257" i="17"/>
  <c r="AA490" i="17" s="1"/>
  <c r="AK257" i="17"/>
  <c r="AK490" i="17" s="1"/>
  <c r="Z257" i="17"/>
  <c r="Z490" i="17" s="1"/>
  <c r="AH257" i="17"/>
  <c r="AH490" i="17" s="1"/>
  <c r="AS257" i="17"/>
  <c r="AS490" i="17" s="1"/>
  <c r="AQ257" i="17"/>
  <c r="AQ490" i="17" s="1"/>
  <c r="AO257" i="17"/>
  <c r="AO490" i="17" s="1"/>
  <c r="AM257" i="17"/>
  <c r="AM490" i="17" s="1"/>
  <c r="AL257" i="17"/>
  <c r="AL490" i="17" s="1"/>
  <c r="AB257" i="17"/>
  <c r="AB490" i="17" s="1"/>
  <c r="AT257" i="17"/>
  <c r="AT490" i="17" s="1"/>
  <c r="AC257" i="17"/>
  <c r="AC490" i="17" s="1"/>
  <c r="AR257" i="17"/>
  <c r="AR490" i="17" s="1"/>
  <c r="AP257" i="17"/>
  <c r="AP490" i="17" s="1"/>
  <c r="AD257" i="17"/>
  <c r="AD490" i="17" s="1"/>
  <c r="AJ257" i="17"/>
  <c r="AJ490" i="17" s="1"/>
  <c r="AE257" i="17"/>
  <c r="AE490" i="17" s="1"/>
  <c r="AN257" i="17"/>
  <c r="AN490" i="17" s="1"/>
  <c r="AG257" i="17"/>
  <c r="AG490" i="17" s="1"/>
  <c r="AF257" i="17"/>
  <c r="AF490" i="17" s="1"/>
  <c r="AI257" i="17"/>
  <c r="AI490" i="17" s="1"/>
  <c r="Y257" i="17"/>
  <c r="Y490" i="17" s="1"/>
  <c r="Z64" i="13"/>
  <c r="Z199" i="13"/>
  <c r="AB95" i="26"/>
  <c r="AB101" i="26" s="1"/>
  <c r="AT95" i="26"/>
  <c r="AT101" i="26" s="1"/>
  <c r="AH232" i="13"/>
  <c r="Q199" i="13"/>
  <c r="T63" i="13"/>
  <c r="AG199" i="13"/>
  <c r="S95" i="26"/>
  <c r="S101" i="26" s="1"/>
  <c r="AH64" i="13"/>
  <c r="O95" i="26"/>
  <c r="O101" i="26" s="1"/>
  <c r="AC95" i="26"/>
  <c r="AC101" i="26" s="1"/>
  <c r="R95" i="26"/>
  <c r="R101" i="26" s="1"/>
  <c r="V95" i="26"/>
  <c r="V101" i="26" s="1"/>
  <c r="N95" i="26"/>
  <c r="N101" i="26" s="1"/>
  <c r="AQ95" i="26"/>
  <c r="AQ101" i="26" s="1"/>
  <c r="AA95" i="26"/>
  <c r="AA101" i="26" s="1"/>
  <c r="W95" i="26"/>
  <c r="W101" i="26" s="1"/>
  <c r="AL95" i="26"/>
  <c r="AL101" i="26" s="1"/>
  <c r="T95" i="26"/>
  <c r="T101" i="26" s="1"/>
  <c r="AV95" i="26"/>
  <c r="AV101" i="26" s="1"/>
  <c r="AR95" i="26"/>
  <c r="AR101" i="26" s="1"/>
  <c r="Q95" i="26"/>
  <c r="Q101" i="26" s="1"/>
  <c r="P95" i="26"/>
  <c r="P101" i="26" s="1"/>
  <c r="AH95" i="26"/>
  <c r="AH101" i="26" s="1"/>
  <c r="L95" i="26"/>
  <c r="L101" i="26" s="1"/>
  <c r="AS95" i="26"/>
  <c r="AS101" i="26" s="1"/>
  <c r="AK95" i="26"/>
  <c r="AK101" i="26" s="1"/>
  <c r="AE95" i="26"/>
  <c r="AE101" i="26" s="1"/>
  <c r="X95" i="26"/>
  <c r="X101" i="26" s="1"/>
  <c r="AO95" i="26"/>
  <c r="AO101" i="26" s="1"/>
  <c r="AF95" i="26"/>
  <c r="AF101" i="26" s="1"/>
  <c r="AI95" i="26"/>
  <c r="AI101" i="26" s="1"/>
  <c r="U95" i="26"/>
  <c r="U101" i="26" s="1"/>
  <c r="AJ95" i="26"/>
  <c r="AJ101" i="26" s="1"/>
  <c r="AN95" i="26"/>
  <c r="AN101" i="26" s="1"/>
  <c r="Y95" i="26"/>
  <c r="Y101" i="26" s="1"/>
  <c r="AG95" i="26"/>
  <c r="AG101" i="26" s="1"/>
  <c r="AD95" i="26"/>
  <c r="AD101" i="26" s="1"/>
  <c r="Z95" i="26"/>
  <c r="Z101" i="26" s="1"/>
  <c r="AM95" i="26"/>
  <c r="AM101" i="26" s="1"/>
  <c r="AP95" i="26"/>
  <c r="AP101" i="26" s="1"/>
  <c r="AU95" i="26"/>
  <c r="AU101" i="26" s="1"/>
  <c r="J211" i="17"/>
  <c r="AS198" i="13"/>
  <c r="AU199" i="13"/>
  <c r="Y199" i="13"/>
  <c r="Y64" i="13"/>
  <c r="AS63" i="13"/>
  <c r="W232" i="13"/>
  <c r="T231" i="13"/>
  <c r="AU64" i="13"/>
  <c r="AL232" i="13"/>
  <c r="Q64" i="13"/>
  <c r="P63" i="13"/>
  <c r="P198" i="13"/>
  <c r="AG232" i="13"/>
  <c r="S64" i="13"/>
  <c r="S199" i="13"/>
  <c r="AN63" i="13"/>
  <c r="V198" i="13"/>
  <c r="R64" i="13"/>
  <c r="R232" i="13"/>
  <c r="V231" i="13"/>
  <c r="AL199" i="13"/>
  <c r="W64" i="13"/>
  <c r="AN231" i="13"/>
  <c r="AL63" i="13"/>
  <c r="AK232" i="13"/>
  <c r="S198" i="13"/>
  <c r="U64" i="13"/>
  <c r="S231" i="13"/>
  <c r="O199" i="13"/>
  <c r="AH231" i="13"/>
  <c r="AK64" i="13"/>
  <c r="AB232" i="13"/>
  <c r="AH63" i="13"/>
  <c r="AF198" i="13"/>
  <c r="AF231" i="13"/>
  <c r="X64" i="13"/>
  <c r="X199" i="13"/>
  <c r="Z231" i="13"/>
  <c r="AN232" i="13"/>
  <c r="AE232" i="13"/>
  <c r="V199" i="13"/>
  <c r="AA199" i="13"/>
  <c r="V64" i="13"/>
  <c r="AA64" i="13"/>
  <c r="U199" i="13"/>
  <c r="AC199" i="13"/>
  <c r="AC232" i="13"/>
  <c r="M63" i="13"/>
  <c r="AV64" i="13"/>
  <c r="AT232" i="13"/>
  <c r="AV199" i="13"/>
  <c r="AT199" i="13"/>
  <c r="M231" i="13"/>
  <c r="T199" i="13"/>
  <c r="T232" i="13"/>
  <c r="AE199" i="13"/>
  <c r="AB198" i="13"/>
  <c r="AB231" i="13"/>
  <c r="AP232" i="13"/>
  <c r="AA231" i="13"/>
  <c r="N63" i="13"/>
  <c r="N86" i="13" s="1"/>
  <c r="N198" i="13"/>
  <c r="W231" i="13"/>
  <c r="AT198" i="13"/>
  <c r="AA198" i="13"/>
  <c r="W198" i="13"/>
  <c r="AT63" i="13"/>
  <c r="L64" i="13"/>
  <c r="AR63" i="13"/>
  <c r="L199" i="13"/>
  <c r="AR231" i="13"/>
  <c r="AP199" i="13"/>
  <c r="P64" i="13"/>
  <c r="P111" i="13" s="1"/>
  <c r="AI232" i="13"/>
  <c r="AQ63" i="13"/>
  <c r="AQ110" i="13" s="1"/>
  <c r="AQ198" i="13"/>
  <c r="AP198" i="13"/>
  <c r="Y198" i="13"/>
  <c r="AI64" i="13"/>
  <c r="Y63" i="13"/>
  <c r="AP63" i="13"/>
  <c r="Q198" i="13"/>
  <c r="P199" i="13"/>
  <c r="AS232" i="13"/>
  <c r="AQ64" i="13"/>
  <c r="M64" i="13"/>
  <c r="M111" i="13" s="1"/>
  <c r="AM63" i="13"/>
  <c r="AV63" i="13"/>
  <c r="L198" i="13"/>
  <c r="AO63" i="13"/>
  <c r="AV231" i="13"/>
  <c r="AD231" i="13"/>
  <c r="AC198" i="13"/>
  <c r="L63" i="13"/>
  <c r="L110" i="13" s="1"/>
  <c r="AS64" i="13"/>
  <c r="M199" i="13"/>
  <c r="AG63" i="13"/>
  <c r="AG198" i="13"/>
  <c r="AR64" i="13"/>
  <c r="Q231" i="13"/>
  <c r="AO245" i="17"/>
  <c r="AO248" i="17" s="1"/>
  <c r="AM245" i="17"/>
  <c r="AM248" i="17" s="1"/>
  <c r="AI245" i="17"/>
  <c r="AI248" i="17" s="1"/>
  <c r="AA245" i="17"/>
  <c r="AA248" i="17" s="1"/>
  <c r="AN245" i="17"/>
  <c r="AN248" i="17" s="1"/>
  <c r="AE245" i="17"/>
  <c r="AE248" i="17" s="1"/>
  <c r="AP245" i="17"/>
  <c r="AP248" i="17" s="1"/>
  <c r="X245" i="17"/>
  <c r="X248" i="17" s="1"/>
  <c r="Y245" i="17"/>
  <c r="Y248" i="17" s="1"/>
  <c r="AB245" i="17"/>
  <c r="AB248" i="17" s="1"/>
  <c r="AR245" i="17"/>
  <c r="AR248" i="17" s="1"/>
  <c r="AH245" i="17"/>
  <c r="AH248" i="17" s="1"/>
  <c r="Z245" i="17"/>
  <c r="Z248" i="17" s="1"/>
  <c r="AF245" i="17"/>
  <c r="AF248" i="17" s="1"/>
  <c r="AL245" i="17"/>
  <c r="AL248" i="17" s="1"/>
  <c r="AU245" i="17"/>
  <c r="AU248" i="17" s="1"/>
  <c r="AQ245" i="17"/>
  <c r="AQ248" i="17" s="1"/>
  <c r="AT245" i="17"/>
  <c r="AT248" i="17" s="1"/>
  <c r="AV245" i="17"/>
  <c r="AV248" i="17" s="1"/>
  <c r="AJ245" i="17"/>
  <c r="AJ248" i="17" s="1"/>
  <c r="AK245" i="17"/>
  <c r="AK248" i="17" s="1"/>
  <c r="AC245" i="17"/>
  <c r="AC248" i="17" s="1"/>
  <c r="AG245" i="17"/>
  <c r="AG248" i="17" s="1"/>
  <c r="AD245" i="17"/>
  <c r="AD248" i="17" s="1"/>
  <c r="AS245" i="17"/>
  <c r="AS248" i="17" s="1"/>
  <c r="P216" i="17"/>
  <c r="P305" i="17" s="1"/>
  <c r="P244" i="17"/>
  <c r="P247" i="17" s="1"/>
  <c r="P236" i="17"/>
  <c r="P239" i="17" s="1"/>
  <c r="AD244" i="17"/>
  <c r="AD247" i="17" s="1"/>
  <c r="AD216" i="17"/>
  <c r="AD305" i="17" s="1"/>
  <c r="AO198" i="13"/>
  <c r="AC63" i="13"/>
  <c r="AU198" i="13"/>
  <c r="V245" i="17"/>
  <c r="V248" i="17" s="1"/>
  <c r="V237" i="17"/>
  <c r="V240" i="17" s="1"/>
  <c r="J549" i="17"/>
  <c r="J590" i="17"/>
  <c r="L216" i="17"/>
  <c r="L305" i="17" s="1"/>
  <c r="L244" i="17"/>
  <c r="L247" i="17" s="1"/>
  <c r="L236" i="17"/>
  <c r="J214" i="17"/>
  <c r="AJ216" i="17"/>
  <c r="AJ305" i="17" s="1"/>
  <c r="AJ244" i="17"/>
  <c r="AJ247" i="17" s="1"/>
  <c r="AO64" i="13"/>
  <c r="Q244" i="17"/>
  <c r="Q247" i="17" s="1"/>
  <c r="Q216" i="17"/>
  <c r="Q305" i="17" s="1"/>
  <c r="Q236" i="17"/>
  <c r="Q239" i="17" s="1"/>
  <c r="AK244" i="17"/>
  <c r="AK247" i="17" s="1"/>
  <c r="AK216" i="17"/>
  <c r="AK305" i="17" s="1"/>
  <c r="Z244" i="17"/>
  <c r="Z247" i="17" s="1"/>
  <c r="Z216" i="17"/>
  <c r="Z305" i="17" s="1"/>
  <c r="R244" i="17"/>
  <c r="R247" i="17" s="1"/>
  <c r="R216" i="17"/>
  <c r="R305" i="17" s="1"/>
  <c r="R236" i="17"/>
  <c r="R239" i="17" s="1"/>
  <c r="V236" i="17"/>
  <c r="V239" i="17" s="1"/>
  <c r="V244" i="17"/>
  <c r="V247" i="17" s="1"/>
  <c r="V216" i="17"/>
  <c r="V305" i="17" s="1"/>
  <c r="AR216" i="17"/>
  <c r="AR305" i="17" s="1"/>
  <c r="AR244" i="17"/>
  <c r="AR247" i="17" s="1"/>
  <c r="AN216" i="17"/>
  <c r="AN305" i="17" s="1"/>
  <c r="AN244" i="17"/>
  <c r="AN247" i="17" s="1"/>
  <c r="AO232" i="13"/>
  <c r="AH244" i="17"/>
  <c r="AH247" i="17" s="1"/>
  <c r="AH216" i="17"/>
  <c r="AH305" i="17" s="1"/>
  <c r="U216" i="17"/>
  <c r="U305" i="17" s="1"/>
  <c r="U244" i="17"/>
  <c r="U247" i="17" s="1"/>
  <c r="U236" i="17"/>
  <c r="U239" i="17" s="1"/>
  <c r="N244" i="17"/>
  <c r="N247" i="17" s="1"/>
  <c r="N216" i="17"/>
  <c r="N305" i="17" s="1"/>
  <c r="N236" i="17"/>
  <c r="N239" i="17" s="1"/>
  <c r="X216" i="17"/>
  <c r="X305" i="17" s="1"/>
  <c r="X244" i="17"/>
  <c r="X247" i="17" s="1"/>
  <c r="Q245" i="17"/>
  <c r="Q248" i="17" s="1"/>
  <c r="Q237" i="17"/>
  <c r="Q240" i="17" s="1"/>
  <c r="AA216" i="17"/>
  <c r="AA305" i="17" s="1"/>
  <c r="AA244" i="17"/>
  <c r="AA247" i="17" s="1"/>
  <c r="M216" i="17"/>
  <c r="M305" i="17" s="1"/>
  <c r="M244" i="17"/>
  <c r="M247" i="17" s="1"/>
  <c r="M236" i="17"/>
  <c r="M239" i="17" s="1"/>
  <c r="O216" i="17"/>
  <c r="O305" i="17" s="1"/>
  <c r="O244" i="17"/>
  <c r="O247" i="17" s="1"/>
  <c r="O236" i="17"/>
  <c r="O239" i="17" s="1"/>
  <c r="N245" i="17"/>
  <c r="N248" i="17" s="1"/>
  <c r="N237" i="17"/>
  <c r="N240" i="17" s="1"/>
  <c r="Y244" i="17"/>
  <c r="Y247" i="17" s="1"/>
  <c r="Y216" i="17"/>
  <c r="Y305" i="17" s="1"/>
  <c r="T245" i="17"/>
  <c r="T248" i="17" s="1"/>
  <c r="T237" i="17"/>
  <c r="T240" i="17" s="1"/>
  <c r="AS244" i="17"/>
  <c r="AS247" i="17" s="1"/>
  <c r="AS216" i="17"/>
  <c r="AS305" i="17" s="1"/>
  <c r="AQ216" i="17"/>
  <c r="AQ305" i="17" s="1"/>
  <c r="AQ244" i="17"/>
  <c r="AQ247" i="17" s="1"/>
  <c r="S216" i="17"/>
  <c r="S305" i="17" s="1"/>
  <c r="S244" i="17"/>
  <c r="S247" i="17" s="1"/>
  <c r="S236" i="17"/>
  <c r="S239" i="17" s="1"/>
  <c r="U245" i="17"/>
  <c r="U248" i="17" s="1"/>
  <c r="U237" i="17"/>
  <c r="U240" i="17" s="1"/>
  <c r="AO216" i="17"/>
  <c r="AO305" i="17" s="1"/>
  <c r="AO244" i="17"/>
  <c r="AO247" i="17" s="1"/>
  <c r="AM244" i="17"/>
  <c r="AM247" i="17" s="1"/>
  <c r="AM216" i="17"/>
  <c r="AM305" i="17" s="1"/>
  <c r="M245" i="17"/>
  <c r="M248" i="17" s="1"/>
  <c r="M237" i="17"/>
  <c r="M240" i="17" s="1"/>
  <c r="AF216" i="17"/>
  <c r="AF305" i="17" s="1"/>
  <c r="AF244" i="17"/>
  <c r="AF247" i="17" s="1"/>
  <c r="AI244" i="17"/>
  <c r="AI247" i="17" s="1"/>
  <c r="AI216" i="17"/>
  <c r="AI305" i="17" s="1"/>
  <c r="AU216" i="17"/>
  <c r="AU305" i="17" s="1"/>
  <c r="AU244" i="17"/>
  <c r="AU247" i="17" s="1"/>
  <c r="AE244" i="17"/>
  <c r="AE247" i="17" s="1"/>
  <c r="AE216" i="17"/>
  <c r="AE305" i="17" s="1"/>
  <c r="AE63" i="13"/>
  <c r="AB244" i="17"/>
  <c r="AB247" i="17" s="1"/>
  <c r="AB216" i="17"/>
  <c r="AB305" i="17" s="1"/>
  <c r="P245" i="17"/>
  <c r="P248" i="17" s="1"/>
  <c r="P237" i="17"/>
  <c r="P240" i="17" s="1"/>
  <c r="AT244" i="17"/>
  <c r="AT247" i="17" s="1"/>
  <c r="AT216" i="17"/>
  <c r="AT305" i="17" s="1"/>
  <c r="O245" i="17"/>
  <c r="O248" i="17" s="1"/>
  <c r="O237" i="17"/>
  <c r="O240" i="17" s="1"/>
  <c r="AG244" i="17"/>
  <c r="AG247" i="17" s="1"/>
  <c r="AG216" i="17"/>
  <c r="AG305" i="17" s="1"/>
  <c r="AU63" i="13"/>
  <c r="AE198" i="13"/>
  <c r="W216" i="17"/>
  <c r="W305" i="17" s="1"/>
  <c r="W245" i="17"/>
  <c r="W248" i="17" s="1"/>
  <c r="W237" i="17"/>
  <c r="W240" i="17" s="1"/>
  <c r="S245" i="17"/>
  <c r="S248" i="17" s="1"/>
  <c r="S237" i="17"/>
  <c r="S240" i="17" s="1"/>
  <c r="AV244" i="17"/>
  <c r="AV247" i="17" s="1"/>
  <c r="AV216" i="17"/>
  <c r="AV305" i="17" s="1"/>
  <c r="J548" i="17"/>
  <c r="J589" i="17"/>
  <c r="AP244" i="17"/>
  <c r="AP247" i="17" s="1"/>
  <c r="AP216" i="17"/>
  <c r="AP305" i="17" s="1"/>
  <c r="AL244" i="17"/>
  <c r="AL247" i="17" s="1"/>
  <c r="AL216" i="17"/>
  <c r="AL305" i="17" s="1"/>
  <c r="T244" i="17"/>
  <c r="T247" i="17" s="1"/>
  <c r="T216" i="17"/>
  <c r="T305" i="17" s="1"/>
  <c r="T236" i="17"/>
  <c r="T239" i="17" s="1"/>
  <c r="L245" i="17"/>
  <c r="L248" i="17" s="1"/>
  <c r="L237" i="17"/>
  <c r="J215" i="17"/>
  <c r="AC244" i="17"/>
  <c r="AC247" i="17" s="1"/>
  <c r="AC216" i="17"/>
  <c r="AC305" i="17" s="1"/>
  <c r="R245" i="17"/>
  <c r="R248" i="17" s="1"/>
  <c r="R237" i="17"/>
  <c r="R240" i="17" s="1"/>
  <c r="W244" i="17"/>
  <c r="W247" i="17" s="1"/>
  <c r="W236" i="17"/>
  <c r="W239" i="17" s="1"/>
  <c r="AR199" i="13"/>
  <c r="AM199" i="13"/>
  <c r="AL198" i="13"/>
  <c r="AD64" i="13"/>
  <c r="U231" i="13"/>
  <c r="AJ64" i="13"/>
  <c r="J60" i="13"/>
  <c r="J199" i="13" s="1"/>
  <c r="AN199" i="13"/>
  <c r="AF64" i="13"/>
  <c r="AD199" i="13"/>
  <c r="AJ232" i="13"/>
  <c r="AF199" i="13"/>
  <c r="AD63" i="13"/>
  <c r="AD110" i="13" s="1"/>
  <c r="AB64" i="13"/>
  <c r="AM198" i="13"/>
  <c r="AQ232" i="13"/>
  <c r="Z63" i="13"/>
  <c r="O232" i="13"/>
  <c r="AM64" i="13"/>
  <c r="U63" i="13"/>
  <c r="AK63" i="13"/>
  <c r="AK231" i="13"/>
  <c r="AK198" i="13"/>
  <c r="AI231" i="13"/>
  <c r="AI198" i="13"/>
  <c r="AI63" i="13"/>
  <c r="AJ63" i="13"/>
  <c r="AJ110" i="13" s="1"/>
  <c r="AJ231" i="13"/>
  <c r="AJ198" i="13"/>
  <c r="R198" i="13"/>
  <c r="R231" i="13"/>
  <c r="R63" i="13"/>
  <c r="R110" i="13" s="1"/>
  <c r="J57" i="13"/>
  <c r="J198" i="13" s="1"/>
  <c r="X63" i="13"/>
  <c r="X231" i="13"/>
  <c r="X198" i="13"/>
  <c r="AA151" i="13"/>
  <c r="AA152" i="13" s="1"/>
  <c r="AA147" i="13"/>
  <c r="P151" i="13"/>
  <c r="P152" i="13" s="1"/>
  <c r="P147" i="13"/>
  <c r="R151" i="13"/>
  <c r="R152" i="13" s="1"/>
  <c r="R147" i="13"/>
  <c r="U151" i="13"/>
  <c r="U152" i="13" s="1"/>
  <c r="U147" i="13"/>
  <c r="AG151" i="13"/>
  <c r="AG152" i="13" s="1"/>
  <c r="AG147" i="13"/>
  <c r="V151" i="13"/>
  <c r="V152" i="13" s="1"/>
  <c r="V147" i="13"/>
  <c r="W151" i="13"/>
  <c r="W152" i="13" s="1"/>
  <c r="W147" i="13"/>
  <c r="AI151" i="13"/>
  <c r="AI152" i="13" s="1"/>
  <c r="AI147" i="13"/>
  <c r="AA94" i="13"/>
  <c r="AA97" i="13" s="1"/>
  <c r="AA113" i="13" s="1"/>
  <c r="AA254" i="13" s="1"/>
  <c r="AM151" i="13"/>
  <c r="AM152" i="13" s="1"/>
  <c r="AM147" i="13"/>
  <c r="AO151" i="13"/>
  <c r="AO152" i="13" s="1"/>
  <c r="AO147" i="13"/>
  <c r="Q94" i="13"/>
  <c r="Q97" i="13" s="1"/>
  <c r="Q86" i="13"/>
  <c r="Q89" i="13" s="1"/>
  <c r="T95" i="13"/>
  <c r="T98" i="13" s="1"/>
  <c r="T87" i="13"/>
  <c r="T90" i="13" s="1"/>
  <c r="AT151" i="13"/>
  <c r="AT152" i="13" s="1"/>
  <c r="AT147" i="13"/>
  <c r="S151" i="13"/>
  <c r="S152" i="13" s="1"/>
  <c r="S147" i="13"/>
  <c r="L151" i="13"/>
  <c r="L152" i="13" s="1"/>
  <c r="J143" i="13"/>
  <c r="J151" i="13" s="1"/>
  <c r="L147" i="13"/>
  <c r="AH151" i="13"/>
  <c r="AH152" i="13" s="1"/>
  <c r="AH147" i="13"/>
  <c r="AS151" i="13"/>
  <c r="AS152" i="13" s="1"/>
  <c r="AS147" i="13"/>
  <c r="N95" i="13"/>
  <c r="N98" i="13" s="1"/>
  <c r="N87" i="13"/>
  <c r="N90" i="13" s="1"/>
  <c r="Y151" i="13"/>
  <c r="Y152" i="13" s="1"/>
  <c r="Y147" i="13"/>
  <c r="AQ151" i="13"/>
  <c r="AQ152" i="13" s="1"/>
  <c r="AQ147" i="13"/>
  <c r="AF151" i="13"/>
  <c r="AF152" i="13" s="1"/>
  <c r="AF147" i="13"/>
  <c r="AR151" i="13"/>
  <c r="AR152" i="13" s="1"/>
  <c r="AR147" i="13"/>
  <c r="AB94" i="13"/>
  <c r="AB97" i="13" s="1"/>
  <c r="AB113" i="13" s="1"/>
  <c r="AB254" i="13" s="1"/>
  <c r="O95" i="13"/>
  <c r="O98" i="13" s="1"/>
  <c r="O87" i="13"/>
  <c r="O90" i="13" s="1"/>
  <c r="AF94" i="13"/>
  <c r="AF97" i="13" s="1"/>
  <c r="AF113" i="13" s="1"/>
  <c r="AF254" i="13" s="1"/>
  <c r="W94" i="13"/>
  <c r="W97" i="13" s="1"/>
  <c r="W86" i="13"/>
  <c r="W89" i="13" s="1"/>
  <c r="AE151" i="13"/>
  <c r="AE152" i="13" s="1"/>
  <c r="AE147" i="13"/>
  <c r="Q151" i="13"/>
  <c r="Q152" i="13" s="1"/>
  <c r="Q147" i="13"/>
  <c r="AK151" i="13"/>
  <c r="AK152" i="13" s="1"/>
  <c r="AK147" i="13"/>
  <c r="N151" i="13"/>
  <c r="N152" i="13" s="1"/>
  <c r="N147" i="13"/>
  <c r="X151" i="13"/>
  <c r="X152" i="13" s="1"/>
  <c r="X147" i="13"/>
  <c r="AJ151" i="13"/>
  <c r="AJ152" i="13" s="1"/>
  <c r="AJ147" i="13"/>
  <c r="T151" i="13"/>
  <c r="T152" i="13" s="1"/>
  <c r="T147" i="13"/>
  <c r="AU151" i="13"/>
  <c r="AU152" i="13" s="1"/>
  <c r="AU147" i="13"/>
  <c r="V94" i="13"/>
  <c r="V97" i="13" s="1"/>
  <c r="V86" i="13"/>
  <c r="V89" i="13" s="1"/>
  <c r="J230" i="13"/>
  <c r="J197" i="13"/>
  <c r="M151" i="13"/>
  <c r="M152" i="13" s="1"/>
  <c r="M147" i="13"/>
  <c r="AL151" i="13"/>
  <c r="AL152" i="13" s="1"/>
  <c r="AL147" i="13"/>
  <c r="O151" i="13"/>
  <c r="O152" i="13" s="1"/>
  <c r="O147" i="13"/>
  <c r="AD151" i="13"/>
  <c r="AD152" i="13" s="1"/>
  <c r="AD147" i="13"/>
  <c r="Z151" i="13"/>
  <c r="Z152" i="13" s="1"/>
  <c r="Z147" i="13"/>
  <c r="S94" i="13"/>
  <c r="S97" i="13" s="1"/>
  <c r="S86" i="13"/>
  <c r="S89" i="13" s="1"/>
  <c r="AV151" i="13"/>
  <c r="AV152" i="13" s="1"/>
  <c r="AV147" i="13"/>
  <c r="AB151" i="13"/>
  <c r="AB152" i="13" s="1"/>
  <c r="AB147" i="13"/>
  <c r="AC151" i="13"/>
  <c r="AC152" i="13" s="1"/>
  <c r="AC147" i="13"/>
  <c r="AP151" i="13"/>
  <c r="AP152" i="13" s="1"/>
  <c r="AP147" i="13"/>
  <c r="AN151" i="13"/>
  <c r="AN152" i="13" s="1"/>
  <c r="AN147" i="13"/>
  <c r="AH180" i="13"/>
  <c r="AI176" i="13" s="1"/>
  <c r="AI179" i="13" s="1"/>
  <c r="AI182" i="13" s="1"/>
  <c r="AI207" i="13" s="1"/>
  <c r="AH207" i="13"/>
  <c r="I249" i="1"/>
  <c r="AQ718" i="17" l="1"/>
  <c r="F864" i="17"/>
  <c r="C152" i="43" s="1"/>
  <c r="F863" i="17"/>
  <c r="C151" i="43" s="1"/>
  <c r="L23" i="38"/>
  <c r="F861" i="17"/>
  <c r="C149" i="43" s="1"/>
  <c r="F857" i="17"/>
  <c r="C145" i="43" s="1"/>
  <c r="AQ682" i="17"/>
  <c r="AR678" i="17" s="1"/>
  <c r="AR679" i="17" s="1"/>
  <c r="AQ307" i="17"/>
  <c r="AA307" i="17"/>
  <c r="Z307" i="17"/>
  <c r="AU307" i="17"/>
  <c r="AN307" i="17"/>
  <c r="AI307" i="17"/>
  <c r="AO307" i="17"/>
  <c r="AS307" i="17"/>
  <c r="AR307" i="17"/>
  <c r="AL307" i="17"/>
  <c r="U307" i="17"/>
  <c r="T307" i="17"/>
  <c r="T310" i="17" s="1"/>
  <c r="T327" i="17" s="1"/>
  <c r="T329" i="17" s="1"/>
  <c r="T894" i="17" s="1"/>
  <c r="G913" i="17" s="1" a="1"/>
  <c r="G913" i="17" s="1"/>
  <c r="D172" i="43" s="1"/>
  <c r="AG307" i="17"/>
  <c r="P307" i="17"/>
  <c r="P310" i="17" s="1"/>
  <c r="P327" i="17" s="1"/>
  <c r="P329" i="17" s="1"/>
  <c r="P894" i="17" s="1"/>
  <c r="V307" i="17"/>
  <c r="AF307" i="17"/>
  <c r="O307" i="17"/>
  <c r="O310" i="17" s="1"/>
  <c r="O327" i="17" s="1"/>
  <c r="O329" i="17" s="1"/>
  <c r="O894" i="17" s="1"/>
  <c r="AH307" i="17"/>
  <c r="AB307" i="17"/>
  <c r="AK307" i="17"/>
  <c r="AP307" i="17"/>
  <c r="AE307" i="17"/>
  <c r="X307" i="17"/>
  <c r="AJ307" i="17"/>
  <c r="AC307" i="17"/>
  <c r="AT307" i="17"/>
  <c r="Y307" i="17"/>
  <c r="Q307" i="17"/>
  <c r="Q310" i="17" s="1"/>
  <c r="Q327" i="17" s="1"/>
  <c r="Q329" i="17" s="1"/>
  <c r="Q894" i="17" s="1"/>
  <c r="L307" i="17"/>
  <c r="L310" i="17" s="1"/>
  <c r="L327" i="17" s="1"/>
  <c r="L329" i="17" s="1"/>
  <c r="L894" i="17" s="1"/>
  <c r="AD307" i="17"/>
  <c r="AV307" i="17"/>
  <c r="W307" i="17"/>
  <c r="AM307" i="17"/>
  <c r="S307" i="17"/>
  <c r="S310" i="17" s="1"/>
  <c r="S327" i="17" s="1"/>
  <c r="S329" i="17" s="1"/>
  <c r="S894" i="17" s="1"/>
  <c r="M307" i="17"/>
  <c r="M310" i="17" s="1"/>
  <c r="M327" i="17" s="1"/>
  <c r="M329" i="17" s="1"/>
  <c r="M894" i="17" s="1"/>
  <c r="N307" i="17"/>
  <c r="N310" i="17" s="1"/>
  <c r="N327" i="17" s="1"/>
  <c r="N329" i="17" s="1"/>
  <c r="N894" i="17" s="1"/>
  <c r="R307" i="17"/>
  <c r="R310" i="17" s="1"/>
  <c r="R327" i="17" s="1"/>
  <c r="R329" i="17" s="1"/>
  <c r="R894" i="17" s="1"/>
  <c r="AU300" i="17"/>
  <c r="AU299" i="17"/>
  <c r="AU298" i="17"/>
  <c r="AU297" i="17"/>
  <c r="AU296" i="17"/>
  <c r="AV300" i="17"/>
  <c r="AV299" i="17"/>
  <c r="AV298" i="17"/>
  <c r="AV297" i="17"/>
  <c r="AV296" i="17"/>
  <c r="X878" i="17"/>
  <c r="X41" i="38" s="1"/>
  <c r="X295" i="17"/>
  <c r="G863" i="17" a="1"/>
  <c r="G863" i="17" s="1"/>
  <c r="D151" i="43" s="1"/>
  <c r="L452" i="17"/>
  <c r="L837" i="17" s="1"/>
  <c r="E147" i="43"/>
  <c r="D147" i="43"/>
  <c r="L609" i="17"/>
  <c r="L81" i="37"/>
  <c r="L355" i="1" s="1"/>
  <c r="X554" i="17"/>
  <c r="X783" i="17"/>
  <c r="X142" i="26" s="1"/>
  <c r="L30" i="38"/>
  <c r="L102" i="26"/>
  <c r="X252" i="17"/>
  <c r="X257" i="17" s="1"/>
  <c r="X490" i="17" s="1"/>
  <c r="X593" i="17"/>
  <c r="AE23" i="38"/>
  <c r="H861" i="17"/>
  <c r="AE25" i="38"/>
  <c r="H863" i="17"/>
  <c r="AE26" i="38"/>
  <c r="H864" i="17"/>
  <c r="AU19" i="38"/>
  <c r="H857" i="17"/>
  <c r="AV554" i="17"/>
  <c r="J828" i="17"/>
  <c r="J23" i="38" s="1"/>
  <c r="L65" i="37"/>
  <c r="L71" i="37" s="1"/>
  <c r="L343" i="1" s="1"/>
  <c r="L429" i="17"/>
  <c r="AB23" i="38"/>
  <c r="G861" i="17" a="1"/>
  <c r="G861" i="17" s="1"/>
  <c r="AB26" i="38"/>
  <c r="G864" i="17" a="1"/>
  <c r="G864" i="17" s="1"/>
  <c r="L19" i="38"/>
  <c r="L26" i="38"/>
  <c r="AB25" i="38"/>
  <c r="AL114" i="13"/>
  <c r="AL255" i="13" s="1"/>
  <c r="O114" i="13"/>
  <c r="O255" i="13" s="1"/>
  <c r="T114" i="13"/>
  <c r="T255" i="13" s="1"/>
  <c r="Q113" i="13"/>
  <c r="Q254" i="13" s="1"/>
  <c r="AN114" i="13"/>
  <c r="AN255" i="13" s="1"/>
  <c r="AT114" i="13"/>
  <c r="AT255" i="13" s="1"/>
  <c r="AE114" i="13"/>
  <c r="AE255" i="13" s="1"/>
  <c r="S113" i="13"/>
  <c r="S254" i="13" s="1"/>
  <c r="W113" i="13"/>
  <c r="W254" i="13" s="1"/>
  <c r="V113" i="13"/>
  <c r="V254" i="13" s="1"/>
  <c r="N114" i="13"/>
  <c r="N255" i="13" s="1"/>
  <c r="AP114" i="13"/>
  <c r="AP255" i="13" s="1"/>
  <c r="AC114" i="13"/>
  <c r="AC255" i="13" s="1"/>
  <c r="AG114" i="13"/>
  <c r="AG255" i="13" s="1"/>
  <c r="AO94" i="13"/>
  <c r="AO97" i="13" s="1"/>
  <c r="AO110" i="13"/>
  <c r="R87" i="13"/>
  <c r="R90" i="13" s="1"/>
  <c r="R111" i="13"/>
  <c r="Q95" i="13"/>
  <c r="Q98" i="13" s="1"/>
  <c r="Q99" i="13" s="1"/>
  <c r="Q111" i="13"/>
  <c r="AG94" i="13"/>
  <c r="AG97" i="13" s="1"/>
  <c r="AG99" i="13" s="1"/>
  <c r="AG103" i="13" s="1"/>
  <c r="AG104" i="13" s="1"/>
  <c r="AG110" i="13"/>
  <c r="AP65" i="13"/>
  <c r="AP200" i="13" s="1"/>
  <c r="AP201" i="13" s="1"/>
  <c r="AP202" i="13" s="1"/>
  <c r="AP110" i="13"/>
  <c r="AV95" i="13"/>
  <c r="AV98" i="13" s="1"/>
  <c r="AV111" i="13"/>
  <c r="AH94" i="13"/>
  <c r="AH97" i="13" s="1"/>
  <c r="AH110" i="13"/>
  <c r="AF95" i="13"/>
  <c r="AF98" i="13" s="1"/>
  <c r="AF99" i="13" s="1"/>
  <c r="AF103" i="13" s="1"/>
  <c r="AF104" i="13" s="1"/>
  <c r="AF111" i="13"/>
  <c r="AB95" i="13"/>
  <c r="AB98" i="13" s="1"/>
  <c r="AB99" i="13" s="1"/>
  <c r="AB103" i="13" s="1"/>
  <c r="AB104" i="13" s="1"/>
  <c r="AB111" i="13"/>
  <c r="AJ95" i="13"/>
  <c r="AJ98" i="13" s="1"/>
  <c r="AJ111" i="13"/>
  <c r="AU94" i="13"/>
  <c r="AU97" i="13" s="1"/>
  <c r="AU110" i="13"/>
  <c r="AS95" i="13"/>
  <c r="AS98" i="13" s="1"/>
  <c r="AS111" i="13"/>
  <c r="AM94" i="13"/>
  <c r="AM97" i="13" s="1"/>
  <c r="AM110" i="13"/>
  <c r="AI95" i="13"/>
  <c r="AI98" i="13" s="1"/>
  <c r="AI111" i="13"/>
  <c r="AK95" i="13"/>
  <c r="AK98" i="13" s="1"/>
  <c r="AK111" i="13"/>
  <c r="Y94" i="13"/>
  <c r="Y97" i="13" s="1"/>
  <c r="Y110" i="13"/>
  <c r="M86" i="13"/>
  <c r="M89" i="13" s="1"/>
  <c r="M110" i="13"/>
  <c r="AN94" i="13"/>
  <c r="AN97" i="13" s="1"/>
  <c r="AN99" i="13" s="1"/>
  <c r="AN236" i="13" s="1"/>
  <c r="AN247" i="13" s="1"/>
  <c r="AN110" i="13"/>
  <c r="AK94" i="13"/>
  <c r="AK97" i="13" s="1"/>
  <c r="AK110" i="13"/>
  <c r="W95" i="13"/>
  <c r="W98" i="13" s="1"/>
  <c r="W99" i="13" s="1"/>
  <c r="W205" i="13" s="1"/>
  <c r="W111" i="13"/>
  <c r="S65" i="13"/>
  <c r="S200" i="13" s="1"/>
  <c r="S201" i="13" s="1"/>
  <c r="S202" i="13" s="1"/>
  <c r="S111" i="13"/>
  <c r="AH95" i="13"/>
  <c r="AH98" i="13" s="1"/>
  <c r="AH111" i="13"/>
  <c r="O86" i="13"/>
  <c r="O89" i="13" s="1"/>
  <c r="O91" i="13" s="1"/>
  <c r="O110" i="13"/>
  <c r="Z94" i="13"/>
  <c r="Z97" i="13" s="1"/>
  <c r="Z110" i="13"/>
  <c r="AO95" i="13"/>
  <c r="AO98" i="13" s="1"/>
  <c r="AO111" i="13"/>
  <c r="AL94" i="13"/>
  <c r="AL97" i="13" s="1"/>
  <c r="AL99" i="13" s="1"/>
  <c r="AL205" i="13" s="1"/>
  <c r="AL110" i="13"/>
  <c r="U86" i="13"/>
  <c r="U89" i="13" s="1"/>
  <c r="U110" i="13"/>
  <c r="AD95" i="13"/>
  <c r="AD98" i="13" s="1"/>
  <c r="AD111" i="13"/>
  <c r="AQ95" i="13"/>
  <c r="AQ98" i="13" s="1"/>
  <c r="AQ111" i="13"/>
  <c r="AR94" i="13"/>
  <c r="AR97" i="13" s="1"/>
  <c r="AR110" i="13"/>
  <c r="N65" i="13"/>
  <c r="N233" i="13" s="1"/>
  <c r="N245" i="13" s="1"/>
  <c r="N110" i="13"/>
  <c r="AS94" i="13"/>
  <c r="AS97" i="13" s="1"/>
  <c r="AS99" i="13" s="1"/>
  <c r="AS205" i="13" s="1"/>
  <c r="AS110" i="13"/>
  <c r="Z95" i="13"/>
  <c r="Z98" i="13" s="1"/>
  <c r="Z111" i="13"/>
  <c r="AV94" i="13"/>
  <c r="AV97" i="13" s="1"/>
  <c r="AV110" i="13"/>
  <c r="AU95" i="13"/>
  <c r="AU98" i="13" s="1"/>
  <c r="AU111" i="13"/>
  <c r="AM95" i="13"/>
  <c r="AM98" i="13" s="1"/>
  <c r="AM111" i="13"/>
  <c r="AE65" i="13"/>
  <c r="AE233" i="13" s="1"/>
  <c r="AE245" i="13" s="1"/>
  <c r="AE110" i="13"/>
  <c r="AC94" i="13"/>
  <c r="AC97" i="13" s="1"/>
  <c r="AC99" i="13" s="1"/>
  <c r="AC205" i="13" s="1"/>
  <c r="AC209" i="13" s="1"/>
  <c r="AC110" i="13"/>
  <c r="L95" i="13"/>
  <c r="L98" i="13" s="1"/>
  <c r="L111" i="13"/>
  <c r="AA95" i="13"/>
  <c r="AA98" i="13" s="1"/>
  <c r="AA99" i="13" s="1"/>
  <c r="AA103" i="13" s="1"/>
  <c r="AA104" i="13" s="1"/>
  <c r="AA111" i="13"/>
  <c r="X95" i="13"/>
  <c r="X98" i="13" s="1"/>
  <c r="X111" i="13"/>
  <c r="Y95" i="13"/>
  <c r="Y98" i="13" s="1"/>
  <c r="Y111" i="13"/>
  <c r="X94" i="13"/>
  <c r="X97" i="13" s="1"/>
  <c r="X110" i="13"/>
  <c r="AI94" i="13"/>
  <c r="AI97" i="13" s="1"/>
  <c r="AI110" i="13"/>
  <c r="AR95" i="13"/>
  <c r="AR98" i="13" s="1"/>
  <c r="AR111" i="13"/>
  <c r="AT65" i="13"/>
  <c r="AT200" i="13" s="1"/>
  <c r="AT201" i="13" s="1"/>
  <c r="AT202" i="13" s="1"/>
  <c r="AT110" i="13"/>
  <c r="V95" i="13"/>
  <c r="V98" i="13" s="1"/>
  <c r="V99" i="13" s="1"/>
  <c r="V236" i="13" s="1"/>
  <c r="V247" i="13" s="1"/>
  <c r="V111" i="13"/>
  <c r="U95" i="13"/>
  <c r="U98" i="13" s="1"/>
  <c r="U111" i="13"/>
  <c r="P94" i="13"/>
  <c r="P97" i="13" s="1"/>
  <c r="P110" i="13"/>
  <c r="T94" i="13"/>
  <c r="T97" i="13" s="1"/>
  <c r="T99" i="13" s="1"/>
  <c r="T103" i="13" s="1"/>
  <c r="T110" i="13"/>
  <c r="J830" i="17"/>
  <c r="J25" i="38" s="1"/>
  <c r="J831" i="17"/>
  <c r="J26" i="38" s="1"/>
  <c r="O65" i="13"/>
  <c r="AV434" i="17"/>
  <c r="AU434" i="17"/>
  <c r="L424" i="17"/>
  <c r="L426" i="17" s="1"/>
  <c r="L434" i="17" s="1"/>
  <c r="L25" i="38"/>
  <c r="O963" i="17" a="1"/>
  <c r="O963" i="17" s="1"/>
  <c r="D23" i="25" s="1"/>
  <c r="F31" i="42" s="1"/>
  <c r="O94" i="13"/>
  <c r="O97" i="13" s="1"/>
  <c r="O99" i="13" s="1"/>
  <c r="O236" i="13" s="1"/>
  <c r="O247" i="13" s="1"/>
  <c r="R65" i="13"/>
  <c r="AV252" i="17"/>
  <c r="AV257" i="17" s="1"/>
  <c r="AV490" i="17" s="1"/>
  <c r="M19" i="38"/>
  <c r="AV593" i="17"/>
  <c r="AV878" i="17"/>
  <c r="AV41" i="38" s="1"/>
  <c r="AV783" i="17"/>
  <c r="P168" i="17"/>
  <c r="L957" i="17"/>
  <c r="M957" i="17" a="1"/>
  <c r="M957" i="17" s="1"/>
  <c r="N957" i="17" a="1"/>
  <c r="N957" i="17" s="1"/>
  <c r="O957" i="17" a="1"/>
  <c r="O957" i="17" s="1"/>
  <c r="AU554" i="17"/>
  <c r="AU252" i="17"/>
  <c r="AU257" i="17" s="1"/>
  <c r="AU490" i="17" s="1"/>
  <c r="AU593" i="17"/>
  <c r="AU783" i="17"/>
  <c r="AU878" i="17"/>
  <c r="AU41" i="38" s="1"/>
  <c r="J824" i="17"/>
  <c r="J19" i="38" s="1"/>
  <c r="J588" i="17"/>
  <c r="J444" i="17"/>
  <c r="J547" i="17"/>
  <c r="L961" i="17"/>
  <c r="T86" i="13"/>
  <c r="T89" i="13" s="1"/>
  <c r="T91" i="13" s="1"/>
  <c r="T204" i="13" s="1"/>
  <c r="T65" i="13"/>
  <c r="L963" i="17"/>
  <c r="L964" i="17"/>
  <c r="N961" i="17" a="1"/>
  <c r="N961" i="17" s="1"/>
  <c r="N963" i="17" a="1"/>
  <c r="N963" i="17" s="1"/>
  <c r="M963" i="17" a="1"/>
  <c r="M963" i="17" s="1"/>
  <c r="M961" i="17" a="1"/>
  <c r="M961" i="17" s="1"/>
  <c r="M964" i="17" a="1"/>
  <c r="M964" i="17" s="1"/>
  <c r="O964" i="17" a="1"/>
  <c r="O964" i="17" s="1"/>
  <c r="D24" i="25" s="1"/>
  <c r="F32" i="42" s="1"/>
  <c r="N964" i="17" a="1"/>
  <c r="N964" i="17" s="1"/>
  <c r="O961" i="17" a="1"/>
  <c r="O961" i="17" s="1"/>
  <c r="AI832" i="17"/>
  <c r="AI27" i="38" s="1"/>
  <c r="AA832" i="17"/>
  <c r="AA27" i="38" s="1"/>
  <c r="Z832" i="17"/>
  <c r="Z27" i="38" s="1"/>
  <c r="AL832" i="17"/>
  <c r="AL27" i="38" s="1"/>
  <c r="AB832" i="17"/>
  <c r="AO832" i="17"/>
  <c r="AO27" i="38" s="1"/>
  <c r="P832" i="17"/>
  <c r="P27" i="38" s="1"/>
  <c r="V832" i="17"/>
  <c r="V27" i="38" s="1"/>
  <c r="O832" i="17"/>
  <c r="O27" i="38" s="1"/>
  <c r="AP832" i="17"/>
  <c r="AP27" i="38" s="1"/>
  <c r="AE832" i="17"/>
  <c r="X832" i="17"/>
  <c r="X27" i="38" s="1"/>
  <c r="AT832" i="17"/>
  <c r="AT27" i="38" s="1"/>
  <c r="Y832" i="17"/>
  <c r="Y27" i="38" s="1"/>
  <c r="Q832" i="17"/>
  <c r="Q27" i="38" s="1"/>
  <c r="L832" i="17"/>
  <c r="AD832" i="17"/>
  <c r="AD27" i="38" s="1"/>
  <c r="AQ832" i="17"/>
  <c r="AQ27" i="38" s="1"/>
  <c r="AR832" i="17"/>
  <c r="AR27" i="38" s="1"/>
  <c r="AJ832" i="17"/>
  <c r="AJ27" i="38" s="1"/>
  <c r="U832" i="17"/>
  <c r="U27" i="38" s="1"/>
  <c r="AK832" i="17"/>
  <c r="AK27" i="38" s="1"/>
  <c r="AF832" i="17"/>
  <c r="AF27" i="38" s="1"/>
  <c r="W832" i="17"/>
  <c r="W27" i="38" s="1"/>
  <c r="AM832" i="17"/>
  <c r="AM27" i="38" s="1"/>
  <c r="S832" i="17"/>
  <c r="S27" i="38" s="1"/>
  <c r="M832" i="17"/>
  <c r="M27" i="38" s="1"/>
  <c r="N832" i="17"/>
  <c r="N27" i="38" s="1"/>
  <c r="R832" i="17"/>
  <c r="R27" i="38" s="1"/>
  <c r="AV832" i="17"/>
  <c r="AV27" i="38" s="1"/>
  <c r="AC832" i="17"/>
  <c r="AC27" i="38" s="1"/>
  <c r="AG832" i="17"/>
  <c r="AG27" i="38" s="1"/>
  <c r="AS832" i="17"/>
  <c r="AS27" i="38" s="1"/>
  <c r="AH832" i="17"/>
  <c r="AH27" i="38" s="1"/>
  <c r="T832" i="17"/>
  <c r="T27" i="38" s="1"/>
  <c r="AU832" i="17"/>
  <c r="AU27" i="38" s="1"/>
  <c r="AN832" i="17"/>
  <c r="AN27" i="38" s="1"/>
  <c r="J448" i="17"/>
  <c r="J244" i="17"/>
  <c r="J245" i="17"/>
  <c r="S87" i="13"/>
  <c r="S90" i="13" s="1"/>
  <c r="S91" i="13" s="1"/>
  <c r="S204" i="13" s="1"/>
  <c r="J95" i="26"/>
  <c r="J101" i="26"/>
  <c r="AA249" i="17"/>
  <c r="AA262" i="17" s="1"/>
  <c r="W65" i="13"/>
  <c r="S95" i="13"/>
  <c r="S98" i="13" s="1"/>
  <c r="S99" i="13" s="1"/>
  <c r="W87" i="13"/>
  <c r="W90" i="13" s="1"/>
  <c r="W91" i="13" s="1"/>
  <c r="AN65" i="13"/>
  <c r="R95" i="13"/>
  <c r="R98" i="13" s="1"/>
  <c r="Q87" i="13"/>
  <c r="Q90" i="13" s="1"/>
  <c r="Q91" i="13" s="1"/>
  <c r="Q235" i="13" s="1"/>
  <c r="Q246" i="13" s="1"/>
  <c r="Q65" i="13"/>
  <c r="P86" i="13"/>
  <c r="P89" i="13" s="1"/>
  <c r="P65" i="13"/>
  <c r="AL65" i="13"/>
  <c r="U87" i="13"/>
  <c r="U90" i="13" s="1"/>
  <c r="V65" i="13"/>
  <c r="V87" i="13"/>
  <c r="V90" i="13" s="1"/>
  <c r="V91" i="13" s="1"/>
  <c r="V204" i="13" s="1"/>
  <c r="AE249" i="17"/>
  <c r="AE262" i="17" s="1"/>
  <c r="AH65" i="13"/>
  <c r="AS249" i="17"/>
  <c r="AS262" i="17" s="1"/>
  <c r="AA65" i="13"/>
  <c r="N89" i="13"/>
  <c r="N91" i="13" s="1"/>
  <c r="N94" i="13"/>
  <c r="N97" i="13" s="1"/>
  <c r="N99" i="13" s="1"/>
  <c r="N205" i="13" s="1"/>
  <c r="M94" i="13"/>
  <c r="M97" i="13" s="1"/>
  <c r="M65" i="13"/>
  <c r="AU65" i="13"/>
  <c r="AR249" i="17"/>
  <c r="AR262" i="17" s="1"/>
  <c r="AS65" i="13"/>
  <c r="M95" i="13"/>
  <c r="M98" i="13" s="1"/>
  <c r="AN249" i="17"/>
  <c r="AN262" i="17" s="1"/>
  <c r="AI249" i="17"/>
  <c r="AI262" i="17" s="1"/>
  <c r="P87" i="13"/>
  <c r="P90" i="13" s="1"/>
  <c r="P95" i="13"/>
  <c r="P98" i="13" s="1"/>
  <c r="AP94" i="13"/>
  <c r="AP97" i="13" s="1"/>
  <c r="AP99" i="13" s="1"/>
  <c r="AP236" i="13" s="1"/>
  <c r="AP247" i="13" s="1"/>
  <c r="AG65" i="13"/>
  <c r="L87" i="13"/>
  <c r="L90" i="13" s="1"/>
  <c r="AT94" i="13"/>
  <c r="AT97" i="13" s="1"/>
  <c r="AT99" i="13" s="1"/>
  <c r="AT236" i="13" s="1"/>
  <c r="AT247" i="13" s="1"/>
  <c r="L65" i="13"/>
  <c r="AQ65" i="13"/>
  <c r="Y249" i="17"/>
  <c r="Y262" i="17" s="1"/>
  <c r="AQ249" i="17"/>
  <c r="AQ262" i="17" s="1"/>
  <c r="AO249" i="17"/>
  <c r="AO262" i="17" s="1"/>
  <c r="AQ94" i="13"/>
  <c r="AQ97" i="13" s="1"/>
  <c r="J231" i="13"/>
  <c r="Y65" i="13"/>
  <c r="M87" i="13"/>
  <c r="M90" i="13" s="1"/>
  <c r="AB249" i="17"/>
  <c r="AB262" i="17" s="1"/>
  <c r="L86" i="13"/>
  <c r="L89" i="13" s="1"/>
  <c r="AT249" i="17"/>
  <c r="AT262" i="17" s="1"/>
  <c r="L94" i="13"/>
  <c r="L97" i="13" s="1"/>
  <c r="AM249" i="17"/>
  <c r="AM262" i="17" s="1"/>
  <c r="AD65" i="13"/>
  <c r="AR65" i="13"/>
  <c r="Z65" i="13"/>
  <c r="AF65" i="13"/>
  <c r="AV65" i="13"/>
  <c r="AC65" i="13"/>
  <c r="AE94" i="13"/>
  <c r="AE97" i="13" s="1"/>
  <c r="AE99" i="13" s="1"/>
  <c r="AE103" i="13" s="1"/>
  <c r="AE104" i="13" s="1"/>
  <c r="X249" i="17"/>
  <c r="X262" i="17" s="1"/>
  <c r="X65" i="13"/>
  <c r="AB65" i="13"/>
  <c r="AP249" i="17"/>
  <c r="AP262" i="17" s="1"/>
  <c r="AL249" i="17"/>
  <c r="AL262" i="17" s="1"/>
  <c r="AG249" i="17"/>
  <c r="AG262" i="17" s="1"/>
  <c r="AJ249" i="17"/>
  <c r="AJ262" i="17" s="1"/>
  <c r="AH249" i="17"/>
  <c r="AH262" i="17" s="1"/>
  <c r="AF249" i="17"/>
  <c r="AF262" i="17" s="1"/>
  <c r="AU249" i="17"/>
  <c r="AU262" i="17" s="1"/>
  <c r="AD249" i="17"/>
  <c r="AD262" i="17" s="1"/>
  <c r="AV249" i="17"/>
  <c r="AV262" i="17" s="1"/>
  <c r="Z249" i="17"/>
  <c r="Z262" i="17" s="1"/>
  <c r="AC249" i="17"/>
  <c r="AC262" i="17" s="1"/>
  <c r="AK249" i="17"/>
  <c r="AK262" i="17" s="1"/>
  <c r="W241" i="17"/>
  <c r="W295" i="17" s="1"/>
  <c r="T249" i="17"/>
  <c r="T262" i="17" s="1"/>
  <c r="M249" i="17"/>
  <c r="M262" i="17" s="1"/>
  <c r="S249" i="17"/>
  <c r="S262" i="17" s="1"/>
  <c r="R241" i="17"/>
  <c r="R295" i="17" s="1"/>
  <c r="Q241" i="17"/>
  <c r="Q295" i="17" s="1"/>
  <c r="Q249" i="17"/>
  <c r="Q262" i="17" s="1"/>
  <c r="J248" i="17"/>
  <c r="L249" i="17"/>
  <c r="L262" i="17" s="1"/>
  <c r="J247" i="17"/>
  <c r="O241" i="17"/>
  <c r="O295" i="17" s="1"/>
  <c r="O296" i="17" s="1"/>
  <c r="O249" i="17"/>
  <c r="O262" i="17" s="1"/>
  <c r="U241" i="17"/>
  <c r="U295" i="17" s="1"/>
  <c r="AN591" i="17"/>
  <c r="AN550" i="17"/>
  <c r="AK550" i="17"/>
  <c r="AK591" i="17"/>
  <c r="L550" i="17"/>
  <c r="L576" i="17" s="1"/>
  <c r="L578" i="17" s="1"/>
  <c r="L582" i="17" s="1"/>
  <c r="L591" i="17"/>
  <c r="J216" i="17"/>
  <c r="J305" i="17" s="1"/>
  <c r="L239" i="17"/>
  <c r="J236" i="17"/>
  <c r="AP591" i="17"/>
  <c r="AP550" i="17"/>
  <c r="S241" i="17"/>
  <c r="S295" i="17" s="1"/>
  <c r="U65" i="13"/>
  <c r="AK65" i="13"/>
  <c r="AL591" i="17"/>
  <c r="AL550" i="17"/>
  <c r="AB591" i="17"/>
  <c r="AB550" i="17"/>
  <c r="AU550" i="17"/>
  <c r="AU591" i="17"/>
  <c r="AM591" i="17"/>
  <c r="AM550" i="17"/>
  <c r="S591" i="17"/>
  <c r="S550" i="17"/>
  <c r="S576" i="17" s="1"/>
  <c r="S578" i="17" s="1"/>
  <c r="S582" i="17" s="1"/>
  <c r="O591" i="17"/>
  <c r="O550" i="17"/>
  <c r="O576" i="17" s="1"/>
  <c r="O578" i="17" s="1"/>
  <c r="O582" i="17" s="1"/>
  <c r="U249" i="17"/>
  <c r="U262" i="17" s="1"/>
  <c r="R591" i="17"/>
  <c r="R550" i="17"/>
  <c r="AD591" i="17"/>
  <c r="AD550" i="17"/>
  <c r="N249" i="17"/>
  <c r="N262" i="17" s="1"/>
  <c r="U94" i="13"/>
  <c r="U97" i="13" s="1"/>
  <c r="W249" i="17"/>
  <c r="W262" i="17" s="1"/>
  <c r="AI591" i="17"/>
  <c r="AI550" i="17"/>
  <c r="Y591" i="17"/>
  <c r="Y550" i="17"/>
  <c r="M241" i="17"/>
  <c r="M295" i="17" s="1"/>
  <c r="M296" i="17" s="1"/>
  <c r="U591" i="17"/>
  <c r="U550" i="17"/>
  <c r="AR591" i="17"/>
  <c r="AR550" i="17"/>
  <c r="R249" i="17"/>
  <c r="R262" i="17" s="1"/>
  <c r="AG550" i="17"/>
  <c r="AG591" i="17"/>
  <c r="AE591" i="17"/>
  <c r="AE550" i="17"/>
  <c r="AA591" i="17"/>
  <c r="AA550" i="17"/>
  <c r="AD94" i="13"/>
  <c r="AD97" i="13" s="1"/>
  <c r="L240" i="17"/>
  <c r="J240" i="17" s="1"/>
  <c r="J237" i="17"/>
  <c r="W591" i="17"/>
  <c r="W550" i="17"/>
  <c r="AT591" i="17"/>
  <c r="AT550" i="17"/>
  <c r="AQ591" i="17"/>
  <c r="AQ550" i="17"/>
  <c r="V550" i="17"/>
  <c r="V576" i="17" s="1"/>
  <c r="V578" i="17" s="1"/>
  <c r="V582" i="17" s="1"/>
  <c r="V591" i="17"/>
  <c r="V241" i="17"/>
  <c r="V295" i="17" s="1"/>
  <c r="P241" i="17"/>
  <c r="P295" i="17" s="1"/>
  <c r="P296" i="17" s="1"/>
  <c r="T591" i="17"/>
  <c r="T550" i="17"/>
  <c r="AO65" i="13"/>
  <c r="AO550" i="17"/>
  <c r="AO591" i="17"/>
  <c r="AS550" i="17"/>
  <c r="AS591" i="17"/>
  <c r="M591" i="17"/>
  <c r="M550" i="17"/>
  <c r="X591" i="17"/>
  <c r="X550" i="17"/>
  <c r="AH591" i="17"/>
  <c r="AH550" i="17"/>
  <c r="Z591" i="17"/>
  <c r="Z550" i="17"/>
  <c r="Q591" i="17"/>
  <c r="Q550" i="17"/>
  <c r="Q576" i="17" s="1"/>
  <c r="Q578" i="17" s="1"/>
  <c r="Q582" i="17" s="1"/>
  <c r="AJ550" i="17"/>
  <c r="AJ591" i="17"/>
  <c r="V249" i="17"/>
  <c r="V262" i="17" s="1"/>
  <c r="P249" i="17"/>
  <c r="P262" i="17" s="1"/>
  <c r="N591" i="17"/>
  <c r="N550" i="17"/>
  <c r="AC591" i="17"/>
  <c r="AC550" i="17"/>
  <c r="T241" i="17"/>
  <c r="T295" i="17" s="1"/>
  <c r="AV591" i="17"/>
  <c r="AV550" i="17"/>
  <c r="AV576" i="17" s="1"/>
  <c r="AV578" i="17" s="1"/>
  <c r="AV582" i="17" s="1"/>
  <c r="AF591" i="17"/>
  <c r="AF550" i="17"/>
  <c r="N241" i="17"/>
  <c r="N295" i="17" s="1"/>
  <c r="N296" i="17" s="1"/>
  <c r="P591" i="17"/>
  <c r="P550" i="17"/>
  <c r="J232" i="13"/>
  <c r="J64" i="13"/>
  <c r="AM65" i="13"/>
  <c r="AJ65" i="13"/>
  <c r="AJ94" i="13"/>
  <c r="AJ97" i="13" s="1"/>
  <c r="AI65" i="13"/>
  <c r="J63" i="13"/>
  <c r="R94" i="13"/>
  <c r="R97" i="13" s="1"/>
  <c r="R86" i="13"/>
  <c r="R89" i="13" s="1"/>
  <c r="I191" i="1"/>
  <c r="I250" i="1"/>
  <c r="I97" i="17" s="1"/>
  <c r="I190" i="1"/>
  <c r="I189" i="1"/>
  <c r="J152" i="13"/>
  <c r="AI180" i="13"/>
  <c r="AJ176" i="13" s="1"/>
  <c r="AJ179" i="13" s="1"/>
  <c r="AJ182" i="13" s="1"/>
  <c r="AJ207" i="13" s="1"/>
  <c r="I28" i="1"/>
  <c r="D120" i="43" l="1" a="1"/>
  <c r="D120" i="43" s="1"/>
  <c r="I120" i="43" s="1"/>
  <c r="AV99" i="13"/>
  <c r="AV236" i="13" s="1"/>
  <c r="AV247" i="13" s="1"/>
  <c r="F913" i="17"/>
  <c r="C172" i="43" s="1"/>
  <c r="J329" i="17"/>
  <c r="J894" i="17" s="1"/>
  <c r="AR97" i="37"/>
  <c r="AR98" i="37" s="1"/>
  <c r="S97" i="37"/>
  <c r="S98" i="37" s="1"/>
  <c r="AT879" i="17"/>
  <c r="AT42" i="38" s="1"/>
  <c r="AH97" i="37"/>
  <c r="AH98" i="37" s="1"/>
  <c r="AL97" i="37"/>
  <c r="AL98" i="37" s="1"/>
  <c r="AA97" i="37"/>
  <c r="AA98" i="37" s="1"/>
  <c r="AQ97" i="37"/>
  <c r="AQ98" i="37" s="1"/>
  <c r="W97" i="37"/>
  <c r="W98" i="37" s="1"/>
  <c r="AJ595" i="17"/>
  <c r="AF97" i="37"/>
  <c r="AF98" i="37" s="1"/>
  <c r="AS97" i="37"/>
  <c r="AS98" i="37" s="1"/>
  <c r="AV784" i="17"/>
  <c r="AV143" i="26" s="1"/>
  <c r="X494" i="17"/>
  <c r="V494" i="17"/>
  <c r="AO556" i="17"/>
  <c r="AD595" i="17"/>
  <c r="AE879" i="17"/>
  <c r="AE42" i="38" s="1"/>
  <c r="P494" i="17"/>
  <c r="AI97" i="37"/>
  <c r="AI98" i="37" s="1"/>
  <c r="O97" i="37"/>
  <c r="O98" i="37" s="1"/>
  <c r="R784" i="17"/>
  <c r="R143" i="26" s="1"/>
  <c r="L97" i="37"/>
  <c r="L98" i="37" s="1"/>
  <c r="AP97" i="37"/>
  <c r="AP98" i="37" s="1"/>
  <c r="AG97" i="37"/>
  <c r="AG98" i="37" s="1"/>
  <c r="AN556" i="17"/>
  <c r="AM97" i="37"/>
  <c r="AM98" i="37" s="1"/>
  <c r="N494" i="17"/>
  <c r="Q494" i="17"/>
  <c r="AK97" i="37"/>
  <c r="AK98" i="37" s="1"/>
  <c r="T97" i="37"/>
  <c r="T98" i="37" s="1"/>
  <c r="AU97" i="37"/>
  <c r="AU98" i="37" s="1"/>
  <c r="AC97" i="37"/>
  <c r="AC98" i="37" s="1"/>
  <c r="M556" i="17"/>
  <c r="Y784" i="17"/>
  <c r="Y143" i="26" s="1"/>
  <c r="AB494" i="17"/>
  <c r="U494" i="17"/>
  <c r="Z494" i="17"/>
  <c r="C72" i="43" a="1"/>
  <c r="C72" i="43" s="1"/>
  <c r="C84" i="43" a="1"/>
  <c r="C84" i="43" s="1"/>
  <c r="C55" i="43" a="1"/>
  <c r="C55" i="43" s="1"/>
  <c r="G55" i="43" s="1"/>
  <c r="F865" i="17"/>
  <c r="C153" i="43" s="1"/>
  <c r="L32" i="38"/>
  <c r="AR701" i="17"/>
  <c r="J31" i="42"/>
  <c r="I31" i="42" s="1"/>
  <c r="J32" i="42"/>
  <c r="I32" i="42" s="1"/>
  <c r="AA595" i="17"/>
  <c r="AU494" i="17"/>
  <c r="AA556" i="17"/>
  <c r="AA879" i="17"/>
  <c r="AA42" i="38" s="1"/>
  <c r="L558" i="17"/>
  <c r="AU558" i="17"/>
  <c r="AV558" i="17"/>
  <c r="AK99" i="13"/>
  <c r="AK236" i="13" s="1"/>
  <c r="AK247" i="13" s="1"/>
  <c r="AQ556" i="17"/>
  <c r="AA494" i="17"/>
  <c r="U595" i="17"/>
  <c r="U556" i="17"/>
  <c r="AU556" i="17"/>
  <c r="Z556" i="17"/>
  <c r="AU784" i="17"/>
  <c r="AU143" i="26" s="1"/>
  <c r="AA784" i="17"/>
  <c r="AA143" i="26" s="1"/>
  <c r="AG784" i="17"/>
  <c r="AG143" i="26" s="1"/>
  <c r="AR595" i="17"/>
  <c r="O879" i="17"/>
  <c r="O42" i="38" s="1"/>
  <c r="M595" i="17"/>
  <c r="M879" i="17"/>
  <c r="M42" i="38" s="1"/>
  <c r="AL556" i="17"/>
  <c r="AL784" i="17"/>
  <c r="AL143" i="26" s="1"/>
  <c r="AL595" i="17"/>
  <c r="AL879" i="17"/>
  <c r="AL42" i="38" s="1"/>
  <c r="AL494" i="17"/>
  <c r="AG595" i="17"/>
  <c r="AR556" i="17"/>
  <c r="AG556" i="17"/>
  <c r="AQ595" i="17"/>
  <c r="O784" i="17"/>
  <c r="O143" i="26" s="1"/>
  <c r="AR784" i="17"/>
  <c r="AR143" i="26" s="1"/>
  <c r="AG494" i="17"/>
  <c r="AQ879" i="17"/>
  <c r="AQ42" i="38" s="1"/>
  <c r="O556" i="17"/>
  <c r="AR879" i="17"/>
  <c r="AR42" i="38" s="1"/>
  <c r="AQ784" i="17"/>
  <c r="AQ143" i="26" s="1"/>
  <c r="O494" i="17"/>
  <c r="AR494" i="17"/>
  <c r="AQ494" i="17"/>
  <c r="AG879" i="17"/>
  <c r="AG42" i="38" s="1"/>
  <c r="L454" i="17"/>
  <c r="L800" i="17" s="1"/>
  <c r="AI595" i="17"/>
  <c r="AI879" i="17"/>
  <c r="AI42" i="38" s="1"/>
  <c r="T556" i="17"/>
  <c r="AK556" i="17"/>
  <c r="AK494" i="17"/>
  <c r="T595" i="17"/>
  <c r="AN784" i="17"/>
  <c r="AN143" i="26" s="1"/>
  <c r="AK879" i="17"/>
  <c r="AK42" i="38" s="1"/>
  <c r="AK595" i="17"/>
  <c r="AK784" i="17"/>
  <c r="AK143" i="26" s="1"/>
  <c r="T784" i="17"/>
  <c r="T143" i="26" s="1"/>
  <c r="O595" i="17"/>
  <c r="AH595" i="17"/>
  <c r="AH784" i="17"/>
  <c r="AH143" i="26" s="1"/>
  <c r="AC784" i="17"/>
  <c r="AC143" i="26" s="1"/>
  <c r="AT494" i="17"/>
  <c r="AC879" i="17"/>
  <c r="AC42" i="38" s="1"/>
  <c r="AP784" i="17"/>
  <c r="AP143" i="26" s="1"/>
  <c r="P879" i="17"/>
  <c r="P42" i="38" s="1"/>
  <c r="AM494" i="17"/>
  <c r="AI784" i="17"/>
  <c r="AI143" i="26" s="1"/>
  <c r="AI556" i="17"/>
  <c r="AI494" i="17"/>
  <c r="AH494" i="17"/>
  <c r="S556" i="17"/>
  <c r="S494" i="17"/>
  <c r="AP595" i="17"/>
  <c r="AP556" i="17"/>
  <c r="AP494" i="17"/>
  <c r="S784" i="17"/>
  <c r="S143" i="26" s="1"/>
  <c r="AJ556" i="17"/>
  <c r="AS784" i="17"/>
  <c r="AS143" i="26" s="1"/>
  <c r="AJ784" i="17"/>
  <c r="AJ143" i="26" s="1"/>
  <c r="AS595" i="17"/>
  <c r="AF595" i="17"/>
  <c r="AJ879" i="17"/>
  <c r="AJ42" i="38" s="1"/>
  <c r="AS556" i="17"/>
  <c r="AF879" i="17"/>
  <c r="AF42" i="38" s="1"/>
  <c r="AS879" i="17"/>
  <c r="AS42" i="38" s="1"/>
  <c r="W556" i="17"/>
  <c r="AF556" i="17"/>
  <c r="AS494" i="17"/>
  <c r="W784" i="17"/>
  <c r="W143" i="26" s="1"/>
  <c r="AF784" i="17"/>
  <c r="AF143" i="26" s="1"/>
  <c r="AO494" i="17"/>
  <c r="W595" i="17"/>
  <c r="AF494" i="17"/>
  <c r="AM879" i="17"/>
  <c r="AM42" i="38" s="1"/>
  <c r="AD494" i="17"/>
  <c r="AE556" i="17"/>
  <c r="AD879" i="17"/>
  <c r="AD42" i="38" s="1"/>
  <c r="Q595" i="17"/>
  <c r="AD784" i="17"/>
  <c r="AD143" i="26" s="1"/>
  <c r="L556" i="17"/>
  <c r="AT595" i="17"/>
  <c r="R494" i="17"/>
  <c r="Q556" i="17"/>
  <c r="AD556" i="17"/>
  <c r="L879" i="17"/>
  <c r="AP879" i="17"/>
  <c r="AP42" i="38" s="1"/>
  <c r="AM784" i="17"/>
  <c r="AM143" i="26" s="1"/>
  <c r="AC494" i="17"/>
  <c r="AJ494" i="17"/>
  <c r="AH879" i="17"/>
  <c r="AH42" i="38" s="1"/>
  <c r="AM556" i="17"/>
  <c r="S595" i="17"/>
  <c r="AH556" i="17"/>
  <c r="Z879" i="17"/>
  <c r="Z42" i="38" s="1"/>
  <c r="AM595" i="17"/>
  <c r="S879" i="17"/>
  <c r="S42" i="38" s="1"/>
  <c r="AT784" i="17"/>
  <c r="AT143" i="26" s="1"/>
  <c r="AC595" i="17"/>
  <c r="W879" i="17"/>
  <c r="W42" i="38" s="1"/>
  <c r="T879" i="17"/>
  <c r="T42" i="38" s="1"/>
  <c r="L784" i="17"/>
  <c r="L143" i="26" s="1"/>
  <c r="AU595" i="17"/>
  <c r="AE784" i="17"/>
  <c r="AE143" i="26" s="1"/>
  <c r="AJ97" i="37"/>
  <c r="AJ98" i="37" s="1"/>
  <c r="AC556" i="17"/>
  <c r="W494" i="17"/>
  <c r="T494" i="17"/>
  <c r="L595" i="17"/>
  <c r="AU879" i="17"/>
  <c r="AU42" i="38" s="1"/>
  <c r="AE595" i="17"/>
  <c r="L494" i="17"/>
  <c r="AE494" i="17"/>
  <c r="AT556" i="17"/>
  <c r="AT97" i="37"/>
  <c r="AT98" i="37" s="1"/>
  <c r="P595" i="17"/>
  <c r="Q879" i="17"/>
  <c r="Q42" i="38" s="1"/>
  <c r="AN494" i="17"/>
  <c r="N556" i="17"/>
  <c r="R97" i="37"/>
  <c r="R98" i="37" s="1"/>
  <c r="Q97" i="37"/>
  <c r="Q98" i="37" s="1"/>
  <c r="P97" i="37"/>
  <c r="P98" i="37" s="1"/>
  <c r="AN97" i="37"/>
  <c r="AN98" i="37" s="1"/>
  <c r="N784" i="17"/>
  <c r="N143" i="26" s="1"/>
  <c r="P556" i="17"/>
  <c r="Q784" i="17"/>
  <c r="Q143" i="26" s="1"/>
  <c r="N595" i="17"/>
  <c r="N97" i="37"/>
  <c r="N98" i="37" s="1"/>
  <c r="AE97" i="37"/>
  <c r="AE98" i="37" s="1"/>
  <c r="P784" i="17"/>
  <c r="P143" i="26" s="1"/>
  <c r="R595" i="17"/>
  <c r="N879" i="17"/>
  <c r="N42" i="38" s="1"/>
  <c r="R879" i="17"/>
  <c r="R42" i="38" s="1"/>
  <c r="AN595" i="17"/>
  <c r="AD97" i="37"/>
  <c r="AD98" i="37" s="1"/>
  <c r="AB556" i="17"/>
  <c r="R556" i="17"/>
  <c r="AN879" i="17"/>
  <c r="AN42" i="38" s="1"/>
  <c r="U784" i="17"/>
  <c r="U143" i="26" s="1"/>
  <c r="M784" i="17"/>
  <c r="M143" i="26" s="1"/>
  <c r="Y494" i="17"/>
  <c r="AO784" i="17"/>
  <c r="AO143" i="26" s="1"/>
  <c r="Z595" i="17"/>
  <c r="AV494" i="17"/>
  <c r="V556" i="17"/>
  <c r="U879" i="17"/>
  <c r="U42" i="38" s="1"/>
  <c r="M494" i="17"/>
  <c r="AB784" i="17"/>
  <c r="AB143" i="26" s="1"/>
  <c r="Z784" i="17"/>
  <c r="Z143" i="26" s="1"/>
  <c r="X595" i="17"/>
  <c r="M97" i="37"/>
  <c r="M98" i="37" s="1"/>
  <c r="AV97" i="37"/>
  <c r="AV98" i="37" s="1"/>
  <c r="Y97" i="37"/>
  <c r="Y98" i="37" s="1"/>
  <c r="X97" i="37"/>
  <c r="X98" i="37" s="1"/>
  <c r="AB97" i="37"/>
  <c r="AB98" i="37" s="1"/>
  <c r="V97" i="37"/>
  <c r="V98" i="37" s="1"/>
  <c r="U97" i="37"/>
  <c r="U98" i="37" s="1"/>
  <c r="AO97" i="37"/>
  <c r="AO98" i="37" s="1"/>
  <c r="Z97" i="37"/>
  <c r="Z98" i="37" s="1"/>
  <c r="V784" i="17"/>
  <c r="V143" i="26" s="1"/>
  <c r="Y879" i="17"/>
  <c r="Y42" i="38" s="1"/>
  <c r="AB595" i="17"/>
  <c r="AV595" i="17"/>
  <c r="X879" i="17"/>
  <c r="X42" i="38" s="1"/>
  <c r="V595" i="17"/>
  <c r="Y556" i="17"/>
  <c r="AO595" i="17"/>
  <c r="AB879" i="17"/>
  <c r="AB42" i="38" s="1"/>
  <c r="AV879" i="17"/>
  <c r="AV42" i="38" s="1"/>
  <c r="X556" i="17"/>
  <c r="V879" i="17"/>
  <c r="V42" i="38" s="1"/>
  <c r="Y595" i="17"/>
  <c r="AO879" i="17"/>
  <c r="AO42" i="38" s="1"/>
  <c r="AV556" i="17"/>
  <c r="X784" i="17"/>
  <c r="X143" i="26" s="1"/>
  <c r="J307" i="17"/>
  <c r="J97" i="37" s="1"/>
  <c r="S299" i="17"/>
  <c r="S298" i="17"/>
  <c r="S297" i="17"/>
  <c r="S296" i="17"/>
  <c r="S300" i="17"/>
  <c r="U300" i="17"/>
  <c r="U299" i="17"/>
  <c r="U298" i="17"/>
  <c r="U297" i="17"/>
  <c r="U296" i="17"/>
  <c r="X300" i="17"/>
  <c r="X299" i="17"/>
  <c r="X298" i="17"/>
  <c r="X297" i="17"/>
  <c r="X296" i="17"/>
  <c r="W300" i="17"/>
  <c r="W299" i="17"/>
  <c r="W298" i="17"/>
  <c r="W297" i="17"/>
  <c r="W296" i="17"/>
  <c r="T297" i="17"/>
  <c r="T299" i="17"/>
  <c r="T298" i="17"/>
  <c r="T296" i="17"/>
  <c r="T300" i="17"/>
  <c r="Q300" i="17"/>
  <c r="Q299" i="17"/>
  <c r="Q298" i="17"/>
  <c r="Q297" i="17"/>
  <c r="Q296" i="17"/>
  <c r="R300" i="17"/>
  <c r="R299" i="17"/>
  <c r="R298" i="17"/>
  <c r="R297" i="17"/>
  <c r="R296" i="17"/>
  <c r="V300" i="17"/>
  <c r="V299" i="17"/>
  <c r="V298" i="17"/>
  <c r="V297" i="17"/>
  <c r="V296" i="17"/>
  <c r="P300" i="17"/>
  <c r="P298" i="17"/>
  <c r="P297" i="17"/>
  <c r="P299" i="17"/>
  <c r="N299" i="17"/>
  <c r="N297" i="17"/>
  <c r="N300" i="17"/>
  <c r="N298" i="17"/>
  <c r="O299" i="17"/>
  <c r="O298" i="17"/>
  <c r="O300" i="17"/>
  <c r="O297" i="17"/>
  <c r="M298" i="17"/>
  <c r="M299" i="17"/>
  <c r="M297" i="17"/>
  <c r="M300" i="17"/>
  <c r="D149" i="43"/>
  <c r="E149" i="43"/>
  <c r="E152" i="43"/>
  <c r="E151" i="43"/>
  <c r="E145" i="43"/>
  <c r="L621" i="17"/>
  <c r="L631" i="17"/>
  <c r="L637" i="17" s="1"/>
  <c r="X37" i="37"/>
  <c r="X38" i="37" s="1"/>
  <c r="L839" i="17"/>
  <c r="AE27" i="38"/>
  <c r="H865" i="17"/>
  <c r="Q878" i="17"/>
  <c r="Q41" i="38" s="1"/>
  <c r="R878" i="17"/>
  <c r="R41" i="38" s="1"/>
  <c r="W878" i="17"/>
  <c r="W41" i="38" s="1"/>
  <c r="D152" i="43"/>
  <c r="AB27" i="38"/>
  <c r="G865" i="17" a="1"/>
  <c r="G865" i="17" s="1"/>
  <c r="L27" i="38"/>
  <c r="AN205" i="13"/>
  <c r="AL103" i="13"/>
  <c r="AL104" i="13" s="1"/>
  <c r="AG205" i="13"/>
  <c r="AG209" i="13" s="1"/>
  <c r="Z99" i="13"/>
  <c r="Z103" i="13" s="1"/>
  <c r="Z104" i="13" s="1"/>
  <c r="AD99" i="13"/>
  <c r="AD236" i="13" s="1"/>
  <c r="AD247" i="13" s="1"/>
  <c r="AU99" i="13"/>
  <c r="AU205" i="13" s="1"/>
  <c r="AH99" i="13"/>
  <c r="AH205" i="13" s="1"/>
  <c r="AH209" i="13" s="1"/>
  <c r="L113" i="13"/>
  <c r="L254" i="13" s="1"/>
  <c r="AR99" i="13"/>
  <c r="AR236" i="13" s="1"/>
  <c r="AR247" i="13" s="1"/>
  <c r="AG236" i="13"/>
  <c r="AG247" i="13" s="1"/>
  <c r="M91" i="13"/>
  <c r="M235" i="13" s="1"/>
  <c r="M246" i="13" s="1"/>
  <c r="AL236" i="13"/>
  <c r="AL247" i="13" s="1"/>
  <c r="AJ99" i="13"/>
  <c r="AJ236" i="13" s="1"/>
  <c r="AJ247" i="13" s="1"/>
  <c r="AB200" i="13"/>
  <c r="AB201" i="13" s="1"/>
  <c r="AB202" i="13" s="1"/>
  <c r="AB106" i="13"/>
  <c r="L200" i="13"/>
  <c r="L201" i="13" s="1"/>
  <c r="L202" i="13" s="1"/>
  <c r="V200" i="13"/>
  <c r="V201" i="13" s="1"/>
  <c r="V202" i="13" s="1"/>
  <c r="V106" i="13"/>
  <c r="AN200" i="13"/>
  <c r="AN201" i="13" s="1"/>
  <c r="AN202" i="13" s="1"/>
  <c r="AN106" i="13"/>
  <c r="Y114" i="13"/>
  <c r="Y255" i="13" s="1"/>
  <c r="AC113" i="13"/>
  <c r="AV113" i="13"/>
  <c r="AR113" i="13"/>
  <c r="AR254" i="13" s="1"/>
  <c r="AL113" i="13"/>
  <c r="AH114" i="13"/>
  <c r="AH255" i="13" s="1"/>
  <c r="AN113" i="13"/>
  <c r="AI114" i="13"/>
  <c r="AI255" i="13" s="1"/>
  <c r="AJ114" i="13"/>
  <c r="AJ255" i="13" s="1"/>
  <c r="AV114" i="13"/>
  <c r="AV255" i="13" s="1"/>
  <c r="U91" i="13"/>
  <c r="U204" i="13" s="1"/>
  <c r="N200" i="13"/>
  <c r="N201" i="13" s="1"/>
  <c r="N202" i="13" s="1"/>
  <c r="AN103" i="13"/>
  <c r="AN104" i="13" s="1"/>
  <c r="AT233" i="13"/>
  <c r="U200" i="13"/>
  <c r="U201" i="13" s="1"/>
  <c r="U202" i="13" s="1"/>
  <c r="AD200" i="13"/>
  <c r="AD201" i="13" s="1"/>
  <c r="AD202" i="13" s="1"/>
  <c r="AL233" i="13"/>
  <c r="AL106" i="13"/>
  <c r="T233" i="13"/>
  <c r="T245" i="13" s="1"/>
  <c r="T106" i="13"/>
  <c r="R200" i="13"/>
  <c r="R201" i="13" s="1"/>
  <c r="R202" i="13" s="1"/>
  <c r="X200" i="13"/>
  <c r="X201" i="13" s="1"/>
  <c r="X202" i="13" s="1"/>
  <c r="O233" i="13"/>
  <c r="O245" i="13" s="1"/>
  <c r="O106" i="13"/>
  <c r="AM233" i="13"/>
  <c r="AM245" i="13" s="1"/>
  <c r="AG200" i="13"/>
  <c r="AG201" i="13" s="1"/>
  <c r="AG202" i="13" s="1"/>
  <c r="AG106" i="13"/>
  <c r="AS200" i="13"/>
  <c r="AS201" i="13" s="1"/>
  <c r="AS202" i="13" s="1"/>
  <c r="AS106" i="13"/>
  <c r="AA233" i="13"/>
  <c r="AA245" i="13" s="1"/>
  <c r="AA106" i="13"/>
  <c r="P200" i="13"/>
  <c r="P201" i="13" s="1"/>
  <c r="P202" i="13" s="1"/>
  <c r="W233" i="13"/>
  <c r="W245" i="13" s="1"/>
  <c r="W106" i="13"/>
  <c r="X99" i="13"/>
  <c r="X236" i="13" s="1"/>
  <c r="X247" i="13" s="1"/>
  <c r="AE200" i="13"/>
  <c r="AE201" i="13" s="1"/>
  <c r="AE202" i="13" s="1"/>
  <c r="AE106" i="13"/>
  <c r="S233" i="13"/>
  <c r="S245" i="13" s="1"/>
  <c r="S106" i="13"/>
  <c r="AM99" i="13"/>
  <c r="AM236" i="13" s="1"/>
  <c r="AM247" i="13" s="1"/>
  <c r="AP233" i="13"/>
  <c r="AP106" i="13"/>
  <c r="AO99" i="13"/>
  <c r="AO103" i="13" s="1"/>
  <c r="AO104" i="13" s="1"/>
  <c r="AQ200" i="13"/>
  <c r="AQ201" i="13" s="1"/>
  <c r="AQ202" i="13" s="1"/>
  <c r="AK200" i="13"/>
  <c r="AK201" i="13" s="1"/>
  <c r="AK202" i="13" s="1"/>
  <c r="AR200" i="13"/>
  <c r="AR201" i="13" s="1"/>
  <c r="AR202" i="13" s="1"/>
  <c r="Y233" i="13"/>
  <c r="Y245" i="13" s="1"/>
  <c r="AT106" i="13"/>
  <c r="AC103" i="13"/>
  <c r="AC104" i="13" s="1"/>
  <c r="R91" i="13"/>
  <c r="R235" i="13" s="1"/>
  <c r="R246" i="13" s="1"/>
  <c r="AC233" i="13"/>
  <c r="AC245" i="13" s="1"/>
  <c r="AC106" i="13"/>
  <c r="L99" i="13"/>
  <c r="L236" i="13" s="1"/>
  <c r="L247" i="13" s="1"/>
  <c r="AI200" i="13"/>
  <c r="AI201" i="13" s="1"/>
  <c r="AI202" i="13" s="1"/>
  <c r="AV200" i="13"/>
  <c r="AV201" i="13" s="1"/>
  <c r="AV202" i="13" s="1"/>
  <c r="AV106" i="13"/>
  <c r="AU233" i="13"/>
  <c r="AU245" i="13" s="1"/>
  <c r="AH200" i="13"/>
  <c r="AH201" i="13" s="1"/>
  <c r="AH202" i="13" s="1"/>
  <c r="Q200" i="13"/>
  <c r="Q201" i="13" s="1"/>
  <c r="Q202" i="13" s="1"/>
  <c r="Q106" i="13"/>
  <c r="AI99" i="13"/>
  <c r="AI103" i="13" s="1"/>
  <c r="AI104" i="13" s="1"/>
  <c r="Y99" i="13"/>
  <c r="Y236" i="13" s="1"/>
  <c r="Y247" i="13" s="1"/>
  <c r="Z200" i="13"/>
  <c r="Z201" i="13" s="1"/>
  <c r="Z202" i="13" s="1"/>
  <c r="AC236" i="13"/>
  <c r="AC247" i="13" s="1"/>
  <c r="AO233" i="13"/>
  <c r="AO245" i="13" s="1"/>
  <c r="AF200" i="13"/>
  <c r="AF201" i="13" s="1"/>
  <c r="AF202" i="13" s="1"/>
  <c r="AF106" i="13"/>
  <c r="P114" i="13"/>
  <c r="P255" i="13" s="1"/>
  <c r="M233" i="13"/>
  <c r="M245" i="13" s="1"/>
  <c r="N204" i="13"/>
  <c r="N209" i="13" s="1"/>
  <c r="N106" i="13"/>
  <c r="AD113" i="13"/>
  <c r="AD254" i="13" s="1"/>
  <c r="U114" i="13"/>
  <c r="U255" i="13" s="1"/>
  <c r="AI113" i="13"/>
  <c r="AA114" i="13"/>
  <c r="AM114" i="13"/>
  <c r="AM255" i="13" s="1"/>
  <c r="AS113" i="13"/>
  <c r="AS254" i="13" s="1"/>
  <c r="AD114" i="13"/>
  <c r="AD255" i="13" s="1"/>
  <c r="Z113" i="13"/>
  <c r="Z254" i="13" s="1"/>
  <c r="W114" i="13"/>
  <c r="Y113" i="13"/>
  <c r="AS114" i="13"/>
  <c r="AS255" i="13" s="1"/>
  <c r="AF114" i="13"/>
  <c r="AG113" i="13"/>
  <c r="AQ99" i="13"/>
  <c r="AQ236" i="13" s="1"/>
  <c r="AQ247" i="13" s="1"/>
  <c r="V114" i="13"/>
  <c r="X113" i="13"/>
  <c r="X254" i="13" s="1"/>
  <c r="L114" i="13"/>
  <c r="L255" i="13" s="1"/>
  <c r="AU114" i="13"/>
  <c r="AU255" i="13" s="1"/>
  <c r="N113" i="13"/>
  <c r="U113" i="13"/>
  <c r="U254" i="13" s="1"/>
  <c r="O113" i="13"/>
  <c r="AK113" i="13"/>
  <c r="AK114" i="13"/>
  <c r="AK255" i="13" s="1"/>
  <c r="AU113" i="13"/>
  <c r="AH113" i="13"/>
  <c r="AH254" i="13" s="1"/>
  <c r="Q114" i="13"/>
  <c r="U99" i="13"/>
  <c r="U236" i="13" s="1"/>
  <c r="U247" i="13" s="1"/>
  <c r="P99" i="13"/>
  <c r="P236" i="13" s="1"/>
  <c r="P247" i="13" s="1"/>
  <c r="T113" i="13"/>
  <c r="AT113" i="13"/>
  <c r="R114" i="13"/>
  <c r="R255" i="13" s="1"/>
  <c r="AQ113" i="13"/>
  <c r="AQ254" i="13" s="1"/>
  <c r="R113" i="13"/>
  <c r="R254" i="13" s="1"/>
  <c r="AJ113" i="13"/>
  <c r="P113" i="13"/>
  <c r="AR114" i="13"/>
  <c r="AR255" i="13" s="1"/>
  <c r="X114" i="13"/>
  <c r="X255" i="13" s="1"/>
  <c r="AE113" i="13"/>
  <c r="Z114" i="13"/>
  <c r="Z255" i="13" s="1"/>
  <c r="AQ114" i="13"/>
  <c r="AQ255" i="13" s="1"/>
  <c r="AO114" i="13"/>
  <c r="AO255" i="13" s="1"/>
  <c r="S114" i="13"/>
  <c r="M113" i="13"/>
  <c r="AM113" i="13"/>
  <c r="AM254" i="13" s="1"/>
  <c r="AB114" i="13"/>
  <c r="AP113" i="13"/>
  <c r="AO113" i="13"/>
  <c r="M114" i="13"/>
  <c r="M255" i="13" s="1"/>
  <c r="J94" i="13"/>
  <c r="J110" i="13"/>
  <c r="J95" i="13"/>
  <c r="J111" i="13"/>
  <c r="O200" i="13"/>
  <c r="O201" i="13" s="1"/>
  <c r="O202" i="13" s="1"/>
  <c r="L344" i="1"/>
  <c r="L356" i="1"/>
  <c r="R233" i="13"/>
  <c r="R245" i="13" s="1"/>
  <c r="X551" i="17"/>
  <c r="X552" i="17" s="1"/>
  <c r="X576" i="17"/>
  <c r="X578" i="17" s="1"/>
  <c r="X582" i="17" s="1"/>
  <c r="AJ551" i="17"/>
  <c r="AJ552" i="17" s="1"/>
  <c r="AJ576" i="17"/>
  <c r="AJ578" i="17" s="1"/>
  <c r="AJ582" i="17" s="1"/>
  <c r="T551" i="17"/>
  <c r="T552" i="17" s="1"/>
  <c r="T576" i="17"/>
  <c r="T578" i="17" s="1"/>
  <c r="T582" i="17" s="1"/>
  <c r="AT551" i="17"/>
  <c r="AT552" i="17" s="1"/>
  <c r="AT576" i="17"/>
  <c r="AT578" i="17" s="1"/>
  <c r="AT582" i="17" s="1"/>
  <c r="AA551" i="17"/>
  <c r="AA552" i="17" s="1"/>
  <c r="AA576" i="17"/>
  <c r="AA578" i="17" s="1"/>
  <c r="AA582" i="17" s="1"/>
  <c r="AB551" i="17"/>
  <c r="AB552" i="17" s="1"/>
  <c r="AB576" i="17"/>
  <c r="AB578" i="17" s="1"/>
  <c r="AB582" i="17" s="1"/>
  <c r="AN551" i="17"/>
  <c r="AN552" i="17" s="1"/>
  <c r="AN576" i="17"/>
  <c r="AN578" i="17" s="1"/>
  <c r="AN582" i="17" s="1"/>
  <c r="AP551" i="17"/>
  <c r="AP552" i="17" s="1"/>
  <c r="AP576" i="17"/>
  <c r="AP578" i="17" s="1"/>
  <c r="AP582" i="17" s="1"/>
  <c r="W551" i="17"/>
  <c r="W552" i="17" s="1"/>
  <c r="W576" i="17"/>
  <c r="W578" i="17" s="1"/>
  <c r="W582" i="17" s="1"/>
  <c r="AE551" i="17"/>
  <c r="AE552" i="17" s="1"/>
  <c r="AE576" i="17"/>
  <c r="AE578" i="17" s="1"/>
  <c r="AE582" i="17" s="1"/>
  <c r="AL551" i="17"/>
  <c r="AL552" i="17" s="1"/>
  <c r="AL576" i="17"/>
  <c r="AL578" i="17" s="1"/>
  <c r="AL582" i="17" s="1"/>
  <c r="N551" i="17"/>
  <c r="N552" i="17" s="1"/>
  <c r="N576" i="17"/>
  <c r="N578" i="17" s="1"/>
  <c r="Z551" i="17"/>
  <c r="Z552" i="17" s="1"/>
  <c r="Z576" i="17"/>
  <c r="Z578" i="17" s="1"/>
  <c r="Z582" i="17" s="1"/>
  <c r="AD551" i="17"/>
  <c r="AD552" i="17" s="1"/>
  <c r="AD576" i="17"/>
  <c r="AD578" i="17" s="1"/>
  <c r="AD582" i="17" s="1"/>
  <c r="M551" i="17"/>
  <c r="M552" i="17" s="1"/>
  <c r="M576" i="17"/>
  <c r="M578" i="17" s="1"/>
  <c r="M582" i="17" s="1"/>
  <c r="AS551" i="17"/>
  <c r="AS552" i="17" s="1"/>
  <c r="AS576" i="17"/>
  <c r="AS578" i="17" s="1"/>
  <c r="AS582" i="17" s="1"/>
  <c r="AM551" i="17"/>
  <c r="AM552" i="17" s="1"/>
  <c r="AM576" i="17"/>
  <c r="AM578" i="17" s="1"/>
  <c r="AM582" i="17" s="1"/>
  <c r="AR551" i="17"/>
  <c r="AR552" i="17" s="1"/>
  <c r="AR576" i="17"/>
  <c r="AR578" i="17" s="1"/>
  <c r="AR582" i="17" s="1"/>
  <c r="AU551" i="17"/>
  <c r="AU552" i="17" s="1"/>
  <c r="AU576" i="17"/>
  <c r="AU578" i="17" s="1"/>
  <c r="AU582" i="17" s="1"/>
  <c r="AC551" i="17"/>
  <c r="AC552" i="17" s="1"/>
  <c r="AC576" i="17"/>
  <c r="AC578" i="17" s="1"/>
  <c r="AC582" i="17" s="1"/>
  <c r="U551" i="17"/>
  <c r="U552" i="17" s="1"/>
  <c r="U576" i="17"/>
  <c r="U578" i="17" s="1"/>
  <c r="U582" i="17" s="1"/>
  <c r="AF551" i="17"/>
  <c r="AF552" i="17" s="1"/>
  <c r="AF576" i="17"/>
  <c r="AF578" i="17" s="1"/>
  <c r="AF582" i="17" s="1"/>
  <c r="AH551" i="17"/>
  <c r="AH552" i="17" s="1"/>
  <c r="AH576" i="17"/>
  <c r="AH578" i="17" s="1"/>
  <c r="AH582" i="17" s="1"/>
  <c r="AG551" i="17"/>
  <c r="AG552" i="17" s="1"/>
  <c r="AG576" i="17"/>
  <c r="AG578" i="17" s="1"/>
  <c r="AG582" i="17" s="1"/>
  <c r="R551" i="17"/>
  <c r="R552" i="17" s="1"/>
  <c r="R576" i="17"/>
  <c r="R578" i="17" s="1"/>
  <c r="R582" i="17" s="1"/>
  <c r="AK551" i="17"/>
  <c r="AK552" i="17" s="1"/>
  <c r="AK576" i="17"/>
  <c r="AK578" i="17" s="1"/>
  <c r="AK582" i="17" s="1"/>
  <c r="P551" i="17"/>
  <c r="P552" i="17" s="1"/>
  <c r="P576" i="17"/>
  <c r="P578" i="17" s="1"/>
  <c r="P582" i="17" s="1"/>
  <c r="Y551" i="17"/>
  <c r="Y552" i="17" s="1"/>
  <c r="Y576" i="17"/>
  <c r="Y578" i="17" s="1"/>
  <c r="Y582" i="17" s="1"/>
  <c r="AO551" i="17"/>
  <c r="AO552" i="17" s="1"/>
  <c r="AO576" i="17"/>
  <c r="AO578" i="17" s="1"/>
  <c r="AO582" i="17" s="1"/>
  <c r="AQ551" i="17"/>
  <c r="AQ552" i="17" s="1"/>
  <c r="AQ576" i="17"/>
  <c r="AQ578" i="17" s="1"/>
  <c r="AQ582" i="17" s="1"/>
  <c r="AI551" i="17"/>
  <c r="AI552" i="17" s="1"/>
  <c r="AI576" i="17"/>
  <c r="AI578" i="17" s="1"/>
  <c r="AI582" i="17" s="1"/>
  <c r="P91" i="13"/>
  <c r="P235" i="13" s="1"/>
  <c r="P246" i="13" s="1"/>
  <c r="L430" i="17"/>
  <c r="L432" i="17" s="1"/>
  <c r="M428" i="17" s="1"/>
  <c r="M421" i="17"/>
  <c r="AV37" i="37"/>
  <c r="M99" i="13"/>
  <c r="M205" i="13" s="1"/>
  <c r="AV142" i="26"/>
  <c r="Q168" i="17"/>
  <c r="AU142" i="26"/>
  <c r="AU37" i="37"/>
  <c r="T200" i="13"/>
  <c r="T201" i="13" s="1"/>
  <c r="T202" i="13" s="1"/>
  <c r="L965" i="17"/>
  <c r="S878" i="17"/>
  <c r="S41" i="38" s="1"/>
  <c r="T878" i="17"/>
  <c r="O878" i="17"/>
  <c r="O41" i="38" s="1"/>
  <c r="P878" i="17"/>
  <c r="P41" i="38" s="1"/>
  <c r="N878" i="17"/>
  <c r="N41" i="38" s="1"/>
  <c r="V878" i="17"/>
  <c r="V41" i="38" s="1"/>
  <c r="U878" i="17"/>
  <c r="U41" i="38" s="1"/>
  <c r="M878" i="17"/>
  <c r="M41" i="38" s="1"/>
  <c r="M965" i="17" a="1"/>
  <c r="M965" i="17" s="1"/>
  <c r="O965" i="17" a="1"/>
  <c r="O965" i="17" s="1"/>
  <c r="D25" i="25" s="1"/>
  <c r="F33" i="42" s="1"/>
  <c r="N965" i="17" a="1"/>
  <c r="N965" i="17" s="1"/>
  <c r="J832" i="17"/>
  <c r="J27" i="38" s="1"/>
  <c r="U536" i="17"/>
  <c r="U540" i="17" s="1"/>
  <c r="U555" i="17" s="1"/>
  <c r="W536" i="17"/>
  <c r="W540" i="17" s="1"/>
  <c r="W555" i="17" s="1"/>
  <c r="O536" i="17"/>
  <c r="O540" i="17" s="1"/>
  <c r="O555" i="17" s="1"/>
  <c r="R536" i="17"/>
  <c r="R540" i="17" s="1"/>
  <c r="R555" i="17" s="1"/>
  <c r="L536" i="17"/>
  <c r="L540" i="17" s="1"/>
  <c r="L555" i="17" s="1"/>
  <c r="N536" i="17"/>
  <c r="N540" i="17" s="1"/>
  <c r="N555" i="17" s="1"/>
  <c r="P536" i="17"/>
  <c r="P540" i="17" s="1"/>
  <c r="P555" i="17" s="1"/>
  <c r="V536" i="17"/>
  <c r="V540" i="17" s="1"/>
  <c r="V555" i="17" s="1"/>
  <c r="AU801" i="17"/>
  <c r="AU927" i="17" s="1"/>
  <c r="AU81" i="38" s="1"/>
  <c r="AU536" i="17"/>
  <c r="AU540" i="17" s="1"/>
  <c r="AU555" i="17" s="1"/>
  <c r="AE801" i="17"/>
  <c r="AE927" i="17" s="1"/>
  <c r="AE81" i="38" s="1"/>
  <c r="AE536" i="17"/>
  <c r="AE540" i="17" s="1"/>
  <c r="AE555" i="17" s="1"/>
  <c r="AN801" i="17"/>
  <c r="AN927" i="17" s="1"/>
  <c r="AN81" i="38" s="1"/>
  <c r="AN536" i="17"/>
  <c r="AN540" i="17" s="1"/>
  <c r="AN555" i="17" s="1"/>
  <c r="AH801" i="17"/>
  <c r="AH927" i="17" s="1"/>
  <c r="AH81" i="38" s="1"/>
  <c r="AH536" i="17"/>
  <c r="AH540" i="17" s="1"/>
  <c r="AH555" i="17" s="1"/>
  <c r="X801" i="17"/>
  <c r="X927" i="17" s="1"/>
  <c r="X81" i="38" s="1"/>
  <c r="X536" i="17"/>
  <c r="X540" i="17" s="1"/>
  <c r="X555" i="17" s="1"/>
  <c r="AJ801" i="17"/>
  <c r="AJ927" i="17" s="1"/>
  <c r="AJ81" i="38" s="1"/>
  <c r="AJ536" i="17"/>
  <c r="AJ540" i="17" s="1"/>
  <c r="AJ555" i="17" s="1"/>
  <c r="Q801" i="17"/>
  <c r="Q927" i="17" s="1"/>
  <c r="Q81" i="38" s="1"/>
  <c r="Q536" i="17"/>
  <c r="Q540" i="17" s="1"/>
  <c r="Q555" i="17" s="1"/>
  <c r="AC801" i="17"/>
  <c r="AC927" i="17" s="1"/>
  <c r="AC81" i="38" s="1"/>
  <c r="AC536" i="17"/>
  <c r="AC540" i="17" s="1"/>
  <c r="AC555" i="17" s="1"/>
  <c r="AG801" i="17"/>
  <c r="AG927" i="17" s="1"/>
  <c r="AG81" i="38" s="1"/>
  <c r="AG536" i="17"/>
  <c r="AG540" i="17" s="1"/>
  <c r="AG555" i="17" s="1"/>
  <c r="AM801" i="17"/>
  <c r="AM927" i="17" s="1"/>
  <c r="AM81" i="38" s="1"/>
  <c r="AM536" i="17"/>
  <c r="AM540" i="17" s="1"/>
  <c r="AM555" i="17" s="1"/>
  <c r="AB801" i="17"/>
  <c r="AB927" i="17" s="1"/>
  <c r="AB81" i="38" s="1"/>
  <c r="AB536" i="17"/>
  <c r="AB540" i="17" s="1"/>
  <c r="AB555" i="17" s="1"/>
  <c r="AF801" i="17"/>
  <c r="AF927" i="17" s="1"/>
  <c r="AF81" i="38" s="1"/>
  <c r="AF536" i="17"/>
  <c r="AF540" i="17" s="1"/>
  <c r="AF555" i="17" s="1"/>
  <c r="Z801" i="17"/>
  <c r="Z927" i="17" s="1"/>
  <c r="Z81" i="38" s="1"/>
  <c r="Z536" i="17"/>
  <c r="Z540" i="17" s="1"/>
  <c r="Z555" i="17" s="1"/>
  <c r="AL801" i="17"/>
  <c r="AL927" i="17" s="1"/>
  <c r="AL81" i="38" s="1"/>
  <c r="AL536" i="17"/>
  <c r="AL540" i="17" s="1"/>
  <c r="AL555" i="17" s="1"/>
  <c r="AO801" i="17"/>
  <c r="AO927" i="17" s="1"/>
  <c r="AO81" i="38" s="1"/>
  <c r="AO536" i="17"/>
  <c r="AO540" i="17" s="1"/>
  <c r="AO555" i="17" s="1"/>
  <c r="AV801" i="17"/>
  <c r="AV927" i="17" s="1"/>
  <c r="AV81" i="38" s="1"/>
  <c r="AV536" i="17"/>
  <c r="AV540" i="17" s="1"/>
  <c r="AV555" i="17" s="1"/>
  <c r="AP801" i="17"/>
  <c r="AP927" i="17" s="1"/>
  <c r="AP81" i="38" s="1"/>
  <c r="AP536" i="17"/>
  <c r="AP540" i="17" s="1"/>
  <c r="AP555" i="17" s="1"/>
  <c r="AT801" i="17"/>
  <c r="AT927" i="17" s="1"/>
  <c r="AT81" i="38" s="1"/>
  <c r="AT536" i="17"/>
  <c r="AT540" i="17" s="1"/>
  <c r="AT555" i="17" s="1"/>
  <c r="AQ801" i="17"/>
  <c r="AQ927" i="17" s="1"/>
  <c r="AQ81" i="38" s="1"/>
  <c r="AQ536" i="17"/>
  <c r="AQ540" i="17" s="1"/>
  <c r="AQ555" i="17" s="1"/>
  <c r="AR801" i="17"/>
  <c r="AR927" i="17" s="1"/>
  <c r="AR81" i="38" s="1"/>
  <c r="AR536" i="17"/>
  <c r="AR540" i="17" s="1"/>
  <c r="AR555" i="17" s="1"/>
  <c r="AS801" i="17"/>
  <c r="AS927" i="17" s="1"/>
  <c r="AS81" i="38" s="1"/>
  <c r="AS536" i="17"/>
  <c r="AS540" i="17" s="1"/>
  <c r="AS555" i="17" s="1"/>
  <c r="M801" i="17"/>
  <c r="M927" i="17" s="1"/>
  <c r="M81" i="38" s="1"/>
  <c r="M536" i="17"/>
  <c r="AI801" i="17"/>
  <c r="AI927" i="17" s="1"/>
  <c r="AI81" i="38" s="1"/>
  <c r="AI536" i="17"/>
  <c r="AI540" i="17" s="1"/>
  <c r="AI555" i="17" s="1"/>
  <c r="T801" i="17"/>
  <c r="T927" i="17" s="1"/>
  <c r="T81" i="38" s="1"/>
  <c r="T536" i="17"/>
  <c r="T540" i="17" s="1"/>
  <c r="T555" i="17" s="1"/>
  <c r="AK801" i="17"/>
  <c r="AK927" i="17" s="1"/>
  <c r="AK81" i="38" s="1"/>
  <c r="AK536" i="17"/>
  <c r="AK540" i="17" s="1"/>
  <c r="AK555" i="17" s="1"/>
  <c r="S801" i="17"/>
  <c r="S927" i="17" s="1"/>
  <c r="S81" i="38" s="1"/>
  <c r="S536" i="17"/>
  <c r="S540" i="17" s="1"/>
  <c r="S555" i="17" s="1"/>
  <c r="AD801" i="17"/>
  <c r="AD927" i="17" s="1"/>
  <c r="AD81" i="38" s="1"/>
  <c r="AD536" i="17"/>
  <c r="AD540" i="17" s="1"/>
  <c r="AD555" i="17" s="1"/>
  <c r="Y801" i="17"/>
  <c r="Y927" i="17" s="1"/>
  <c r="Y81" i="38" s="1"/>
  <c r="Y536" i="17"/>
  <c r="Y540" i="17" s="1"/>
  <c r="Y555" i="17" s="1"/>
  <c r="AA253" i="17"/>
  <c r="AA254" i="17" s="1"/>
  <c r="AA264" i="17" s="1"/>
  <c r="AA536" i="17"/>
  <c r="AA540" i="17" s="1"/>
  <c r="AA555" i="17" s="1"/>
  <c r="R783" i="17"/>
  <c r="R142" i="26" s="1"/>
  <c r="Q783" i="17"/>
  <c r="Q37" i="37" s="1"/>
  <c r="Q38" i="37" s="1"/>
  <c r="W783" i="17"/>
  <c r="W142" i="26" s="1"/>
  <c r="AN233" i="13"/>
  <c r="V233" i="13"/>
  <c r="V245" i="13" s="1"/>
  <c r="AH233" i="13"/>
  <c r="AH245" i="13" s="1"/>
  <c r="P233" i="13"/>
  <c r="P245" i="13" s="1"/>
  <c r="W200" i="13"/>
  <c r="W201" i="13" s="1"/>
  <c r="W202" i="13" s="1"/>
  <c r="P801" i="17"/>
  <c r="P927" i="17" s="1"/>
  <c r="P81" i="38" s="1"/>
  <c r="V801" i="17"/>
  <c r="V927" i="17" s="1"/>
  <c r="V81" i="38" s="1"/>
  <c r="N801" i="17"/>
  <c r="N927" i="17" s="1"/>
  <c r="N81" i="38" s="1"/>
  <c r="O801" i="17"/>
  <c r="O927" i="17" s="1"/>
  <c r="O81" i="38" s="1"/>
  <c r="AA801" i="17"/>
  <c r="AA927" i="17" s="1"/>
  <c r="AA81" i="38" s="1"/>
  <c r="AA594" i="17"/>
  <c r="R801" i="17"/>
  <c r="R927" i="17" s="1"/>
  <c r="R81" i="38" s="1"/>
  <c r="L801" i="17"/>
  <c r="L927" i="17" s="1"/>
  <c r="L81" i="38" s="1"/>
  <c r="U801" i="17"/>
  <c r="U927" i="17" s="1"/>
  <c r="U81" i="38" s="1"/>
  <c r="W801" i="17"/>
  <c r="W927" i="17" s="1"/>
  <c r="W81" i="38" s="1"/>
  <c r="S783" i="17"/>
  <c r="P783" i="17"/>
  <c r="N783" i="17"/>
  <c r="V783" i="17"/>
  <c r="U783" i="17"/>
  <c r="M783" i="17"/>
  <c r="T783" i="17"/>
  <c r="O783" i="17"/>
  <c r="Y594" i="17"/>
  <c r="AF594" i="17"/>
  <c r="AI594" i="17"/>
  <c r="AH594" i="17"/>
  <c r="X253" i="17"/>
  <c r="X254" i="17" s="1"/>
  <c r="X264" i="17" s="1"/>
  <c r="AN594" i="17"/>
  <c r="AK594" i="17"/>
  <c r="AJ594" i="17"/>
  <c r="AC253" i="17"/>
  <c r="AC254" i="17" s="1"/>
  <c r="AC264" i="17" s="1"/>
  <c r="AG253" i="17"/>
  <c r="AG254" i="17" s="1"/>
  <c r="AG264" i="17" s="1"/>
  <c r="Z253" i="17"/>
  <c r="Z254" i="17" s="1"/>
  <c r="Z264" i="17" s="1"/>
  <c r="AM594" i="17"/>
  <c r="AU594" i="17"/>
  <c r="T594" i="17"/>
  <c r="AV594" i="17"/>
  <c r="AP253" i="17"/>
  <c r="AP258" i="17" s="1"/>
  <c r="S253" i="17"/>
  <c r="S258" i="17" s="1"/>
  <c r="S491" i="17" s="1"/>
  <c r="AD594" i="17"/>
  <c r="AT594" i="17"/>
  <c r="AQ253" i="17"/>
  <c r="AQ258" i="17" s="1"/>
  <c r="AR594" i="17"/>
  <c r="W252" i="17"/>
  <c r="W257" i="17" s="1"/>
  <c r="W490" i="17" s="1"/>
  <c r="Q554" i="17"/>
  <c r="R593" i="17"/>
  <c r="Q233" i="13"/>
  <c r="Q245" i="13" s="1"/>
  <c r="AA205" i="13"/>
  <c r="AA209" i="13" s="1"/>
  <c r="AL200" i="13"/>
  <c r="AL201" i="13" s="1"/>
  <c r="AL202" i="13" s="1"/>
  <c r="AA236" i="13"/>
  <c r="AE253" i="17"/>
  <c r="AE254" i="17" s="1"/>
  <c r="AE264" i="17" s="1"/>
  <c r="AE594" i="17"/>
  <c r="AS253" i="17"/>
  <c r="AS254" i="17" s="1"/>
  <c r="AS264" i="17" s="1"/>
  <c r="AS594" i="17"/>
  <c r="AA200" i="13"/>
  <c r="AA201" i="13" s="1"/>
  <c r="AA202" i="13" s="1"/>
  <c r="AV103" i="13"/>
  <c r="AV104" i="13" s="1"/>
  <c r="AV205" i="13"/>
  <c r="M200" i="13"/>
  <c r="M201" i="13" s="1"/>
  <c r="M202" i="13" s="1"/>
  <c r="AS233" i="13"/>
  <c r="AS245" i="13" s="1"/>
  <c r="AS103" i="13"/>
  <c r="AS104" i="13" s="1"/>
  <c r="T205" i="13"/>
  <c r="T209" i="13" s="1"/>
  <c r="AS236" i="13"/>
  <c r="AS247" i="13" s="1"/>
  <c r="AR253" i="17"/>
  <c r="AR258" i="17" s="1"/>
  <c r="AU200" i="13"/>
  <c r="AU201" i="13" s="1"/>
  <c r="AU202" i="13" s="1"/>
  <c r="J98" i="13"/>
  <c r="AT103" i="13"/>
  <c r="AT104" i="13" s="1"/>
  <c r="AT205" i="13"/>
  <c r="AE205" i="13"/>
  <c r="AE209" i="13" s="1"/>
  <c r="AI253" i="17"/>
  <c r="AI258" i="17" s="1"/>
  <c r="AP103" i="13"/>
  <c r="AP104" i="13" s="1"/>
  <c r="AP205" i="13"/>
  <c r="AG233" i="13"/>
  <c r="AG245" i="13" s="1"/>
  <c r="AQ594" i="17"/>
  <c r="AN253" i="17"/>
  <c r="AN254" i="17" s="1"/>
  <c r="AN264" i="17" s="1"/>
  <c r="J90" i="13"/>
  <c r="L233" i="13"/>
  <c r="L245" i="13" s="1"/>
  <c r="X594" i="17"/>
  <c r="S102" i="13"/>
  <c r="S235" i="13"/>
  <c r="S246" i="13" s="1"/>
  <c r="AQ233" i="13"/>
  <c r="AQ245" i="13" s="1"/>
  <c r="J87" i="13"/>
  <c r="Y253" i="17"/>
  <c r="Y258" i="17" s="1"/>
  <c r="Y491" i="17" s="1"/>
  <c r="Z233" i="13"/>
  <c r="Z245" i="13" s="1"/>
  <c r="AB594" i="17"/>
  <c r="AB253" i="17"/>
  <c r="AB254" i="17" s="1"/>
  <c r="AB264" i="17" s="1"/>
  <c r="X233" i="13"/>
  <c r="X245" i="13" s="1"/>
  <c r="AB233" i="13"/>
  <c r="AB245" i="13" s="1"/>
  <c r="AO253" i="17"/>
  <c r="AO254" i="17" s="1"/>
  <c r="AO264" i="17" s="1"/>
  <c r="AO594" i="17"/>
  <c r="AM200" i="13"/>
  <c r="AM201" i="13" s="1"/>
  <c r="AM202" i="13" s="1"/>
  <c r="AM253" i="17"/>
  <c r="AM254" i="17" s="1"/>
  <c r="AM264" i="17" s="1"/>
  <c r="AL594" i="17"/>
  <c r="AR233" i="13"/>
  <c r="AR245" i="13" s="1"/>
  <c r="Y200" i="13"/>
  <c r="Y201" i="13" s="1"/>
  <c r="Y202" i="13" s="1"/>
  <c r="AF236" i="13"/>
  <c r="AF247" i="13" s="1"/>
  <c r="AT253" i="17"/>
  <c r="AT254" i="17" s="1"/>
  <c r="AT264" i="17" s="1"/>
  <c r="AF233" i="13"/>
  <c r="AF245" i="13" s="1"/>
  <c r="AD233" i="13"/>
  <c r="AE236" i="13"/>
  <c r="AF205" i="13"/>
  <c r="AF209" i="13" s="1"/>
  <c r="R252" i="17"/>
  <c r="R257" i="17" s="1"/>
  <c r="R490" i="17" s="1"/>
  <c r="AL253" i="17"/>
  <c r="AL254" i="17" s="1"/>
  <c r="AL264" i="17" s="1"/>
  <c r="T235" i="13"/>
  <c r="T246" i="13" s="1"/>
  <c r="N103" i="13"/>
  <c r="N236" i="13"/>
  <c r="N247" i="13" s="1"/>
  <c r="AB236" i="13"/>
  <c r="AB247" i="13" s="1"/>
  <c r="AK233" i="13"/>
  <c r="Q204" i="13"/>
  <c r="AB205" i="13"/>
  <c r="AB209" i="13" s="1"/>
  <c r="AC200" i="13"/>
  <c r="AC201" i="13" s="1"/>
  <c r="AC202" i="13" s="1"/>
  <c r="Q102" i="13"/>
  <c r="N102" i="13"/>
  <c r="AC594" i="17"/>
  <c r="AV233" i="13"/>
  <c r="AG594" i="17"/>
  <c r="R554" i="17"/>
  <c r="AP594" i="17"/>
  <c r="U233" i="13"/>
  <c r="U245" i="13" s="1"/>
  <c r="AJ253" i="17"/>
  <c r="AJ258" i="17" s="1"/>
  <c r="AH253" i="17"/>
  <c r="AH258" i="17" s="1"/>
  <c r="W554" i="17"/>
  <c r="W593" i="17"/>
  <c r="T253" i="17"/>
  <c r="T258" i="17" s="1"/>
  <c r="T491" i="17" s="1"/>
  <c r="M594" i="17"/>
  <c r="AU253" i="17"/>
  <c r="AU254" i="17" s="1"/>
  <c r="AU264" i="17" s="1"/>
  <c r="AF253" i="17"/>
  <c r="AF254" i="17" s="1"/>
  <c r="AF264" i="17" s="1"/>
  <c r="AD253" i="17"/>
  <c r="AD258" i="17" s="1"/>
  <c r="M253" i="17"/>
  <c r="M258" i="17" s="1"/>
  <c r="M491" i="17" s="1"/>
  <c r="S594" i="17"/>
  <c r="Q593" i="17"/>
  <c r="Z594" i="17"/>
  <c r="Q252" i="17"/>
  <c r="Q257" i="17" s="1"/>
  <c r="Q490" i="17" s="1"/>
  <c r="AV253" i="17"/>
  <c r="AV254" i="17" s="1"/>
  <c r="AV264" i="17" s="1"/>
  <c r="Q594" i="17"/>
  <c r="AK253" i="17"/>
  <c r="AK254" i="17" s="1"/>
  <c r="AK264" i="17" s="1"/>
  <c r="Q253" i="17"/>
  <c r="Q258" i="17" s="1"/>
  <c r="Q491" i="17" s="1"/>
  <c r="N593" i="17"/>
  <c r="N554" i="17"/>
  <c r="N252" i="17"/>
  <c r="N257" i="17" s="1"/>
  <c r="N490" i="17" s="1"/>
  <c r="W594" i="17"/>
  <c r="W253" i="17"/>
  <c r="O253" i="17"/>
  <c r="O258" i="17" s="1"/>
  <c r="O491" i="17" s="1"/>
  <c r="O594" i="17"/>
  <c r="S551" i="17"/>
  <c r="S552" i="17" s="1"/>
  <c r="Q551" i="17"/>
  <c r="Q552" i="17" s="1"/>
  <c r="V551" i="17"/>
  <c r="V552" i="17" s="1"/>
  <c r="R594" i="17"/>
  <c r="R253" i="17"/>
  <c r="M593" i="17"/>
  <c r="M554" i="17"/>
  <c r="M252" i="17"/>
  <c r="L551" i="17"/>
  <c r="L552" i="17" s="1"/>
  <c r="S593" i="17"/>
  <c r="S554" i="17"/>
  <c r="S252" i="17"/>
  <c r="AO200" i="13"/>
  <c r="AO201" i="13" s="1"/>
  <c r="AO202" i="13" s="1"/>
  <c r="U594" i="17"/>
  <c r="U253" i="17"/>
  <c r="U258" i="17" s="1"/>
  <c r="U491" i="17" s="1"/>
  <c r="T252" i="17"/>
  <c r="T554" i="17"/>
  <c r="T593" i="17"/>
  <c r="P593" i="17"/>
  <c r="P554" i="17"/>
  <c r="P252" i="17"/>
  <c r="P257" i="17" s="1"/>
  <c r="P490" i="17" s="1"/>
  <c r="L241" i="17"/>
  <c r="L295" i="17" s="1"/>
  <c r="J239" i="17"/>
  <c r="J550" i="17"/>
  <c r="J576" i="17" s="1"/>
  <c r="J591" i="17"/>
  <c r="V593" i="17"/>
  <c r="V554" i="17"/>
  <c r="V252" i="17"/>
  <c r="V257" i="17" s="1"/>
  <c r="V490" i="17" s="1"/>
  <c r="N594" i="17"/>
  <c r="N253" i="17"/>
  <c r="N258" i="17" s="1"/>
  <c r="N491" i="17" s="1"/>
  <c r="AV551" i="17"/>
  <c r="AV552" i="17" s="1"/>
  <c r="P594" i="17"/>
  <c r="P253" i="17"/>
  <c r="P258" i="17" s="1"/>
  <c r="P491" i="17" s="1"/>
  <c r="V594" i="17"/>
  <c r="V253" i="17"/>
  <c r="V258" i="17" s="1"/>
  <c r="V491" i="17" s="1"/>
  <c r="O551" i="17"/>
  <c r="O552" i="17" s="1"/>
  <c r="U554" i="17"/>
  <c r="U252" i="17"/>
  <c r="U257" i="17" s="1"/>
  <c r="U490" i="17" s="1"/>
  <c r="U593" i="17"/>
  <c r="O554" i="17"/>
  <c r="O252" i="17"/>
  <c r="O257" i="17" s="1"/>
  <c r="O490" i="17" s="1"/>
  <c r="O593" i="17"/>
  <c r="L253" i="17"/>
  <c r="L258" i="17" s="1"/>
  <c r="L491" i="17" s="1"/>
  <c r="L594" i="17"/>
  <c r="J249" i="17"/>
  <c r="J262" i="17" s="1"/>
  <c r="T236" i="13"/>
  <c r="T247" i="13" s="1"/>
  <c r="W236" i="13"/>
  <c r="W247" i="13" s="1"/>
  <c r="W103" i="13"/>
  <c r="T102" i="13"/>
  <c r="T104" i="13" s="1"/>
  <c r="J86" i="13"/>
  <c r="J65" i="13"/>
  <c r="J200" i="13" s="1"/>
  <c r="AI233" i="13"/>
  <c r="AI245" i="13" s="1"/>
  <c r="J97" i="13"/>
  <c r="N235" i="13"/>
  <c r="N246" i="13" s="1"/>
  <c r="O205" i="13"/>
  <c r="O103" i="13"/>
  <c r="R99" i="13"/>
  <c r="AJ233" i="13"/>
  <c r="AJ200" i="13"/>
  <c r="AJ201" i="13" s="1"/>
  <c r="AJ202" i="13" s="1"/>
  <c r="V103" i="13"/>
  <c r="V205" i="13"/>
  <c r="V209" i="13" s="1"/>
  <c r="V102" i="13"/>
  <c r="V235" i="13"/>
  <c r="V246" i="13" s="1"/>
  <c r="S103" i="13"/>
  <c r="S236" i="13"/>
  <c r="S247" i="13" s="1"/>
  <c r="S205" i="13"/>
  <c r="S209" i="13" s="1"/>
  <c r="O235" i="13"/>
  <c r="O204" i="13"/>
  <c r="O102" i="13"/>
  <c r="W235" i="13"/>
  <c r="W246" i="13" s="1"/>
  <c r="W102" i="13"/>
  <c r="W204" i="13"/>
  <c r="W209" i="13" s="1"/>
  <c r="Q205" i="13"/>
  <c r="Q236" i="13"/>
  <c r="Q247" i="13" s="1"/>
  <c r="Q103" i="13"/>
  <c r="L91" i="13"/>
  <c r="J89" i="13"/>
  <c r="AJ180" i="13"/>
  <c r="AK176" i="13" s="1"/>
  <c r="AK179" i="13" s="1"/>
  <c r="AK182" i="13" s="1"/>
  <c r="I305" i="1"/>
  <c r="I25" i="1"/>
  <c r="I26" i="1"/>
  <c r="I27" i="1"/>
  <c r="I104" i="1"/>
  <c r="AK106" i="13" l="1"/>
  <c r="AK205" i="13"/>
  <c r="AK103" i="13"/>
  <c r="AK104" i="13" s="1"/>
  <c r="C90" i="43" a="1"/>
  <c r="C90" i="43" s="1"/>
  <c r="C96" i="43" a="1"/>
  <c r="C96" i="43" s="1"/>
  <c r="G96" i="43" s="1"/>
  <c r="D90" i="43" a="1"/>
  <c r="D90" i="43" s="1"/>
  <c r="G91" i="43" s="1"/>
  <c r="D96" i="43" a="1"/>
  <c r="D96" i="43" s="1"/>
  <c r="G97" i="43" s="1"/>
  <c r="D72" i="43" a="1"/>
  <c r="D72" i="43" s="1"/>
  <c r="D84" i="43" a="1"/>
  <c r="D84" i="43" s="1"/>
  <c r="G85" i="43" s="1"/>
  <c r="D66" i="43" a="1"/>
  <c r="D66" i="43" s="1"/>
  <c r="G67" i="43" s="1"/>
  <c r="D60" i="43" a="1"/>
  <c r="D60" i="43" s="1"/>
  <c r="G61" i="43" s="1"/>
  <c r="C66" i="43" a="1"/>
  <c r="C66" i="43" s="1"/>
  <c r="G66" i="43" s="1"/>
  <c r="C60" i="43" a="1"/>
  <c r="C60" i="43" s="1"/>
  <c r="G60" i="43" s="1"/>
  <c r="D55" i="43" a="1"/>
  <c r="D55" i="43" s="1"/>
  <c r="G56" i="43" s="1"/>
  <c r="L42" i="38"/>
  <c r="F905" i="17"/>
  <c r="AR681" i="17"/>
  <c r="J33" i="42"/>
  <c r="I33" i="42" s="1"/>
  <c r="L922" i="17"/>
  <c r="L99" i="26"/>
  <c r="G905" i="17" a="1"/>
  <c r="G905" i="17" s="1"/>
  <c r="M977" i="17" a="1"/>
  <c r="M977" i="17" s="1"/>
  <c r="J556" i="17"/>
  <c r="J784" i="17"/>
  <c r="J143" i="26" s="1"/>
  <c r="L106" i="13"/>
  <c r="L103" i="13"/>
  <c r="O977" i="17" a="1"/>
  <c r="O977" i="17" s="1"/>
  <c r="D49" i="25" s="1"/>
  <c r="F64" i="42" s="1"/>
  <c r="J64" i="42" s="1"/>
  <c r="I64" i="42" s="1"/>
  <c r="J879" i="17"/>
  <c r="J42" i="38" s="1"/>
  <c r="L977" i="17"/>
  <c r="J494" i="17"/>
  <c r="J98" i="37"/>
  <c r="N977" i="17" a="1"/>
  <c r="N977" i="17" s="1"/>
  <c r="H905" i="17"/>
  <c r="L205" i="13"/>
  <c r="AQ248" i="13"/>
  <c r="AQ251" i="13" s="1"/>
  <c r="J595" i="17"/>
  <c r="L296" i="17"/>
  <c r="L298" i="17"/>
  <c r="L299" i="17"/>
  <c r="L300" i="17"/>
  <c r="L297" i="17"/>
  <c r="AR205" i="13"/>
  <c r="T41" i="38"/>
  <c r="G904" i="17" a="1"/>
  <c r="G904" i="17" s="1"/>
  <c r="D164" i="43" s="1"/>
  <c r="E153" i="43"/>
  <c r="D78" i="43" s="1" a="1"/>
  <c r="D78" i="43" s="1"/>
  <c r="L639" i="17"/>
  <c r="M621" i="17"/>
  <c r="M631" i="17"/>
  <c r="N621" i="17"/>
  <c r="N631" i="17"/>
  <c r="L633" i="17"/>
  <c r="N452" i="17"/>
  <c r="N454" i="17" s="1"/>
  <c r="N800" i="17" s="1"/>
  <c r="N30" i="38"/>
  <c r="N81" i="37"/>
  <c r="N355" i="1" s="1"/>
  <c r="N69" i="37"/>
  <c r="N609" i="17"/>
  <c r="N102" i="26"/>
  <c r="M102" i="26"/>
  <c r="M81" i="37"/>
  <c r="M355" i="1" s="1"/>
  <c r="M356" i="1" s="1"/>
  <c r="M30" i="38"/>
  <c r="M609" i="17"/>
  <c r="M452" i="17"/>
  <c r="L35" i="38"/>
  <c r="L38" i="38" s="1"/>
  <c r="AD205" i="13"/>
  <c r="AD209" i="13" s="1"/>
  <c r="AJ205" i="13"/>
  <c r="AJ209" i="13" s="1"/>
  <c r="AD103" i="13"/>
  <c r="AD104" i="13" s="1"/>
  <c r="AJ103" i="13"/>
  <c r="AJ104" i="13" s="1"/>
  <c r="AJ106" i="13"/>
  <c r="Z205" i="13"/>
  <c r="Z209" i="13" s="1"/>
  <c r="Z106" i="13"/>
  <c r="D153" i="43"/>
  <c r="E157" i="43"/>
  <c r="AU103" i="13"/>
  <c r="AU104" i="13" s="1"/>
  <c r="Z236" i="13"/>
  <c r="Z247" i="13" s="1"/>
  <c r="Z248" i="13" s="1"/>
  <c r="Z251" i="13" s="1"/>
  <c r="N248" i="13"/>
  <c r="AR248" i="13"/>
  <c r="U102" i="13"/>
  <c r="AO236" i="13"/>
  <c r="AO247" i="13" s="1"/>
  <c r="AO248" i="13" s="1"/>
  <c r="X248" i="13"/>
  <c r="AS248" i="13"/>
  <c r="AB248" i="13"/>
  <c r="AG248" i="13"/>
  <c r="T248" i="13"/>
  <c r="P248" i="13"/>
  <c r="Y248" i="13"/>
  <c r="W248" i="13"/>
  <c r="AM248" i="13"/>
  <c r="V248" i="13"/>
  <c r="Q248" i="13"/>
  <c r="S248" i="13"/>
  <c r="AF248" i="13"/>
  <c r="AC248" i="13"/>
  <c r="AD245" i="13"/>
  <c r="AD248" i="13" s="1"/>
  <c r="O246" i="13"/>
  <c r="O248" i="13" s="1"/>
  <c r="AT245" i="13"/>
  <c r="AT248" i="13" s="1"/>
  <c r="R204" i="13"/>
  <c r="AJ245" i="13"/>
  <c r="AJ248" i="13" s="1"/>
  <c r="AA247" i="13"/>
  <c r="AA248" i="13" s="1"/>
  <c r="AP245" i="13"/>
  <c r="AP248" i="13" s="1"/>
  <c r="AL245" i="13"/>
  <c r="AL248" i="13" s="1"/>
  <c r="P103" i="13"/>
  <c r="P205" i="13"/>
  <c r="AV245" i="13"/>
  <c r="AV248" i="13" s="1"/>
  <c r="AK245" i="13"/>
  <c r="AK248" i="13" s="1"/>
  <c r="AE247" i="13"/>
  <c r="AE248" i="13" s="1"/>
  <c r="AN245" i="13"/>
  <c r="AN248" i="13" s="1"/>
  <c r="AU236" i="13"/>
  <c r="AU247" i="13" s="1"/>
  <c r="AU248" i="13" s="1"/>
  <c r="AU106" i="13"/>
  <c r="AD106" i="13"/>
  <c r="R102" i="13"/>
  <c r="U235" i="13"/>
  <c r="U246" i="13" s="1"/>
  <c r="U248" i="13" s="1"/>
  <c r="X205" i="13"/>
  <c r="X209" i="13" s="1"/>
  <c r="AH103" i="13"/>
  <c r="AH104" i="13" s="1"/>
  <c r="X103" i="13"/>
  <c r="X104" i="13" s="1"/>
  <c r="AQ103" i="13"/>
  <c r="AQ104" i="13" s="1"/>
  <c r="AO106" i="13"/>
  <c r="AO205" i="13"/>
  <c r="AQ205" i="13"/>
  <c r="AH236" i="13"/>
  <c r="AH106" i="13"/>
  <c r="AB115" i="13"/>
  <c r="AB256" i="13" s="1"/>
  <c r="AB255" i="13"/>
  <c r="O115" i="13"/>
  <c r="O256" i="13" s="1"/>
  <c r="O254" i="13"/>
  <c r="AI205" i="13"/>
  <c r="AI209" i="13" s="1"/>
  <c r="AF115" i="13"/>
  <c r="AF256" i="13" s="1"/>
  <c r="AF255" i="13"/>
  <c r="AA115" i="13"/>
  <c r="AA256" i="13" s="1"/>
  <c r="AA255" i="13"/>
  <c r="AL115" i="13"/>
  <c r="AL256" i="13" s="1"/>
  <c r="AL254" i="13"/>
  <c r="S115" i="13"/>
  <c r="S256" i="13" s="1"/>
  <c r="S255" i="13"/>
  <c r="AJ115" i="13"/>
  <c r="AJ256" i="13" s="1"/>
  <c r="AJ254" i="13"/>
  <c r="Q115" i="13"/>
  <c r="Q256" i="13" s="1"/>
  <c r="Q255" i="13"/>
  <c r="Y115" i="13"/>
  <c r="Y256" i="13" s="1"/>
  <c r="Y254" i="13"/>
  <c r="AR106" i="13"/>
  <c r="U106" i="13"/>
  <c r="AV115" i="13"/>
  <c r="AV256" i="13" s="1"/>
  <c r="AV254" i="13"/>
  <c r="T115" i="13"/>
  <c r="T256" i="13" s="1"/>
  <c r="T254" i="13"/>
  <c r="M115" i="13"/>
  <c r="M256" i="13" s="1"/>
  <c r="M254" i="13"/>
  <c r="N115" i="13"/>
  <c r="N256" i="13" s="1"/>
  <c r="N254" i="13"/>
  <c r="M204" i="13"/>
  <c r="M209" i="13" s="1"/>
  <c r="W115" i="13"/>
  <c r="W256" i="13" s="1"/>
  <c r="W255" i="13"/>
  <c r="P106" i="13"/>
  <c r="AC115" i="13"/>
  <c r="AC256" i="13" s="1"/>
  <c r="AC254" i="13"/>
  <c r="AU115" i="13"/>
  <c r="AU256" i="13" s="1"/>
  <c r="AU254" i="13"/>
  <c r="AG115" i="13"/>
  <c r="AG256" i="13" s="1"/>
  <c r="AG254" i="13"/>
  <c r="M102" i="13"/>
  <c r="AI236" i="13"/>
  <c r="AO115" i="13"/>
  <c r="AO256" i="13" s="1"/>
  <c r="AO254" i="13"/>
  <c r="V115" i="13"/>
  <c r="V256" i="13" s="1"/>
  <c r="V255" i="13"/>
  <c r="P115" i="13"/>
  <c r="P256" i="13" s="1"/>
  <c r="P254" i="13"/>
  <c r="AI115" i="13"/>
  <c r="AI256" i="13" s="1"/>
  <c r="AI254" i="13"/>
  <c r="AR103" i="13"/>
  <c r="AR104" i="13" s="1"/>
  <c r="AP115" i="13"/>
  <c r="AP256" i="13" s="1"/>
  <c r="AP254" i="13"/>
  <c r="AE115" i="13"/>
  <c r="AE256" i="13" s="1"/>
  <c r="AE254" i="13"/>
  <c r="AT115" i="13"/>
  <c r="AT256" i="13" s="1"/>
  <c r="AT254" i="13"/>
  <c r="AK115" i="13"/>
  <c r="AK256" i="13" s="1"/>
  <c r="AK254" i="13"/>
  <c r="M106" i="13"/>
  <c r="AN115" i="13"/>
  <c r="AN256" i="13" s="1"/>
  <c r="AN254" i="13"/>
  <c r="AM106" i="13"/>
  <c r="AM115" i="13"/>
  <c r="AM256" i="13" s="1"/>
  <c r="AR115" i="13"/>
  <c r="AR256" i="13" s="1"/>
  <c r="U115" i="13"/>
  <c r="U256" i="13" s="1"/>
  <c r="AQ106" i="13"/>
  <c r="Y205" i="13"/>
  <c r="Y209" i="13" s="1"/>
  <c r="AH115" i="13"/>
  <c r="AH256" i="13" s="1"/>
  <c r="AI106" i="13"/>
  <c r="Y106" i="13"/>
  <c r="X106" i="13"/>
  <c r="AM103" i="13"/>
  <c r="AM104" i="13" s="1"/>
  <c r="R106" i="13"/>
  <c r="AM205" i="13"/>
  <c r="Y103" i="13"/>
  <c r="Y104" i="13" s="1"/>
  <c r="J99" i="13"/>
  <c r="J103" i="13" s="1"/>
  <c r="R115" i="13"/>
  <c r="R256" i="13" s="1"/>
  <c r="AQ115" i="13"/>
  <c r="AQ256" i="13" s="1"/>
  <c r="J114" i="13"/>
  <c r="J255" i="13" s="1"/>
  <c r="U103" i="13"/>
  <c r="X115" i="13"/>
  <c r="X256" i="13" s="1"/>
  <c r="Z115" i="13"/>
  <c r="Z256" i="13" s="1"/>
  <c r="AD115" i="13"/>
  <c r="AD256" i="13" s="1"/>
  <c r="U205" i="13"/>
  <c r="U209" i="13" s="1"/>
  <c r="L115" i="13"/>
  <c r="L256" i="13" s="1"/>
  <c r="M103" i="13"/>
  <c r="AS115" i="13"/>
  <c r="AS256" i="13" s="1"/>
  <c r="J113" i="13"/>
  <c r="J254" i="13" s="1"/>
  <c r="M236" i="13"/>
  <c r="P102" i="13"/>
  <c r="P204" i="13"/>
  <c r="AD259" i="17"/>
  <c r="AD492" i="17" s="1"/>
  <c r="AD491" i="17"/>
  <c r="AJ259" i="17"/>
  <c r="AJ492" i="17" s="1"/>
  <c r="AJ491" i="17"/>
  <c r="AQ259" i="17"/>
  <c r="AQ492" i="17" s="1"/>
  <c r="AQ491" i="17"/>
  <c r="AI259" i="17"/>
  <c r="AI492" i="17" s="1"/>
  <c r="AI491" i="17"/>
  <c r="AR259" i="17"/>
  <c r="AR492" i="17" s="1"/>
  <c r="AR491" i="17"/>
  <c r="AH259" i="17"/>
  <c r="AH492" i="17" s="1"/>
  <c r="AH491" i="17"/>
  <c r="AP259" i="17"/>
  <c r="AP492" i="17" s="1"/>
  <c r="AP491" i="17"/>
  <c r="J578" i="17"/>
  <c r="J582" i="17" s="1"/>
  <c r="N582" i="17"/>
  <c r="M422" i="17"/>
  <c r="R423" i="17" s="1"/>
  <c r="M429" i="17"/>
  <c r="R168" i="17"/>
  <c r="F202" i="13"/>
  <c r="F318" i="13" s="1"/>
  <c r="F320" i="13" s="1"/>
  <c r="F82" i="42" s="1"/>
  <c r="J82" i="42" s="1"/>
  <c r="I82" i="42" s="1"/>
  <c r="M540" i="17"/>
  <c r="M555" i="17" s="1"/>
  <c r="L999" i="17"/>
  <c r="L878" i="17"/>
  <c r="J536" i="17"/>
  <c r="M1013" i="17"/>
  <c r="M999" i="17" a="1"/>
  <c r="M999" i="17" s="1"/>
  <c r="AA258" i="17"/>
  <c r="R37" i="37"/>
  <c r="R38" i="37" s="1"/>
  <c r="W37" i="37"/>
  <c r="W38" i="37" s="1"/>
  <c r="Q142" i="26"/>
  <c r="O142" i="26"/>
  <c r="O37" i="37"/>
  <c r="V142" i="26"/>
  <c r="V37" i="37"/>
  <c r="V38" i="37" s="1"/>
  <c r="U142" i="26"/>
  <c r="U37" i="37"/>
  <c r="U38" i="37" s="1"/>
  <c r="T142" i="26"/>
  <c r="T37" i="37"/>
  <c r="T38" i="37" s="1"/>
  <c r="N142" i="26"/>
  <c r="N37" i="37"/>
  <c r="S142" i="26"/>
  <c r="S37" i="37"/>
  <c r="S38" i="37" s="1"/>
  <c r="M142" i="26"/>
  <c r="M37" i="37"/>
  <c r="P142" i="26"/>
  <c r="P37" i="37"/>
  <c r="P38" i="37" s="1"/>
  <c r="AQ254" i="17"/>
  <c r="AQ264" i="17" s="1"/>
  <c r="J801" i="17"/>
  <c r="J927" i="17" s="1"/>
  <c r="J81" i="38" s="1"/>
  <c r="L783" i="17"/>
  <c r="Z258" i="17"/>
  <c r="AG258" i="17"/>
  <c r="X258" i="17"/>
  <c r="X491" i="17" s="1"/>
  <c r="AP254" i="17"/>
  <c r="AP264" i="17" s="1"/>
  <c r="AC258" i="17"/>
  <c r="AS258" i="17"/>
  <c r="AE258" i="17"/>
  <c r="AI254" i="17"/>
  <c r="AI264" i="17" s="1"/>
  <c r="AR254" i="17"/>
  <c r="AR264" i="17" s="1"/>
  <c r="S104" i="13"/>
  <c r="AN258" i="17"/>
  <c r="AO258" i="17"/>
  <c r="AM258" i="17"/>
  <c r="Y254" i="17"/>
  <c r="Y264" i="17" s="1"/>
  <c r="AL258" i="17"/>
  <c r="AB258" i="17"/>
  <c r="AT258" i="17"/>
  <c r="AJ254" i="17"/>
  <c r="AJ264" i="17" s="1"/>
  <c r="N104" i="13"/>
  <c r="AD254" i="17"/>
  <c r="AD264" i="17" s="1"/>
  <c r="Q209" i="13"/>
  <c r="Q211" i="13" s="1"/>
  <c r="Q216" i="13" s="1"/>
  <c r="AH254" i="17"/>
  <c r="AH264" i="17" s="1"/>
  <c r="Q104" i="13"/>
  <c r="O209" i="13"/>
  <c r="J233" i="13"/>
  <c r="J245" i="13" s="1"/>
  <c r="AU258" i="17"/>
  <c r="Q259" i="17"/>
  <c r="Q492" i="17" s="1"/>
  <c r="AV258" i="17"/>
  <c r="AF258" i="17"/>
  <c r="O259" i="17"/>
  <c r="O492" i="17" s="1"/>
  <c r="U259" i="17"/>
  <c r="U492" i="17" s="1"/>
  <c r="Q254" i="17"/>
  <c r="Q264" i="17" s="1"/>
  <c r="AK258" i="17"/>
  <c r="Y259" i="17"/>
  <c r="Y492" i="17" s="1"/>
  <c r="N259" i="17"/>
  <c r="N492" i="17" s="1"/>
  <c r="V259" i="17"/>
  <c r="V492" i="17" s="1"/>
  <c r="P259" i="17"/>
  <c r="P492" i="17" s="1"/>
  <c r="M254" i="17"/>
  <c r="M264" i="17" s="1"/>
  <c r="M257" i="17"/>
  <c r="T254" i="17"/>
  <c r="T264" i="17" s="1"/>
  <c r="T257" i="17"/>
  <c r="T490" i="17" s="1"/>
  <c r="R254" i="17"/>
  <c r="R264" i="17" s="1"/>
  <c r="R258" i="17"/>
  <c r="S254" i="17"/>
  <c r="S264" i="17" s="1"/>
  <c r="S257" i="17"/>
  <c r="S490" i="17" s="1"/>
  <c r="W254" i="17"/>
  <c r="W264" i="17" s="1"/>
  <c r="W258" i="17"/>
  <c r="O254" i="17"/>
  <c r="O264" i="17" s="1"/>
  <c r="U254" i="17"/>
  <c r="U264" i="17" s="1"/>
  <c r="P254" i="17"/>
  <c r="P264" i="17" s="1"/>
  <c r="F552" i="17"/>
  <c r="F1026" i="17" s="1"/>
  <c r="J594" i="17"/>
  <c r="J253" i="17"/>
  <c r="V254" i="17"/>
  <c r="V264" i="17" s="1"/>
  <c r="L554" i="17"/>
  <c r="L561" i="17" s="1"/>
  <c r="L593" i="17"/>
  <c r="L252" i="17"/>
  <c r="J241" i="17"/>
  <c r="J295" i="17" s="1"/>
  <c r="N254" i="17"/>
  <c r="N264" i="17" s="1"/>
  <c r="W104" i="13"/>
  <c r="O104" i="13"/>
  <c r="V104" i="13"/>
  <c r="R236" i="13"/>
  <c r="R103" i="13"/>
  <c r="R205" i="13"/>
  <c r="L235" i="13"/>
  <c r="L102" i="13"/>
  <c r="L104" i="13" s="1"/>
  <c r="L204" i="13"/>
  <c r="L209" i="13" s="1"/>
  <c r="L211" i="13" s="1"/>
  <c r="L216" i="13" s="1"/>
  <c r="L218" i="13" s="1"/>
  <c r="J91" i="13"/>
  <c r="AK180" i="13"/>
  <c r="AL176" i="13" s="1"/>
  <c r="AL179" i="13" s="1"/>
  <c r="AL182" i="13" s="1"/>
  <c r="AL207" i="13" s="1"/>
  <c r="AL209" i="13" s="1"/>
  <c r="AK207" i="13"/>
  <c r="AK209" i="13" s="1"/>
  <c r="I105" i="1"/>
  <c r="G19" i="3"/>
  <c r="AR718" i="17" l="1"/>
  <c r="L886" i="17"/>
  <c r="L49" i="38" s="1"/>
  <c r="L776" i="17"/>
  <c r="C78" i="43" a="1"/>
  <c r="C78" i="43" s="1"/>
  <c r="G78" i="43" s="1"/>
  <c r="G79" i="43"/>
  <c r="H904" i="17"/>
  <c r="E164" i="43" s="1"/>
  <c r="F904" i="17"/>
  <c r="C164" i="43" s="1"/>
  <c r="AR682" i="17"/>
  <c r="AS678" i="17" s="1"/>
  <c r="AS679" i="17" s="1"/>
  <c r="L76" i="38"/>
  <c r="L842" i="17"/>
  <c r="AQ257" i="13"/>
  <c r="N497" i="17"/>
  <c r="N498" i="17" s="1"/>
  <c r="L655" i="17"/>
  <c r="L791" i="17"/>
  <c r="L150" i="26" s="1"/>
  <c r="N633" i="17"/>
  <c r="N637" i="17"/>
  <c r="N639" i="17" s="1"/>
  <c r="N837" i="17"/>
  <c r="N32" i="38" s="1"/>
  <c r="M633" i="17"/>
  <c r="M637" i="17"/>
  <c r="O621" i="17"/>
  <c r="O631" i="17"/>
  <c r="O637" i="17" s="1"/>
  <c r="O639" i="17" s="1"/>
  <c r="F41" i="37"/>
  <c r="N65" i="37"/>
  <c r="N71" i="37" s="1"/>
  <c r="N343" i="1" s="1"/>
  <c r="O30" i="38"/>
  <c r="O81" i="37"/>
  <c r="O355" i="1" s="1"/>
  <c r="O356" i="1" s="1"/>
  <c r="O102" i="26"/>
  <c r="O497" i="17"/>
  <c r="O499" i="17" s="1"/>
  <c r="O452" i="17"/>
  <c r="O837" i="17" s="1"/>
  <c r="O32" i="38" s="1"/>
  <c r="O609" i="17"/>
  <c r="O65" i="37"/>
  <c r="O71" i="37" s="1"/>
  <c r="O343" i="1" s="1"/>
  <c r="M69" i="37"/>
  <c r="M65" i="37"/>
  <c r="M71" i="37" s="1"/>
  <c r="M343" i="1" s="1"/>
  <c r="M344" i="1" s="1"/>
  <c r="M454" i="17"/>
  <c r="M800" i="17" s="1"/>
  <c r="M837" i="17"/>
  <c r="Z257" i="13"/>
  <c r="AO251" i="13"/>
  <c r="AO260" i="13" s="1"/>
  <c r="AO257" i="13"/>
  <c r="Y251" i="13"/>
  <c r="Y260" i="13" s="1"/>
  <c r="Y257" i="13"/>
  <c r="AC251" i="13"/>
  <c r="AC260" i="13" s="1"/>
  <c r="AC477" i="17" s="1"/>
  <c r="AC481" i="17" s="1"/>
  <c r="AC257" i="13"/>
  <c r="AF251" i="13"/>
  <c r="AF260" i="13" s="1"/>
  <c r="AF257" i="13"/>
  <c r="AN251" i="13"/>
  <c r="AN261" i="13" s="1"/>
  <c r="AN257" i="13"/>
  <c r="AA251" i="13"/>
  <c r="AA260" i="13" s="1"/>
  <c r="AA477" i="17" s="1"/>
  <c r="AA481" i="17" s="1"/>
  <c r="AA512" i="17" s="1"/>
  <c r="AA257" i="13"/>
  <c r="S251" i="13"/>
  <c r="S261" i="13" s="1"/>
  <c r="S257" i="13"/>
  <c r="AG251" i="13"/>
  <c r="AG261" i="13" s="1"/>
  <c r="AG257" i="13"/>
  <c r="AE251" i="13"/>
  <c r="AE261" i="13" s="1"/>
  <c r="AE478" i="17" s="1"/>
  <c r="AE482" i="17" s="1"/>
  <c r="AE257" i="13"/>
  <c r="AJ251" i="13"/>
  <c r="AJ261" i="13" s="1"/>
  <c r="AJ257" i="13"/>
  <c r="Q251" i="13"/>
  <c r="Q261" i="13" s="1"/>
  <c r="Q257" i="13"/>
  <c r="AB251" i="13"/>
  <c r="AB261" i="13" s="1"/>
  <c r="AB478" i="17" s="1"/>
  <c r="AB482" i="17" s="1"/>
  <c r="AB257" i="13"/>
  <c r="AR251" i="13"/>
  <c r="AR260" i="13" s="1"/>
  <c r="AR257" i="13"/>
  <c r="AD251" i="13"/>
  <c r="AD260" i="13" s="1"/>
  <c r="AD477" i="17" s="1"/>
  <c r="AD481" i="17" s="1"/>
  <c r="AD257" i="13"/>
  <c r="P251" i="13"/>
  <c r="P260" i="13" s="1"/>
  <c r="P257" i="13"/>
  <c r="AU251" i="13"/>
  <c r="AU261" i="13" s="1"/>
  <c r="AU257" i="13"/>
  <c r="T251" i="13"/>
  <c r="T261" i="13" s="1"/>
  <c r="T257" i="13"/>
  <c r="U104" i="13"/>
  <c r="AK251" i="13"/>
  <c r="AK261" i="13" s="1"/>
  <c r="AK257" i="13"/>
  <c r="V251" i="13"/>
  <c r="V261" i="13" s="1"/>
  <c r="V257" i="13"/>
  <c r="AS251" i="13"/>
  <c r="AS260" i="13" s="1"/>
  <c r="AS257" i="13"/>
  <c r="N251" i="13"/>
  <c r="N261" i="13" s="1"/>
  <c r="N257" i="13"/>
  <c r="AL251" i="13"/>
  <c r="AL260" i="13" s="1"/>
  <c r="AL257" i="13"/>
  <c r="AP251" i="13"/>
  <c r="AP261" i="13" s="1"/>
  <c r="AP257" i="13"/>
  <c r="U251" i="13"/>
  <c r="U260" i="13" s="1"/>
  <c r="U257" i="13"/>
  <c r="AV251" i="13"/>
  <c r="AV261" i="13" s="1"/>
  <c r="AV257" i="13"/>
  <c r="AT251" i="13"/>
  <c r="AT261" i="13" s="1"/>
  <c r="AT257" i="13"/>
  <c r="AM251" i="13"/>
  <c r="AM261" i="13" s="1"/>
  <c r="AM257" i="13"/>
  <c r="O251" i="13"/>
  <c r="O261" i="13" s="1"/>
  <c r="O257" i="13"/>
  <c r="W251" i="13"/>
  <c r="W261" i="13" s="1"/>
  <c r="W257" i="13"/>
  <c r="X251" i="13"/>
  <c r="X260" i="13" s="1"/>
  <c r="X257" i="13"/>
  <c r="R104" i="13"/>
  <c r="R209" i="13"/>
  <c r="P209" i="13"/>
  <c r="J236" i="13"/>
  <c r="J247" i="13" s="1"/>
  <c r="M104" i="13"/>
  <c r="R247" i="13"/>
  <c r="R248" i="13" s="1"/>
  <c r="P104" i="13"/>
  <c r="AH247" i="13"/>
  <c r="AH248" i="13" s="1"/>
  <c r="L246" i="13"/>
  <c r="L248" i="13" s="1"/>
  <c r="M247" i="13"/>
  <c r="M248" i="13" s="1"/>
  <c r="AI247" i="13"/>
  <c r="AI248" i="13" s="1"/>
  <c r="AQ261" i="13"/>
  <c r="AQ260" i="13"/>
  <c r="Z261" i="13"/>
  <c r="Z260" i="13"/>
  <c r="Z477" i="17" s="1"/>
  <c r="Z481" i="17" s="1"/>
  <c r="J205" i="13"/>
  <c r="F107" i="13"/>
  <c r="J106" i="13"/>
  <c r="F116" i="13"/>
  <c r="J115" i="13"/>
  <c r="J256" i="13" s="1"/>
  <c r="AT259" i="17"/>
  <c r="AT492" i="17" s="1"/>
  <c r="AT491" i="17"/>
  <c r="AL259" i="17"/>
  <c r="AL492" i="17" s="1"/>
  <c r="AL491" i="17"/>
  <c r="AE259" i="17"/>
  <c r="AE492" i="17" s="1"/>
  <c r="AE491" i="17"/>
  <c r="M259" i="17"/>
  <c r="M492" i="17" s="1"/>
  <c r="M497" i="17" s="1"/>
  <c r="M490" i="17"/>
  <c r="AS259" i="17"/>
  <c r="AS492" i="17" s="1"/>
  <c r="AS491" i="17"/>
  <c r="AV259" i="17"/>
  <c r="AV492" i="17" s="1"/>
  <c r="AV491" i="17"/>
  <c r="AM259" i="17"/>
  <c r="AM492" i="17" s="1"/>
  <c r="AM491" i="17"/>
  <c r="AC259" i="17"/>
  <c r="AC492" i="17" s="1"/>
  <c r="AC491" i="17"/>
  <c r="AF259" i="17"/>
  <c r="AF492" i="17" s="1"/>
  <c r="AF491" i="17"/>
  <c r="R259" i="17"/>
  <c r="R492" i="17" s="1"/>
  <c r="R491" i="17"/>
  <c r="AO259" i="17"/>
  <c r="AO492" i="17" s="1"/>
  <c r="AO491" i="17"/>
  <c r="W259" i="17"/>
  <c r="W492" i="17" s="1"/>
  <c r="W491" i="17"/>
  <c r="AB259" i="17"/>
  <c r="AB492" i="17" s="1"/>
  <c r="AB491" i="17"/>
  <c r="AU259" i="17"/>
  <c r="AU492" i="17" s="1"/>
  <c r="AU491" i="17"/>
  <c r="AN259" i="17"/>
  <c r="AN492" i="17" s="1"/>
  <c r="AN491" i="17"/>
  <c r="AK259" i="17"/>
  <c r="AK492" i="17" s="1"/>
  <c r="AK491" i="17"/>
  <c r="AG259" i="17"/>
  <c r="AG492" i="17" s="1"/>
  <c r="AG491" i="17"/>
  <c r="AA259" i="17"/>
  <c r="AA492" i="17" s="1"/>
  <c r="AA491" i="17"/>
  <c r="Z259" i="17"/>
  <c r="Z492" i="17" s="1"/>
  <c r="Z491" i="17"/>
  <c r="N356" i="1"/>
  <c r="M424" i="17"/>
  <c r="M426" i="17" s="1"/>
  <c r="N422" i="17"/>
  <c r="S423" i="17" s="1"/>
  <c r="N429" i="17"/>
  <c r="L976" i="17"/>
  <c r="L41" i="38"/>
  <c r="S168" i="17"/>
  <c r="N922" i="17"/>
  <c r="N99" i="26"/>
  <c r="J540" i="17"/>
  <c r="J555" i="17" s="1"/>
  <c r="O976" i="17" a="1"/>
  <c r="O976" i="17" s="1"/>
  <c r="N976" i="17" a="1"/>
  <c r="N976" i="17" s="1"/>
  <c r="M976" i="17" a="1"/>
  <c r="M976" i="17" s="1"/>
  <c r="J878" i="17"/>
  <c r="J41" i="38" s="1"/>
  <c r="L142" i="26"/>
  <c r="L37" i="37"/>
  <c r="J783" i="17"/>
  <c r="X259" i="17"/>
  <c r="X492" i="17" s="1"/>
  <c r="T259" i="17"/>
  <c r="T492" i="17" s="1"/>
  <c r="S259" i="17"/>
  <c r="S492" i="17" s="1"/>
  <c r="J258" i="17"/>
  <c r="J491" i="17" s="1"/>
  <c r="L254" i="17"/>
  <c r="L257" i="17"/>
  <c r="L490" i="17" s="1"/>
  <c r="J554" i="17"/>
  <c r="J593" i="17"/>
  <c r="J252" i="17"/>
  <c r="L563" i="17"/>
  <c r="L221" i="13"/>
  <c r="L239" i="13" s="1"/>
  <c r="L240" i="13" s="1"/>
  <c r="L242" i="13" s="1"/>
  <c r="M217" i="13"/>
  <c r="J235" i="13"/>
  <c r="J246" i="13" s="1"/>
  <c r="J102" i="13"/>
  <c r="J204" i="13"/>
  <c r="AL180" i="13"/>
  <c r="AM176" i="13" s="1"/>
  <c r="AM179" i="13" s="1"/>
  <c r="AM182" i="13" s="1"/>
  <c r="AM207" i="13" s="1"/>
  <c r="AM209" i="13" s="1"/>
  <c r="I19" i="3"/>
  <c r="G20" i="3"/>
  <c r="G21" i="3" s="1"/>
  <c r="O22" i="44" l="1"/>
  <c r="J22" i="44" s="1"/>
  <c r="J254" i="17"/>
  <c r="L264" i="17"/>
  <c r="N886" i="17"/>
  <c r="N49" i="38" s="1"/>
  <c r="N776" i="17"/>
  <c r="O886" i="17"/>
  <c r="O49" i="38" s="1"/>
  <c r="O776" i="17"/>
  <c r="AS701" i="17"/>
  <c r="AS681" i="17"/>
  <c r="N76" i="38"/>
  <c r="AS261" i="13"/>
  <c r="AS478" i="17" s="1"/>
  <c r="AS482" i="17" s="1"/>
  <c r="AS513" i="17" s="1"/>
  <c r="U261" i="13"/>
  <c r="U262" i="13" s="1"/>
  <c r="N499" i="17"/>
  <c r="N655" i="17"/>
  <c r="N791" i="17"/>
  <c r="N150" i="26" s="1"/>
  <c r="N839" i="17"/>
  <c r="N35" i="38" s="1"/>
  <c r="N38" i="38" s="1"/>
  <c r="O655" i="17"/>
  <c r="O791" i="17"/>
  <c r="O150" i="26" s="1"/>
  <c r="M639" i="17"/>
  <c r="P621" i="17"/>
  <c r="P631" i="17"/>
  <c r="O633" i="17"/>
  <c r="O344" i="1"/>
  <c r="O839" i="17"/>
  <c r="O35" i="38" s="1"/>
  <c r="O38" i="38" s="1"/>
  <c r="O69" i="37"/>
  <c r="N344" i="1"/>
  <c r="P497" i="17"/>
  <c r="P498" i="17" s="1"/>
  <c r="P30" i="38"/>
  <c r="P69" i="37"/>
  <c r="P452" i="17"/>
  <c r="P454" i="17" s="1"/>
  <c r="P800" i="17" s="1"/>
  <c r="P81" i="37"/>
  <c r="P355" i="1" s="1"/>
  <c r="P102" i="26"/>
  <c r="P609" i="17"/>
  <c r="AL477" i="17"/>
  <c r="AL481" i="17" s="1"/>
  <c r="AL512" i="17" s="1"/>
  <c r="Z478" i="17"/>
  <c r="Z482" i="17" s="1"/>
  <c r="Z513" i="17" s="1"/>
  <c r="X477" i="17"/>
  <c r="X481" i="17" s="1"/>
  <c r="X512" i="17" s="1"/>
  <c r="AN478" i="17"/>
  <c r="AN482" i="17" s="1"/>
  <c r="AN513" i="17" s="1"/>
  <c r="AO477" i="17"/>
  <c r="AO481" i="17" s="1"/>
  <c r="AO512" i="17" s="1"/>
  <c r="O454" i="17"/>
  <c r="O800" i="17" s="1"/>
  <c r="Y477" i="17"/>
  <c r="Y481" i="17" s="1"/>
  <c r="Y512" i="17" s="1"/>
  <c r="AQ478" i="17"/>
  <c r="AQ482" i="17" s="1"/>
  <c r="AQ513" i="17" s="1"/>
  <c r="N478" i="17"/>
  <c r="N482" i="17" s="1"/>
  <c r="N513" i="17" s="1"/>
  <c r="AR477" i="17"/>
  <c r="AR481" i="17" s="1"/>
  <c r="AR512" i="17" s="1"/>
  <c r="O478" i="17"/>
  <c r="O482" i="17" s="1"/>
  <c r="O513" i="17" s="1"/>
  <c r="U477" i="17"/>
  <c r="U481" i="17" s="1"/>
  <c r="U512" i="17" s="1"/>
  <c r="AS477" i="17"/>
  <c r="AS481" i="17" s="1"/>
  <c r="AS512" i="17" s="1"/>
  <c r="AK478" i="17"/>
  <c r="AK482" i="17" s="1"/>
  <c r="AK513" i="17" s="1"/>
  <c r="W478" i="17"/>
  <c r="W482" i="17" s="1"/>
  <c r="W513" i="17" s="1"/>
  <c r="AU478" i="17"/>
  <c r="AU482" i="17" s="1"/>
  <c r="AU513" i="17" s="1"/>
  <c r="AG478" i="17"/>
  <c r="AG482" i="17" s="1"/>
  <c r="AG513" i="17" s="1"/>
  <c r="AF477" i="17"/>
  <c r="AF481" i="17" s="1"/>
  <c r="AF512" i="17" s="1"/>
  <c r="AJ478" i="17"/>
  <c r="AJ482" i="17" s="1"/>
  <c r="AJ513" i="17" s="1"/>
  <c r="AV478" i="17"/>
  <c r="AV482" i="17" s="1"/>
  <c r="AV513" i="17" s="1"/>
  <c r="T478" i="17"/>
  <c r="T482" i="17" s="1"/>
  <c r="T513" i="17" s="1"/>
  <c r="AM478" i="17"/>
  <c r="AM482" i="17" s="1"/>
  <c r="AM513" i="17" s="1"/>
  <c r="AP478" i="17"/>
  <c r="AP482" i="17" s="1"/>
  <c r="AP513" i="17" s="1"/>
  <c r="V478" i="17"/>
  <c r="V482" i="17" s="1"/>
  <c r="V513" i="17" s="1"/>
  <c r="M839" i="17"/>
  <c r="M32" i="38"/>
  <c r="AT478" i="17"/>
  <c r="AT482" i="17" s="1"/>
  <c r="AT513" i="17" s="1"/>
  <c r="AQ477" i="17"/>
  <c r="AQ481" i="17" s="1"/>
  <c r="AQ512" i="17" s="1"/>
  <c r="P477" i="17"/>
  <c r="P481" i="17" s="1"/>
  <c r="P512" i="17" s="1"/>
  <c r="P516" i="17" s="1"/>
  <c r="P521" i="17" s="1"/>
  <c r="P528" i="17" s="1"/>
  <c r="P530" i="17" s="1"/>
  <c r="Q478" i="17"/>
  <c r="Q482" i="17" s="1"/>
  <c r="Q513" i="17" s="1"/>
  <c r="S478" i="17"/>
  <c r="S482" i="17" s="1"/>
  <c r="S513" i="17" s="1"/>
  <c r="M922" i="17"/>
  <c r="M99" i="26"/>
  <c r="AO261" i="13"/>
  <c r="Y261" i="13"/>
  <c r="Y262" i="13" s="1"/>
  <c r="AJ260" i="13"/>
  <c r="O498" i="17"/>
  <c r="AE260" i="13"/>
  <c r="T260" i="13"/>
  <c r="AR261" i="13"/>
  <c r="AN260" i="13"/>
  <c r="AA261" i="13"/>
  <c r="O260" i="13"/>
  <c r="AL261" i="13"/>
  <c r="N260" i="13"/>
  <c r="Q260" i="13"/>
  <c r="AC512" i="17"/>
  <c r="AD512" i="17"/>
  <c r="AE513" i="17"/>
  <c r="AB513" i="17"/>
  <c r="P261" i="13"/>
  <c r="X261" i="13"/>
  <c r="AT260" i="13"/>
  <c r="AB260" i="13"/>
  <c r="AG260" i="13"/>
  <c r="V260" i="13"/>
  <c r="Z262" i="13"/>
  <c r="Z512" i="17"/>
  <c r="AM260" i="13"/>
  <c r="AK260" i="13"/>
  <c r="AF261" i="13"/>
  <c r="AQ262" i="13"/>
  <c r="AU260" i="13"/>
  <c r="AU477" i="17" s="1"/>
  <c r="AU481" i="17" s="1"/>
  <c r="J104" i="13"/>
  <c r="AP260" i="13"/>
  <c r="AH251" i="13"/>
  <c r="AH260" i="13" s="1"/>
  <c r="AH257" i="13"/>
  <c r="W260" i="13"/>
  <c r="W477" i="17" s="1"/>
  <c r="W481" i="17" s="1"/>
  <c r="M251" i="13"/>
  <c r="M261" i="13" s="1"/>
  <c r="M257" i="13"/>
  <c r="L251" i="13"/>
  <c r="L260" i="13" s="1"/>
  <c r="L257" i="13"/>
  <c r="AV260" i="13"/>
  <c r="AV477" i="17" s="1"/>
  <c r="AV481" i="17" s="1"/>
  <c r="AD261" i="13"/>
  <c r="AD478" i="17" s="1"/>
  <c r="AD482" i="17" s="1"/>
  <c r="S260" i="13"/>
  <c r="S477" i="17" s="1"/>
  <c r="S481" i="17" s="1"/>
  <c r="AC261" i="13"/>
  <c r="AC478" i="17" s="1"/>
  <c r="AC482" i="17" s="1"/>
  <c r="R251" i="13"/>
  <c r="R261" i="13" s="1"/>
  <c r="R257" i="13"/>
  <c r="AI251" i="13"/>
  <c r="AI261" i="13" s="1"/>
  <c r="AI257" i="13"/>
  <c r="J248" i="13"/>
  <c r="F117" i="13"/>
  <c r="M499" i="17"/>
  <c r="M498" i="17"/>
  <c r="N421" i="17"/>
  <c r="N424" i="17" s="1"/>
  <c r="N426" i="17" s="1"/>
  <c r="N434" i="17" s="1"/>
  <c r="O429" i="17"/>
  <c r="M430" i="17"/>
  <c r="M432" i="17" s="1"/>
  <c r="N428" i="17" s="1"/>
  <c r="M434" i="17"/>
  <c r="T168" i="17"/>
  <c r="D48" i="25"/>
  <c r="J142" i="26"/>
  <c r="J37" i="37"/>
  <c r="J257" i="17"/>
  <c r="J490" i="17" s="1"/>
  <c r="L259" i="17"/>
  <c r="L568" i="17"/>
  <c r="L570" i="17" s="1"/>
  <c r="L573" i="17" s="1"/>
  <c r="L581" i="17" s="1"/>
  <c r="L583" i="17" s="1"/>
  <c r="L288" i="13"/>
  <c r="L270" i="13"/>
  <c r="AM180" i="13"/>
  <c r="AN176" i="13" s="1"/>
  <c r="AN179" i="13" s="1"/>
  <c r="AN182" i="13" s="1"/>
  <c r="AN207" i="13" s="1"/>
  <c r="AN209" i="13" s="1"/>
  <c r="I21" i="3"/>
  <c r="I322" i="1" s="1"/>
  <c r="G22" i="3"/>
  <c r="I20" i="3"/>
  <c r="I122" i="1" s="1"/>
  <c r="I32" i="1"/>
  <c r="I31" i="1"/>
  <c r="I33" i="1"/>
  <c r="I36" i="1"/>
  <c r="I34" i="1"/>
  <c r="I106" i="1"/>
  <c r="I35" i="1"/>
  <c r="J264" i="17" l="1"/>
  <c r="F265" i="17"/>
  <c r="F268" i="17" s="1"/>
  <c r="F270" i="17" s="1"/>
  <c r="M886" i="17"/>
  <c r="M49" i="38" s="1"/>
  <c r="M776" i="17"/>
  <c r="AS262" i="13"/>
  <c r="U478" i="17"/>
  <c r="U482" i="17" s="1"/>
  <c r="U513" i="17" s="1"/>
  <c r="AS718" i="17"/>
  <c r="AS682" i="17"/>
  <c r="AT678" i="17" s="1"/>
  <c r="AT679" i="17" s="1"/>
  <c r="M76" i="38"/>
  <c r="O99" i="26"/>
  <c r="N558" i="17"/>
  <c r="M558" i="17"/>
  <c r="M561" i="17" s="1"/>
  <c r="M563" i="17" s="1"/>
  <c r="M568" i="17" s="1"/>
  <c r="N842" i="17"/>
  <c r="M655" i="17"/>
  <c r="M791" i="17"/>
  <c r="M150" i="26" s="1"/>
  <c r="P633" i="17"/>
  <c r="P637" i="17"/>
  <c r="Q621" i="17"/>
  <c r="Q631" i="17"/>
  <c r="Q637" i="17" s="1"/>
  <c r="Q639" i="17" s="1"/>
  <c r="P65" i="37"/>
  <c r="P71" i="37" s="1"/>
  <c r="P343" i="1" s="1"/>
  <c r="P344" i="1" s="1"/>
  <c r="P499" i="17"/>
  <c r="O922" i="17"/>
  <c r="Q497" i="17"/>
  <c r="Q499" i="17" s="1"/>
  <c r="Q452" i="17"/>
  <c r="Q837" i="17" s="1"/>
  <c r="Q839" i="17" s="1"/>
  <c r="Q35" i="38" s="1"/>
  <c r="Q30" i="38"/>
  <c r="Q81" i="37"/>
  <c r="Q355" i="1" s="1"/>
  <c r="Q356" i="1" s="1"/>
  <c r="Q102" i="26"/>
  <c r="Q609" i="17"/>
  <c r="P837" i="17"/>
  <c r="O477" i="17"/>
  <c r="O481" i="17" s="1"/>
  <c r="O512" i="17" s="1"/>
  <c r="O516" i="17" s="1"/>
  <c r="O521" i="17" s="1"/>
  <c r="M842" i="17"/>
  <c r="M35" i="38"/>
  <c r="M38" i="38" s="1"/>
  <c r="AP477" i="17"/>
  <c r="AP481" i="17" s="1"/>
  <c r="AP512" i="17" s="1"/>
  <c r="AM477" i="17"/>
  <c r="AM481" i="17" s="1"/>
  <c r="AM512" i="17" s="1"/>
  <c r="P478" i="17"/>
  <c r="P482" i="17" s="1"/>
  <c r="P513" i="17" s="1"/>
  <c r="AO478" i="17"/>
  <c r="AO482" i="17" s="1"/>
  <c r="AO513" i="17" s="1"/>
  <c r="L477" i="17"/>
  <c r="L481" i="17" s="1"/>
  <c r="L512" i="17" s="1"/>
  <c r="AA262" i="13"/>
  <c r="AA478" i="17"/>
  <c r="AA482" i="17" s="1"/>
  <c r="AA513" i="17" s="1"/>
  <c r="P523" i="17"/>
  <c r="P560" i="17" s="1"/>
  <c r="AI478" i="17"/>
  <c r="AI482" i="17" s="1"/>
  <c r="AI513" i="17" s="1"/>
  <c r="R478" i="17"/>
  <c r="R482" i="17" s="1"/>
  <c r="R513" i="17" s="1"/>
  <c r="AE477" i="17"/>
  <c r="AE481" i="17" s="1"/>
  <c r="AE512" i="17" s="1"/>
  <c r="AO262" i="13"/>
  <c r="AG477" i="17"/>
  <c r="AG481" i="17" s="1"/>
  <c r="AG512" i="17" s="1"/>
  <c r="T477" i="17"/>
  <c r="T481" i="17" s="1"/>
  <c r="T512" i="17" s="1"/>
  <c r="AN262" i="13"/>
  <c r="AN477" i="17"/>
  <c r="AN481" i="17" s="1"/>
  <c r="AN512" i="17" s="1"/>
  <c r="AB262" i="13"/>
  <c r="AB477" i="17"/>
  <c r="AB481" i="17" s="1"/>
  <c r="AB512" i="17" s="1"/>
  <c r="Q477" i="17"/>
  <c r="Q481" i="17" s="1"/>
  <c r="Q512" i="17" s="1"/>
  <c r="Q516" i="17" s="1"/>
  <c r="Q521" i="17" s="1"/>
  <c r="V477" i="17"/>
  <c r="V481" i="17" s="1"/>
  <c r="V512" i="17" s="1"/>
  <c r="AF478" i="17"/>
  <c r="AF482" i="17" s="1"/>
  <c r="AF513" i="17" s="1"/>
  <c r="AT477" i="17"/>
  <c r="AT481" i="17" s="1"/>
  <c r="AT512" i="17" s="1"/>
  <c r="N477" i="17"/>
  <c r="N481" i="17" s="1"/>
  <c r="N512" i="17" s="1"/>
  <c r="Q69" i="37"/>
  <c r="AJ477" i="17"/>
  <c r="AJ481" i="17" s="1"/>
  <c r="AJ512" i="17" s="1"/>
  <c r="M478" i="17"/>
  <c r="M482" i="17" s="1"/>
  <c r="M513" i="17" s="1"/>
  <c r="AR478" i="17"/>
  <c r="AR482" i="17" s="1"/>
  <c r="AR513" i="17" s="1"/>
  <c r="AH477" i="17"/>
  <c r="AH481" i="17" s="1"/>
  <c r="AH512" i="17" s="1"/>
  <c r="AK477" i="17"/>
  <c r="AK481" i="17" s="1"/>
  <c r="AK512" i="17" s="1"/>
  <c r="X478" i="17"/>
  <c r="X482" i="17" s="1"/>
  <c r="X513" i="17" s="1"/>
  <c r="AL478" i="17"/>
  <c r="AL482" i="17" s="1"/>
  <c r="AL513" i="17" s="1"/>
  <c r="Y478" i="17"/>
  <c r="Y482" i="17" s="1"/>
  <c r="Y513" i="17" s="1"/>
  <c r="P786" i="17"/>
  <c r="P145" i="26" s="1"/>
  <c r="P599" i="17"/>
  <c r="P881" i="17"/>
  <c r="P44" i="38" s="1"/>
  <c r="AJ262" i="13"/>
  <c r="AE262" i="13"/>
  <c r="F63" i="42"/>
  <c r="J63" i="42" s="1"/>
  <c r="I63" i="42" s="1"/>
  <c r="T262" i="13"/>
  <c r="Q262" i="13"/>
  <c r="AR262" i="13"/>
  <c r="N262" i="13"/>
  <c r="O262" i="13"/>
  <c r="P262" i="13"/>
  <c r="AL262" i="13"/>
  <c r="AT262" i="13"/>
  <c r="AF262" i="13"/>
  <c r="AH261" i="13"/>
  <c r="AG262" i="13"/>
  <c r="AK262" i="13"/>
  <c r="AP262" i="13"/>
  <c r="X262" i="13"/>
  <c r="V262" i="13"/>
  <c r="AM262" i="13"/>
  <c r="AC262" i="13"/>
  <c r="AC513" i="17"/>
  <c r="AC517" i="17" s="1"/>
  <c r="AD262" i="13"/>
  <c r="AD513" i="17"/>
  <c r="W262" i="13"/>
  <c r="W512" i="17"/>
  <c r="S262" i="13"/>
  <c r="S512" i="17"/>
  <c r="AV262" i="13"/>
  <c r="AV512" i="17"/>
  <c r="AU262" i="13"/>
  <c r="AU512" i="17"/>
  <c r="R260" i="13"/>
  <c r="R477" i="17" s="1"/>
  <c r="R481" i="17" s="1"/>
  <c r="M260" i="13"/>
  <c r="AI260" i="13"/>
  <c r="AI477" i="17" s="1"/>
  <c r="AI481" i="17" s="1"/>
  <c r="J251" i="13"/>
  <c r="J257" i="13"/>
  <c r="L261" i="13"/>
  <c r="L478" i="17" s="1"/>
  <c r="L482" i="17" s="1"/>
  <c r="J259" i="17"/>
  <c r="J492" i="17" s="1"/>
  <c r="L492" i="17"/>
  <c r="L497" i="17" s="1"/>
  <c r="O422" i="17"/>
  <c r="T423" i="17" s="1"/>
  <c r="P356" i="1"/>
  <c r="P422" i="17"/>
  <c r="U423" i="17" s="1"/>
  <c r="N430" i="17"/>
  <c r="N432" i="17" s="1"/>
  <c r="O428" i="17" s="1"/>
  <c r="O421" i="17"/>
  <c r="U168" i="17"/>
  <c r="P922" i="17"/>
  <c r="P99" i="26"/>
  <c r="M569" i="17"/>
  <c r="L280" i="13"/>
  <c r="L281" i="13" s="1"/>
  <c r="M278" i="13" s="1"/>
  <c r="M279" i="13" s="1"/>
  <c r="AN180" i="13"/>
  <c r="AO176" i="13" s="1"/>
  <c r="AO179" i="13" s="1"/>
  <c r="AO182" i="13" s="1"/>
  <c r="I321" i="1"/>
  <c r="I318" i="1"/>
  <c r="I320" i="1"/>
  <c r="I319" i="1"/>
  <c r="I307" i="1"/>
  <c r="G23" i="3"/>
  <c r="I121" i="1"/>
  <c r="I128" i="1"/>
  <c r="I127" i="1"/>
  <c r="I22" i="3"/>
  <c r="I111" i="1"/>
  <c r="I123" i="1"/>
  <c r="I116" i="1"/>
  <c r="I117" i="1"/>
  <c r="I112" i="1"/>
  <c r="I118" i="1"/>
  <c r="I126" i="1"/>
  <c r="I113" i="1"/>
  <c r="O28" i="44" l="1"/>
  <c r="J28" i="44" s="1"/>
  <c r="Q886" i="17"/>
  <c r="Q49" i="38" s="1"/>
  <c r="Q776" i="17"/>
  <c r="P32" i="38"/>
  <c r="AT681" i="17"/>
  <c r="O842" i="17"/>
  <c r="Q655" i="17"/>
  <c r="Q791" i="17"/>
  <c r="Q150" i="26" s="1"/>
  <c r="P639" i="17"/>
  <c r="O76" i="38"/>
  <c r="R621" i="17"/>
  <c r="R631" i="17"/>
  <c r="Q633" i="17"/>
  <c r="Q454" i="17"/>
  <c r="Q800" i="17" s="1"/>
  <c r="P839" i="17"/>
  <c r="R30" i="38"/>
  <c r="R81" i="37"/>
  <c r="R355" i="1" s="1"/>
  <c r="R497" i="17"/>
  <c r="R499" i="17" s="1"/>
  <c r="R102" i="26"/>
  <c r="R69" i="37"/>
  <c r="R452" i="17"/>
  <c r="R837" i="17" s="1"/>
  <c r="R32" i="38" s="1"/>
  <c r="R609" i="17"/>
  <c r="Q523" i="17"/>
  <c r="Q560" i="17" s="1"/>
  <c r="Q528" i="17"/>
  <c r="Q530" i="17" s="1"/>
  <c r="Q881" i="17" s="1"/>
  <c r="Q44" i="38" s="1"/>
  <c r="O528" i="17"/>
  <c r="O530" i="17" s="1"/>
  <c r="O881" i="17" s="1"/>
  <c r="O523" i="17"/>
  <c r="O560" i="17" s="1"/>
  <c r="AH478" i="17"/>
  <c r="AH482" i="17" s="1"/>
  <c r="AH513" i="17" s="1"/>
  <c r="Q65" i="37"/>
  <c r="Q71" i="37" s="1"/>
  <c r="Q343" i="1" s="1"/>
  <c r="Q344" i="1" s="1"/>
  <c r="M262" i="13"/>
  <c r="M477" i="17"/>
  <c r="M481" i="17" s="1"/>
  <c r="M512" i="17" s="1"/>
  <c r="Q498" i="17"/>
  <c r="Q32" i="38"/>
  <c r="Q38" i="38" s="1"/>
  <c r="AH262" i="13"/>
  <c r="AC522" i="17"/>
  <c r="AC529" i="17" s="1"/>
  <c r="R262" i="13"/>
  <c r="R512" i="17"/>
  <c r="R516" i="17" s="1"/>
  <c r="R521" i="17" s="1"/>
  <c r="L262" i="13"/>
  <c r="L513" i="17"/>
  <c r="AI262" i="13"/>
  <c r="AI512" i="17"/>
  <c r="J260" i="13"/>
  <c r="J477" i="17" s="1"/>
  <c r="M570" i="17"/>
  <c r="M573" i="17" s="1"/>
  <c r="M581" i="17" s="1"/>
  <c r="M583" i="17" s="1"/>
  <c r="J261" i="13"/>
  <c r="J478" i="17" s="1"/>
  <c r="L499" i="17"/>
  <c r="L498" i="17"/>
  <c r="O424" i="17"/>
  <c r="O426" i="17" s="1"/>
  <c r="O434" i="17" s="1"/>
  <c r="P429" i="17"/>
  <c r="P76" i="38"/>
  <c r="V168" i="17"/>
  <c r="L880" i="17"/>
  <c r="L785" i="17"/>
  <c r="L598" i="17"/>
  <c r="L600" i="17" s="1"/>
  <c r="L283" i="13"/>
  <c r="L289" i="13" s="1"/>
  <c r="L290" i="13" s="1"/>
  <c r="AO180" i="13"/>
  <c r="AP176" i="13" s="1"/>
  <c r="AP179" i="13" s="1"/>
  <c r="AP182" i="13" s="1"/>
  <c r="AO207" i="13"/>
  <c r="AO209" i="13" s="1"/>
  <c r="I398" i="1"/>
  <c r="I12" i="12" s="1"/>
  <c r="I397" i="1"/>
  <c r="I406" i="1"/>
  <c r="I405" i="1"/>
  <c r="I13" i="12" s="1"/>
  <c r="I404" i="1"/>
  <c r="I399" i="1"/>
  <c r="I23" i="3"/>
  <c r="G24" i="3"/>
  <c r="I417" i="1"/>
  <c r="I412" i="1"/>
  <c r="I117" i="12" s="1"/>
  <c r="I416" i="1"/>
  <c r="I120" i="12" s="1"/>
  <c r="I419" i="1"/>
  <c r="I418" i="1"/>
  <c r="I64" i="12" s="1"/>
  <c r="I415" i="1"/>
  <c r="I119" i="12" s="1"/>
  <c r="I420" i="1"/>
  <c r="I91" i="12" s="1"/>
  <c r="I411" i="1"/>
  <c r="I422" i="1"/>
  <c r="I192" i="12" s="1"/>
  <c r="I414" i="1"/>
  <c r="I421" i="1"/>
  <c r="I413" i="1"/>
  <c r="I118" i="12" s="1"/>
  <c r="AT682" i="17" l="1"/>
  <c r="AU678" i="17" s="1"/>
  <c r="AU679" i="17" s="1"/>
  <c r="P886" i="17"/>
  <c r="P49" i="38" s="1"/>
  <c r="P776" i="17"/>
  <c r="P35" i="38"/>
  <c r="P38" i="38" s="1"/>
  <c r="L43" i="38"/>
  <c r="AT718" i="17"/>
  <c r="AT701" i="17"/>
  <c r="Q99" i="26"/>
  <c r="O558" i="17"/>
  <c r="P842" i="17"/>
  <c r="P655" i="17"/>
  <c r="P791" i="17"/>
  <c r="P150" i="26" s="1"/>
  <c r="R633" i="17"/>
  <c r="R637" i="17"/>
  <c r="S621" i="17"/>
  <c r="S631" i="17"/>
  <c r="Q922" i="17"/>
  <c r="R454" i="17"/>
  <c r="R800" i="17" s="1"/>
  <c r="R839" i="17"/>
  <c r="R35" i="38" s="1"/>
  <c r="R38" i="38" s="1"/>
  <c r="Q786" i="17"/>
  <c r="Q145" i="26" s="1"/>
  <c r="R65" i="37"/>
  <c r="R71" i="37" s="1"/>
  <c r="R343" i="1" s="1"/>
  <c r="R344" i="1" s="1"/>
  <c r="O599" i="17"/>
  <c r="S497" i="17"/>
  <c r="S499" i="17" s="1"/>
  <c r="S517" i="17" s="1"/>
  <c r="S522" i="17" s="1"/>
  <c r="S102" i="26"/>
  <c r="S609" i="17"/>
  <c r="S452" i="17"/>
  <c r="S837" i="17" s="1"/>
  <c r="S32" i="38" s="1"/>
  <c r="S30" i="38"/>
  <c r="O786" i="17"/>
  <c r="O145" i="26" s="1"/>
  <c r="Q599" i="17"/>
  <c r="S69" i="37"/>
  <c r="S81" i="37"/>
  <c r="S355" i="1" s="1"/>
  <c r="S356" i="1" s="1"/>
  <c r="J513" i="17"/>
  <c r="O44" i="38"/>
  <c r="R528" i="17"/>
  <c r="R530" i="17" s="1"/>
  <c r="R523" i="17"/>
  <c r="R560" i="17" s="1"/>
  <c r="R498" i="17"/>
  <c r="M880" i="17"/>
  <c r="M43" i="38" s="1"/>
  <c r="J512" i="17"/>
  <c r="J262" i="13"/>
  <c r="N569" i="17"/>
  <c r="P421" i="17"/>
  <c r="P424" i="17" s="1"/>
  <c r="P426" i="17" s="1"/>
  <c r="P434" i="17" s="1"/>
  <c r="P558" i="17" s="1"/>
  <c r="O430" i="17"/>
  <c r="O432" i="17" s="1"/>
  <c r="P428" i="17" s="1"/>
  <c r="R356" i="1"/>
  <c r="W168" i="17"/>
  <c r="M785" i="17"/>
  <c r="M49" i="37" s="1"/>
  <c r="M50" i="37" s="1"/>
  <c r="L49" i="37"/>
  <c r="L50" i="37" s="1"/>
  <c r="L144" i="26"/>
  <c r="M598" i="17"/>
  <c r="L602" i="17"/>
  <c r="L56" i="38" s="1"/>
  <c r="I373" i="1"/>
  <c r="I18" i="12" s="1"/>
  <c r="I53" i="12" s="1"/>
  <c r="I393" i="1"/>
  <c r="I386" i="1"/>
  <c r="I155" i="12"/>
  <c r="I148" i="12"/>
  <c r="I115" i="12"/>
  <c r="AP180" i="13"/>
  <c r="AQ176" i="13" s="1"/>
  <c r="AQ179" i="13" s="1"/>
  <c r="AQ182" i="13" s="1"/>
  <c r="AP207" i="13"/>
  <c r="AP209" i="13" s="1"/>
  <c r="I61" i="12"/>
  <c r="I151" i="12"/>
  <c r="I40" i="12"/>
  <c r="I150" i="12"/>
  <c r="I136" i="12"/>
  <c r="I225" i="13"/>
  <c r="I162" i="12"/>
  <c r="I62" i="12"/>
  <c r="I152" i="12"/>
  <c r="I41" i="12"/>
  <c r="I39" i="12"/>
  <c r="I149" i="12"/>
  <c r="I163" i="12"/>
  <c r="I63" i="12"/>
  <c r="I153" i="12"/>
  <c r="I36" i="12"/>
  <c r="I154" i="12"/>
  <c r="I67" i="12"/>
  <c r="I24" i="3"/>
  <c r="G25" i="3"/>
  <c r="AU681" i="17" l="1"/>
  <c r="AU701" i="17"/>
  <c r="Q76" i="38"/>
  <c r="R99" i="26"/>
  <c r="S529" i="17"/>
  <c r="S530" i="17" s="1"/>
  <c r="S523" i="17"/>
  <c r="S560" i="17" s="1"/>
  <c r="Q842" i="17"/>
  <c r="S633" i="17"/>
  <c r="S637" i="17"/>
  <c r="S639" i="17" s="1"/>
  <c r="R639" i="17"/>
  <c r="T621" i="17"/>
  <c r="T631" i="17"/>
  <c r="R922" i="17"/>
  <c r="S65" i="37"/>
  <c r="S71" i="37" s="1"/>
  <c r="S343" i="1" s="1"/>
  <c r="S344" i="1" s="1"/>
  <c r="S498" i="17"/>
  <c r="S454" i="17"/>
  <c r="S800" i="17" s="1"/>
  <c r="T497" i="17"/>
  <c r="T498" i="17" s="1"/>
  <c r="T102" i="26"/>
  <c r="T30" i="38"/>
  <c r="T452" i="17"/>
  <c r="T454" i="17" s="1"/>
  <c r="T800" i="17" s="1"/>
  <c r="T69" i="37"/>
  <c r="T81" i="37"/>
  <c r="T355" i="1" s="1"/>
  <c r="T356" i="1" s="1"/>
  <c r="T609" i="17"/>
  <c r="R786" i="17"/>
  <c r="R145" i="26" s="1"/>
  <c r="R599" i="17"/>
  <c r="R881" i="17"/>
  <c r="S839" i="17"/>
  <c r="S35" i="38" s="1"/>
  <c r="S38" i="38" s="1"/>
  <c r="Q421" i="17"/>
  <c r="P430" i="17"/>
  <c r="P432" i="17" s="1"/>
  <c r="Q428" i="17" s="1"/>
  <c r="Q422" i="17"/>
  <c r="V423" i="17" s="1"/>
  <c r="X168" i="17"/>
  <c r="L730" i="17"/>
  <c r="M144" i="26"/>
  <c r="M600" i="17"/>
  <c r="M602" i="17" s="1"/>
  <c r="M56" i="38" s="1"/>
  <c r="I389" i="1"/>
  <c r="I388" i="1"/>
  <c r="I384" i="1"/>
  <c r="I164" i="13"/>
  <c r="I146" i="13"/>
  <c r="AQ207" i="13"/>
  <c r="AQ209" i="13" s="1"/>
  <c r="AQ180" i="13"/>
  <c r="AR176" i="13" s="1"/>
  <c r="AR179" i="13" s="1"/>
  <c r="AR182" i="13" s="1"/>
  <c r="I25" i="3"/>
  <c r="G26" i="3"/>
  <c r="R886" i="17" l="1"/>
  <c r="R49" i="38" s="1"/>
  <c r="R776" i="17"/>
  <c r="S886" i="17"/>
  <c r="S49" i="38" s="1"/>
  <c r="S776" i="17"/>
  <c r="AU718" i="17"/>
  <c r="AU682" i="17"/>
  <c r="AV678" i="17" s="1"/>
  <c r="AV679" i="17" s="1"/>
  <c r="R76" i="38"/>
  <c r="S99" i="26"/>
  <c r="S881" i="17"/>
  <c r="S44" i="38" s="1"/>
  <c r="S599" i="17"/>
  <c r="S786" i="17"/>
  <c r="S145" i="26" s="1"/>
  <c r="R842" i="17"/>
  <c r="R655" i="17"/>
  <c r="R791" i="17"/>
  <c r="R150" i="26" s="1"/>
  <c r="S655" i="17"/>
  <c r="S791" i="17"/>
  <c r="S150" i="26" s="1"/>
  <c r="T633" i="17"/>
  <c r="T637" i="17"/>
  <c r="U621" i="17"/>
  <c r="U631" i="17"/>
  <c r="S922" i="17"/>
  <c r="T499" i="17"/>
  <c r="T517" i="17" s="1"/>
  <c r="T522" i="17" s="1"/>
  <c r="U609" i="17"/>
  <c r="U497" i="17"/>
  <c r="U498" i="17" s="1"/>
  <c r="U516" i="17" s="1"/>
  <c r="U521" i="17" s="1"/>
  <c r="U102" i="26"/>
  <c r="U452" i="17"/>
  <c r="U837" i="17" s="1"/>
  <c r="U65" i="37"/>
  <c r="U71" i="37" s="1"/>
  <c r="U343" i="1" s="1"/>
  <c r="U81" i="37"/>
  <c r="U355" i="1" s="1"/>
  <c r="U356" i="1" s="1"/>
  <c r="U30" i="38"/>
  <c r="T65" i="37"/>
  <c r="T71" i="37" s="1"/>
  <c r="T343" i="1" s="1"/>
  <c r="T344" i="1" s="1"/>
  <c r="T837" i="17"/>
  <c r="T839" i="17" s="1"/>
  <c r="T35" i="38" s="1"/>
  <c r="R44" i="38"/>
  <c r="Q429" i="17"/>
  <c r="R422" i="17"/>
  <c r="W423" i="17" s="1"/>
  <c r="Q424" i="17"/>
  <c r="R421" i="17" s="1"/>
  <c r="T922" i="17"/>
  <c r="T99" i="26"/>
  <c r="Y168" i="17"/>
  <c r="M730" i="17"/>
  <c r="AR207" i="13"/>
  <c r="AR209" i="13" s="1"/>
  <c r="AR180" i="13"/>
  <c r="AS176" i="13" s="1"/>
  <c r="I26" i="3"/>
  <c r="G27" i="3"/>
  <c r="AV681" i="17" l="1"/>
  <c r="AV701" i="17"/>
  <c r="J679" i="17"/>
  <c r="S76" i="38"/>
  <c r="T529" i="17"/>
  <c r="T530" i="17" s="1"/>
  <c r="T523" i="17"/>
  <c r="T560" i="17" s="1"/>
  <c r="U528" i="17"/>
  <c r="U530" i="17" s="1"/>
  <c r="U523" i="17"/>
  <c r="U560" i="17" s="1"/>
  <c r="S842" i="17"/>
  <c r="U633" i="17"/>
  <c r="U637" i="17"/>
  <c r="U639" i="17" s="1"/>
  <c r="T639" i="17"/>
  <c r="V81" i="37"/>
  <c r="V355" i="1" s="1"/>
  <c r="V356" i="1" s="1"/>
  <c r="U499" i="17"/>
  <c r="V609" i="17"/>
  <c r="V30" i="38"/>
  <c r="V452" i="17"/>
  <c r="V454" i="17" s="1"/>
  <c r="V800" i="17" s="1"/>
  <c r="U344" i="1"/>
  <c r="V69" i="37"/>
  <c r="U69" i="37"/>
  <c r="V102" i="26"/>
  <c r="U32" i="38"/>
  <c r="U839" i="17"/>
  <c r="U35" i="38" s="1"/>
  <c r="T32" i="38"/>
  <c r="T38" i="38" s="1"/>
  <c r="V497" i="17"/>
  <c r="V499" i="17" s="1"/>
  <c r="U454" i="17"/>
  <c r="U800" i="17" s="1"/>
  <c r="R429" i="17"/>
  <c r="Q426" i="17"/>
  <c r="Q430" i="17" s="1"/>
  <c r="Q432" i="17" s="1"/>
  <c r="R428" i="17" s="1"/>
  <c r="R424" i="17"/>
  <c r="R426" i="17" s="1"/>
  <c r="R434" i="17" s="1"/>
  <c r="S422" i="17"/>
  <c r="X423" i="17" s="1"/>
  <c r="S429" i="17"/>
  <c r="T842" i="17"/>
  <c r="T76" i="38"/>
  <c r="Z168" i="17"/>
  <c r="AS179" i="13"/>
  <c r="AS182" i="13" s="1"/>
  <c r="I27" i="3"/>
  <c r="G28" i="3"/>
  <c r="I107" i="1"/>
  <c r="I41" i="1"/>
  <c r="I40" i="1"/>
  <c r="I39" i="1"/>
  <c r="I42" i="1"/>
  <c r="I43" i="1"/>
  <c r="I44" i="1"/>
  <c r="U886" i="17" l="1"/>
  <c r="U49" i="38" s="1"/>
  <c r="U776" i="17"/>
  <c r="T886" i="17"/>
  <c r="T49" i="38" s="1"/>
  <c r="T776" i="17"/>
  <c r="J701" i="17"/>
  <c r="AV682" i="17"/>
  <c r="AV718" i="17"/>
  <c r="J681" i="17"/>
  <c r="J718" i="17" s="1"/>
  <c r="U922" i="17"/>
  <c r="U842" i="17" s="1"/>
  <c r="R558" i="17"/>
  <c r="T599" i="17"/>
  <c r="T881" i="17"/>
  <c r="T44" i="38" s="1"/>
  <c r="T786" i="17"/>
  <c r="T145" i="26" s="1"/>
  <c r="U599" i="17"/>
  <c r="U881" i="17"/>
  <c r="U44" i="38" s="1"/>
  <c r="U786" i="17"/>
  <c r="U145" i="26" s="1"/>
  <c r="T655" i="17"/>
  <c r="T791" i="17"/>
  <c r="T150" i="26" s="1"/>
  <c r="U655" i="17"/>
  <c r="U791" i="17"/>
  <c r="U150" i="26" s="1"/>
  <c r="V621" i="17"/>
  <c r="V631" i="17"/>
  <c r="W621" i="17"/>
  <c r="W631" i="17"/>
  <c r="V837" i="17"/>
  <c r="V32" i="38" s="1"/>
  <c r="V498" i="17"/>
  <c r="V516" i="17" s="1"/>
  <c r="V521" i="17" s="1"/>
  <c r="U38" i="38"/>
  <c r="W102" i="26"/>
  <c r="W81" i="37"/>
  <c r="W355" i="1" s="1"/>
  <c r="W356" i="1" s="1"/>
  <c r="V65" i="37"/>
  <c r="V71" i="37" s="1"/>
  <c r="V343" i="1" s="1"/>
  <c r="V344" i="1" s="1"/>
  <c r="W497" i="17"/>
  <c r="W498" i="17" s="1"/>
  <c r="W516" i="17" s="1"/>
  <c r="W521" i="17" s="1"/>
  <c r="W609" i="17"/>
  <c r="W30" i="38"/>
  <c r="W452" i="17"/>
  <c r="W454" i="17" s="1"/>
  <c r="W800" i="17" s="1"/>
  <c r="U99" i="26"/>
  <c r="W65" i="37"/>
  <c r="W71" i="37" s="1"/>
  <c r="W343" i="1" s="1"/>
  <c r="Q434" i="17"/>
  <c r="S421" i="17"/>
  <c r="S424" i="17" s="1"/>
  <c r="S426" i="17" s="1"/>
  <c r="S434" i="17" s="1"/>
  <c r="R430" i="17"/>
  <c r="R432" i="17" s="1"/>
  <c r="S428" i="17" s="1"/>
  <c r="AA168" i="17"/>
  <c r="V922" i="17"/>
  <c r="V99" i="26"/>
  <c r="I107" i="4"/>
  <c r="I81" i="4"/>
  <c r="I125" i="4" s="1"/>
  <c r="I63" i="4"/>
  <c r="I135" i="4" s="1"/>
  <c r="I50" i="4"/>
  <c r="I40" i="4"/>
  <c r="I28" i="4"/>
  <c r="I18" i="4"/>
  <c r="I104" i="4"/>
  <c r="I75" i="4"/>
  <c r="I62" i="4"/>
  <c r="I49" i="4"/>
  <c r="I39" i="4"/>
  <c r="I121" i="4" s="1"/>
  <c r="I27" i="4"/>
  <c r="I16" i="4"/>
  <c r="I103" i="4"/>
  <c r="I74" i="4"/>
  <c r="I61" i="4"/>
  <c r="I48" i="4"/>
  <c r="I36" i="4"/>
  <c r="I38" i="13" s="1"/>
  <c r="I26" i="4"/>
  <c r="I15" i="4"/>
  <c r="I14" i="4"/>
  <c r="I72" i="4"/>
  <c r="I86" i="4"/>
  <c r="I73" i="4"/>
  <c r="I136" i="4" s="1"/>
  <c r="I60" i="4"/>
  <c r="I47" i="4"/>
  <c r="I35" i="4"/>
  <c r="I25" i="13" s="1"/>
  <c r="I24" i="4"/>
  <c r="I59" i="4"/>
  <c r="I23" i="4"/>
  <c r="I110" i="4"/>
  <c r="I84" i="4"/>
  <c r="I137" i="4" s="1"/>
  <c r="I71" i="4"/>
  <c r="I58" i="4"/>
  <c r="I123" i="4" s="1"/>
  <c r="I43" i="4"/>
  <c r="I33" i="4"/>
  <c r="I22" i="4"/>
  <c r="I11" i="4"/>
  <c r="I108" i="4"/>
  <c r="I64" i="4"/>
  <c r="I51" i="4"/>
  <c r="I134" i="4" s="1"/>
  <c r="I30" i="4"/>
  <c r="I85" i="4"/>
  <c r="I34" i="4"/>
  <c r="I109" i="4"/>
  <c r="I83" i="4"/>
  <c r="I70" i="4"/>
  <c r="I124" i="4" s="1"/>
  <c r="I52" i="4"/>
  <c r="I42" i="4"/>
  <c r="I31" i="4"/>
  <c r="I20" i="4"/>
  <c r="I10" i="4"/>
  <c r="I82" i="4"/>
  <c r="I41" i="4"/>
  <c r="I19" i="4"/>
  <c r="I111" i="4"/>
  <c r="I46" i="4"/>
  <c r="I122" i="4" s="1"/>
  <c r="I12" i="4"/>
  <c r="AS207" i="13"/>
  <c r="AS209" i="13" s="1"/>
  <c r="AS180" i="13"/>
  <c r="AT176" i="13" s="1"/>
  <c r="I28" i="3"/>
  <c r="G29" i="3"/>
  <c r="I310" i="1"/>
  <c r="I313" i="1"/>
  <c r="I312" i="1"/>
  <c r="I335" i="1"/>
  <c r="I337" i="1"/>
  <c r="I334" i="1"/>
  <c r="I333" i="1"/>
  <c r="I336" i="1"/>
  <c r="I309" i="1"/>
  <c r="F683" i="17" l="1"/>
  <c r="U76" i="38"/>
  <c r="Q558" i="17"/>
  <c r="S558" i="17"/>
  <c r="W528" i="17"/>
  <c r="W530" i="17" s="1"/>
  <c r="W523" i="17"/>
  <c r="W560" i="17" s="1"/>
  <c r="V528" i="17"/>
  <c r="V530" i="17" s="1"/>
  <c r="V523" i="17"/>
  <c r="V560" i="17" s="1"/>
  <c r="V839" i="17"/>
  <c r="V35" i="38" s="1"/>
  <c r="V38" i="38" s="1"/>
  <c r="W633" i="17"/>
  <c r="W637" i="17"/>
  <c r="W639" i="17" s="1"/>
  <c r="V633" i="17"/>
  <c r="V637" i="17"/>
  <c r="V639" i="17" s="1"/>
  <c r="X609" i="17"/>
  <c r="X452" i="17"/>
  <c r="X837" i="17" s="1"/>
  <c r="X839" i="17" s="1"/>
  <c r="X35" i="38" s="1"/>
  <c r="W837" i="17"/>
  <c r="W839" i="17" s="1"/>
  <c r="W35" i="38" s="1"/>
  <c r="X69" i="37"/>
  <c r="W69" i="37"/>
  <c r="W344" i="1"/>
  <c r="X497" i="17"/>
  <c r="X499" i="17" s="1"/>
  <c r="X81" i="37"/>
  <c r="X355" i="1" s="1"/>
  <c r="X356" i="1" s="1"/>
  <c r="X30" i="38"/>
  <c r="X102" i="26"/>
  <c r="W499" i="17"/>
  <c r="T422" i="17"/>
  <c r="Y423" i="17" s="1"/>
  <c r="T429" i="17"/>
  <c r="S430" i="17"/>
  <c r="S432" i="17" s="1"/>
  <c r="T428" i="17" s="1"/>
  <c r="T421" i="17"/>
  <c r="V76" i="38"/>
  <c r="W922" i="17"/>
  <c r="W99" i="26"/>
  <c r="AB168" i="17"/>
  <c r="I124" i="13"/>
  <c r="I125" i="13"/>
  <c r="I127" i="13"/>
  <c r="I159" i="13"/>
  <c r="I158" i="13"/>
  <c r="I126" i="13"/>
  <c r="I128" i="13"/>
  <c r="AT179" i="13"/>
  <c r="AT182" i="13" s="1"/>
  <c r="I29" i="3"/>
  <c r="G30" i="3"/>
  <c r="I241" i="1"/>
  <c r="I239" i="1"/>
  <c r="I238" i="1"/>
  <c r="I177" i="1"/>
  <c r="I175" i="1"/>
  <c r="W886" i="17" l="1"/>
  <c r="W49" i="38" s="1"/>
  <c r="W776" i="17"/>
  <c r="V886" i="17"/>
  <c r="V49" i="38" s="1"/>
  <c r="V776" i="17"/>
  <c r="W881" i="17"/>
  <c r="W44" i="38" s="1"/>
  <c r="W786" i="17"/>
  <c r="W145" i="26" s="1"/>
  <c r="W599" i="17"/>
  <c r="V881" i="17"/>
  <c r="V44" i="38" s="1"/>
  <c r="V786" i="17"/>
  <c r="V145" i="26" s="1"/>
  <c r="V599" i="17"/>
  <c r="V842" i="17"/>
  <c r="V655" i="17"/>
  <c r="V791" i="17"/>
  <c r="V150" i="26" s="1"/>
  <c r="W655" i="17"/>
  <c r="W791" i="17"/>
  <c r="W150" i="26" s="1"/>
  <c r="Y621" i="17"/>
  <c r="Y631" i="17"/>
  <c r="X621" i="17"/>
  <c r="X631" i="17"/>
  <c r="X454" i="17"/>
  <c r="X800" i="17" s="1"/>
  <c r="X65" i="37"/>
  <c r="X71" i="37" s="1"/>
  <c r="X343" i="1" s="1"/>
  <c r="X344" i="1" s="1"/>
  <c r="W32" i="38"/>
  <c r="W38" i="38" s="1"/>
  <c r="X498" i="17"/>
  <c r="Y609" i="17"/>
  <c r="Y69" i="37"/>
  <c r="Y497" i="17"/>
  <c r="Y499" i="17" s="1"/>
  <c r="Y81" i="37"/>
  <c r="Y355" i="1" s="1"/>
  <c r="Y356" i="1" s="1"/>
  <c r="Y102" i="26"/>
  <c r="Y30" i="38"/>
  <c r="Y452" i="17"/>
  <c r="Y837" i="17" s="1"/>
  <c r="Y839" i="17" s="1"/>
  <c r="Y35" i="38" s="1"/>
  <c r="X32" i="38"/>
  <c r="X38" i="38" s="1"/>
  <c r="T424" i="17"/>
  <c r="T426" i="17" s="1"/>
  <c r="T434" i="17" s="1"/>
  <c r="W842" i="17"/>
  <c r="W76" i="38"/>
  <c r="AC168" i="17"/>
  <c r="I12" i="13"/>
  <c r="I11" i="13"/>
  <c r="I17" i="13"/>
  <c r="I18" i="13"/>
  <c r="AT180" i="13"/>
  <c r="AU176" i="13" s="1"/>
  <c r="AU179" i="13" s="1"/>
  <c r="AU182" i="13" s="1"/>
  <c r="AT207" i="13"/>
  <c r="AT209" i="13" s="1"/>
  <c r="I30" i="3"/>
  <c r="G31" i="3"/>
  <c r="I31" i="3" s="1"/>
  <c r="X99" i="26" l="1"/>
  <c r="T558" i="17"/>
  <c r="X922" i="17"/>
  <c r="X633" i="17"/>
  <c r="X637" i="17"/>
  <c r="X639" i="17" s="1"/>
  <c r="Y633" i="17"/>
  <c r="Y637" i="17"/>
  <c r="Y639" i="17" s="1"/>
  <c r="Z81" i="37"/>
  <c r="Z355" i="1" s="1"/>
  <c r="Z356" i="1" s="1"/>
  <c r="Y454" i="17"/>
  <c r="Y800" i="17" s="1"/>
  <c r="Y65" i="37"/>
  <c r="Y71" i="37" s="1"/>
  <c r="Y343" i="1" s="1"/>
  <c r="Y344" i="1" s="1"/>
  <c r="Z30" i="38"/>
  <c r="Z452" i="17"/>
  <c r="Z454" i="17" s="1"/>
  <c r="Z800" i="17" s="1"/>
  <c r="Y32" i="38"/>
  <c r="Y38" i="38" s="1"/>
  <c r="Z102" i="26"/>
  <c r="Z497" i="17"/>
  <c r="Z498" i="17" s="1"/>
  <c r="Z516" i="17" s="1"/>
  <c r="Z521" i="17" s="1"/>
  <c r="Z609" i="17"/>
  <c r="Y498" i="17"/>
  <c r="Y516" i="17" s="1"/>
  <c r="Y521" i="17" s="1"/>
  <c r="Z65" i="37"/>
  <c r="Z71" i="37" s="1"/>
  <c r="Z343" i="1" s="1"/>
  <c r="U421" i="17"/>
  <c r="T430" i="17"/>
  <c r="T432" i="17" s="1"/>
  <c r="U428" i="17" s="1"/>
  <c r="U422" i="17"/>
  <c r="Z423" i="17" s="1"/>
  <c r="U429" i="17"/>
  <c r="AD168" i="17"/>
  <c r="AU180" i="13"/>
  <c r="AV176" i="13" s="1"/>
  <c r="AV179" i="13" s="1"/>
  <c r="AV180" i="13" s="1"/>
  <c r="AU207" i="13"/>
  <c r="AU209" i="13" s="1"/>
  <c r="I145" i="1"/>
  <c r="I144" i="1"/>
  <c r="I151" i="1"/>
  <c r="I142" i="1"/>
  <c r="I150" i="1"/>
  <c r="I143" i="1"/>
  <c r="I147" i="1"/>
  <c r="I146" i="1"/>
  <c r="I149" i="1"/>
  <c r="I148" i="1"/>
  <c r="G33" i="3"/>
  <c r="I240" i="1"/>
  <c r="I176" i="1"/>
  <c r="X886" i="17" l="1"/>
  <c r="X49" i="38" s="1"/>
  <c r="X776" i="17"/>
  <c r="Y886" i="17"/>
  <c r="Y49" i="38" s="1"/>
  <c r="Y776" i="17"/>
  <c r="X842" i="17"/>
  <c r="Y922" i="17"/>
  <c r="Y528" i="17"/>
  <c r="Y530" i="17" s="1"/>
  <c r="Y523" i="17"/>
  <c r="Y560" i="17" s="1"/>
  <c r="Z528" i="17"/>
  <c r="Z530" i="17" s="1"/>
  <c r="Z523" i="17"/>
  <c r="Z560" i="17" s="1"/>
  <c r="X76" i="38"/>
  <c r="Y655" i="17"/>
  <c r="Y791" i="17"/>
  <c r="Y150" i="26" s="1"/>
  <c r="X655" i="17"/>
  <c r="X791" i="17"/>
  <c r="X150" i="26" s="1"/>
  <c r="AA621" i="17"/>
  <c r="AA631" i="17"/>
  <c r="Z621" i="17"/>
  <c r="Z631" i="17"/>
  <c r="Z344" i="1"/>
  <c r="Z499" i="17"/>
  <c r="Y99" i="26"/>
  <c r="AA452" i="17"/>
  <c r="AA454" i="17" s="1"/>
  <c r="AA800" i="17" s="1"/>
  <c r="Z837" i="17"/>
  <c r="Z32" i="38" s="1"/>
  <c r="AA81" i="37"/>
  <c r="AA355" i="1" s="1"/>
  <c r="AA356" i="1" s="1"/>
  <c r="AA497" i="17"/>
  <c r="AA498" i="17" s="1"/>
  <c r="AA30" i="38"/>
  <c r="Z69" i="37"/>
  <c r="AA69" i="37"/>
  <c r="AA609" i="17"/>
  <c r="AA102" i="26"/>
  <c r="U424" i="17"/>
  <c r="V421" i="17" s="1"/>
  <c r="AE168" i="17"/>
  <c r="Z922" i="17"/>
  <c r="Z99" i="26"/>
  <c r="I136" i="17"/>
  <c r="AV182" i="13"/>
  <c r="J179" i="13"/>
  <c r="I33" i="3"/>
  <c r="G34" i="3"/>
  <c r="G36" i="3" s="1"/>
  <c r="I36" i="3" s="1"/>
  <c r="Y842" i="17" l="1"/>
  <c r="Y76" i="38"/>
  <c r="Z599" i="17"/>
  <c r="Z881" i="17"/>
  <c r="Z44" i="38" s="1"/>
  <c r="Z786" i="17"/>
  <c r="Z145" i="26" s="1"/>
  <c r="Y599" i="17"/>
  <c r="Y786" i="17"/>
  <c r="Y145" i="26" s="1"/>
  <c r="Y881" i="17"/>
  <c r="Y44" i="38" s="1"/>
  <c r="Z633" i="17"/>
  <c r="Z637" i="17"/>
  <c r="Z639" i="17" s="1"/>
  <c r="AA633" i="17"/>
  <c r="AA637" i="17"/>
  <c r="AA639" i="17" s="1"/>
  <c r="AB621" i="17"/>
  <c r="AB631" i="17"/>
  <c r="AA837" i="17"/>
  <c r="AA839" i="17" s="1"/>
  <c r="AA35" i="38" s="1"/>
  <c r="Z839" i="17"/>
  <c r="Z35" i="38" s="1"/>
  <c r="Z38" i="38" s="1"/>
  <c r="AA499" i="17"/>
  <c r="AA517" i="17" s="1"/>
  <c r="AA522" i="17" s="1"/>
  <c r="AA529" i="17" s="1"/>
  <c r="AA65" i="37"/>
  <c r="AA71" i="37" s="1"/>
  <c r="AA343" i="1" s="1"/>
  <c r="AA344" i="1" s="1"/>
  <c r="AB30" i="38"/>
  <c r="AB81" i="37"/>
  <c r="AB355" i="1" s="1"/>
  <c r="AB102" i="26"/>
  <c r="AB452" i="17"/>
  <c r="AB837" i="17" s="1"/>
  <c r="AB69" i="37"/>
  <c r="AB497" i="17"/>
  <c r="AB498" i="17" s="1"/>
  <c r="AB516" i="17" s="1"/>
  <c r="AB521" i="17" s="1"/>
  <c r="AB528" i="17" s="1"/>
  <c r="AB609" i="17"/>
  <c r="AA516" i="17"/>
  <c r="AA521" i="17" s="1"/>
  <c r="U426" i="17"/>
  <c r="U430" i="17" s="1"/>
  <c r="U432" i="17" s="1"/>
  <c r="V428" i="17" s="1"/>
  <c r="Z76" i="38"/>
  <c r="AA922" i="17"/>
  <c r="AA99" i="26"/>
  <c r="AF168" i="17"/>
  <c r="L696" i="17"/>
  <c r="L709" i="17" s="1"/>
  <c r="AV207" i="13"/>
  <c r="AV209" i="13" s="1"/>
  <c r="J182" i="13"/>
  <c r="I34" i="3"/>
  <c r="G38" i="3"/>
  <c r="I38" i="3" s="1"/>
  <c r="I327" i="1"/>
  <c r="I328" i="1"/>
  <c r="I330" i="1"/>
  <c r="I325" i="1"/>
  <c r="I326" i="1"/>
  <c r="I329" i="1"/>
  <c r="L722" i="17" l="1"/>
  <c r="L721" i="17"/>
  <c r="L771" i="17" s="1"/>
  <c r="L725" i="17"/>
  <c r="AA886" i="17"/>
  <c r="AA49" i="38" s="1"/>
  <c r="AA776" i="17"/>
  <c r="Z886" i="17"/>
  <c r="Z49" i="38" s="1"/>
  <c r="Z776" i="17"/>
  <c r="L719" i="17"/>
  <c r="L720" i="17" s="1"/>
  <c r="L731" i="17" s="1"/>
  <c r="L59" i="38" s="1"/>
  <c r="AA32" i="38"/>
  <c r="AA38" i="38" s="1"/>
  <c r="AA655" i="17"/>
  <c r="AA791" i="17"/>
  <c r="AA150" i="26" s="1"/>
  <c r="Z655" i="17"/>
  <c r="Z791" i="17"/>
  <c r="Z150" i="26" s="1"/>
  <c r="AB633" i="17"/>
  <c r="AB637" i="17"/>
  <c r="AB639" i="17" s="1"/>
  <c r="G868" i="17" a="1"/>
  <c r="G868" i="17" s="1"/>
  <c r="Z842" i="17"/>
  <c r="AB454" i="17"/>
  <c r="AB800" i="17" s="1"/>
  <c r="AC609" i="17"/>
  <c r="G870" i="17" a="1"/>
  <c r="G870" i="17" s="1"/>
  <c r="AB32" i="38"/>
  <c r="AC102" i="26"/>
  <c r="AC81" i="37"/>
  <c r="AC355" i="1" s="1"/>
  <c r="AC356" i="1" s="1"/>
  <c r="AC452" i="17"/>
  <c r="AC454" i="17" s="1"/>
  <c r="AC800" i="17" s="1"/>
  <c r="AC30" i="38"/>
  <c r="AB65" i="37"/>
  <c r="AB71" i="37" s="1"/>
  <c r="AB343" i="1" s="1"/>
  <c r="AB344" i="1" s="1"/>
  <c r="AC69" i="37"/>
  <c r="AC497" i="17"/>
  <c r="AC499" i="17" s="1"/>
  <c r="AA528" i="17"/>
  <c r="AA530" i="17" s="1"/>
  <c r="AA881" i="17" s="1"/>
  <c r="AA523" i="17"/>
  <c r="AA560" i="17" s="1"/>
  <c r="AB839" i="17"/>
  <c r="AB35" i="38" s="1"/>
  <c r="AB499" i="17"/>
  <c r="AB517" i="17" s="1"/>
  <c r="AB522" i="17" s="1"/>
  <c r="AB529" i="17" s="1"/>
  <c r="AB530" i="17" s="1"/>
  <c r="AB356" i="1"/>
  <c r="U434" i="17"/>
  <c r="V422" i="17"/>
  <c r="AA423" i="17" s="1"/>
  <c r="V429" i="17"/>
  <c r="AA842" i="17"/>
  <c r="AA76" i="38"/>
  <c r="AG168" i="17"/>
  <c r="L697" i="17"/>
  <c r="M693" i="17" s="1"/>
  <c r="M694" i="17" s="1"/>
  <c r="J207" i="13"/>
  <c r="G40" i="3"/>
  <c r="L928" i="17" l="1"/>
  <c r="L805" i="17"/>
  <c r="AB886" i="17"/>
  <c r="AB49" i="38" s="1"/>
  <c r="AB776" i="17"/>
  <c r="L732" i="17"/>
  <c r="L60" i="38" s="1"/>
  <c r="L61" i="38" s="1"/>
  <c r="AB99" i="26"/>
  <c r="U558" i="17"/>
  <c r="D158" i="43"/>
  <c r="D156" i="43"/>
  <c r="G912" i="17" a="1"/>
  <c r="G912" i="17" s="1"/>
  <c r="D171" i="43" s="1"/>
  <c r="AB655" i="17"/>
  <c r="AB791" i="17"/>
  <c r="AB150" i="26" s="1"/>
  <c r="AD621" i="17"/>
  <c r="AD631" i="17"/>
  <c r="AC621" i="17"/>
  <c r="AC631" i="17"/>
  <c r="AB922" i="17"/>
  <c r="AC65" i="37"/>
  <c r="AC71" i="37" s="1"/>
  <c r="AC343" i="1" s="1"/>
  <c r="AC344" i="1" s="1"/>
  <c r="AC498" i="17"/>
  <c r="AC516" i="17" s="1"/>
  <c r="AC521" i="17" s="1"/>
  <c r="AC528" i="17" s="1"/>
  <c r="AC530" i="17" s="1"/>
  <c r="AD65" i="37"/>
  <c r="AD71" i="37" s="1"/>
  <c r="AD343" i="1" s="1"/>
  <c r="AD497" i="17"/>
  <c r="AD498" i="17" s="1"/>
  <c r="AD516" i="17" s="1"/>
  <c r="AD521" i="17" s="1"/>
  <c r="AD523" i="17" s="1"/>
  <c r="AD560" i="17" s="1"/>
  <c r="AD81" i="37"/>
  <c r="AD355" i="1" s="1"/>
  <c r="AD356" i="1" s="1"/>
  <c r="AD102" i="26"/>
  <c r="AC837" i="17"/>
  <c r="AC839" i="17" s="1"/>
  <c r="AC35" i="38" s="1"/>
  <c r="AB38" i="38"/>
  <c r="AD452" i="17"/>
  <c r="AD837" i="17" s="1"/>
  <c r="AD839" i="17" s="1"/>
  <c r="AD35" i="38" s="1"/>
  <c r="AD609" i="17"/>
  <c r="AD30" i="38"/>
  <c r="AA786" i="17"/>
  <c r="AA145" i="26" s="1"/>
  <c r="G872" i="17" a="1"/>
  <c r="G872" i="17" s="1"/>
  <c r="AA599" i="17"/>
  <c r="AA44" i="38"/>
  <c r="J522" i="17"/>
  <c r="AB523" i="17"/>
  <c r="AB560" i="17" s="1"/>
  <c r="J529" i="17"/>
  <c r="AB599" i="17"/>
  <c r="AB881" i="17"/>
  <c r="AB44" i="38" s="1"/>
  <c r="AB786" i="17"/>
  <c r="AB145" i="26" s="1"/>
  <c r="V424" i="17"/>
  <c r="V426" i="17" s="1"/>
  <c r="AC922" i="17"/>
  <c r="AC99" i="26"/>
  <c r="AH168" i="17"/>
  <c r="L789" i="17"/>
  <c r="L148" i="26" s="1"/>
  <c r="L884" i="17"/>
  <c r="J209" i="13"/>
  <c r="AV211" i="13"/>
  <c r="I40" i="3"/>
  <c r="G41" i="3"/>
  <c r="L47" i="38" l="1"/>
  <c r="L736" i="17"/>
  <c r="L757" i="17"/>
  <c r="AB842" i="17"/>
  <c r="M702" i="17"/>
  <c r="M703" i="17" s="1"/>
  <c r="D160" i="43"/>
  <c r="AB76" i="38"/>
  <c r="AC633" i="17"/>
  <c r="AC637" i="17"/>
  <c r="AC639" i="17" s="1"/>
  <c r="AD633" i="17"/>
  <c r="AD637" i="17"/>
  <c r="AD639" i="17" s="1"/>
  <c r="AE621" i="17"/>
  <c r="AE631" i="17"/>
  <c r="AD69" i="37"/>
  <c r="AD499" i="17"/>
  <c r="AC523" i="17"/>
  <c r="AC560" i="17" s="1"/>
  <c r="AD344" i="1"/>
  <c r="AD32" i="38"/>
  <c r="AD38" i="38" s="1"/>
  <c r="AD454" i="17"/>
  <c r="AD800" i="17" s="1"/>
  <c r="AC32" i="38"/>
  <c r="AC38" i="38" s="1"/>
  <c r="AE609" i="17"/>
  <c r="AE81" i="37"/>
  <c r="AE355" i="1" s="1"/>
  <c r="AE69" i="37"/>
  <c r="AE30" i="38"/>
  <c r="AE497" i="17"/>
  <c r="AE498" i="17" s="1"/>
  <c r="AE516" i="17" s="1"/>
  <c r="AE521" i="17" s="1"/>
  <c r="AE452" i="17"/>
  <c r="AE837" i="17" s="1"/>
  <c r="AE839" i="17" s="1"/>
  <c r="AE102" i="26"/>
  <c r="G907" i="17" a="1"/>
  <c r="G907" i="17" s="1"/>
  <c r="AC881" i="17"/>
  <c r="AC44" i="38" s="1"/>
  <c r="AC786" i="17"/>
  <c r="AC145" i="26" s="1"/>
  <c r="AC599" i="17"/>
  <c r="AD528" i="17"/>
  <c r="AD530" i="17" s="1"/>
  <c r="M696" i="17"/>
  <c r="M709" i="17" s="1"/>
  <c r="W421" i="17"/>
  <c r="V430" i="17"/>
  <c r="V432" i="17" s="1"/>
  <c r="W428" i="17" s="1"/>
  <c r="V434" i="17"/>
  <c r="W422" i="17"/>
  <c r="AB423" i="17" s="1"/>
  <c r="W429" i="17"/>
  <c r="AC842" i="17"/>
  <c r="AC76" i="38"/>
  <c r="AI168" i="17"/>
  <c r="AV216" i="13"/>
  <c r="G42" i="3"/>
  <c r="G43" i="3" s="1"/>
  <c r="I43" i="3" s="1"/>
  <c r="I41" i="3"/>
  <c r="AD886" i="17" l="1"/>
  <c r="AD49" i="38" s="1"/>
  <c r="AD776" i="17"/>
  <c r="AC886" i="17"/>
  <c r="AC49" i="38" s="1"/>
  <c r="AC776" i="17"/>
  <c r="L750" i="17"/>
  <c r="L92" i="37" s="1"/>
  <c r="AD922" i="17"/>
  <c r="AD76" i="38" s="1"/>
  <c r="M719" i="17"/>
  <c r="M720" i="17" s="1"/>
  <c r="M731" i="17" s="1"/>
  <c r="N706" i="17"/>
  <c r="N542" i="17" s="1"/>
  <c r="N544" i="17" s="1"/>
  <c r="N559" i="17" s="1"/>
  <c r="N561" i="17" s="1"/>
  <c r="N563" i="17" s="1"/>
  <c r="N568" i="17" s="1"/>
  <c r="N570" i="17" s="1"/>
  <c r="O569" i="17" s="1"/>
  <c r="M722" i="17"/>
  <c r="M928" i="17" s="1"/>
  <c r="V558" i="17"/>
  <c r="D166" i="43"/>
  <c r="AD655" i="17"/>
  <c r="AD791" i="17"/>
  <c r="AD150" i="26" s="1"/>
  <c r="AC655" i="17"/>
  <c r="AC791" i="17"/>
  <c r="AC150" i="26" s="1"/>
  <c r="AE633" i="17"/>
  <c r="AE637" i="17"/>
  <c r="AE639" i="17" s="1"/>
  <c r="AF621" i="17"/>
  <c r="AF631" i="17"/>
  <c r="AD99" i="26"/>
  <c r="AF69" i="37"/>
  <c r="AF452" i="17"/>
  <c r="AF837" i="17" s="1"/>
  <c r="AF839" i="17" s="1"/>
  <c r="AF35" i="38" s="1"/>
  <c r="AE499" i="17"/>
  <c r="AF81" i="37"/>
  <c r="AF355" i="1" s="1"/>
  <c r="AF356" i="1" s="1"/>
  <c r="AE65" i="37"/>
  <c r="AE71" i="37" s="1"/>
  <c r="AE343" i="1" s="1"/>
  <c r="AE344" i="1" s="1"/>
  <c r="AE32" i="38"/>
  <c r="AF30" i="38"/>
  <c r="AE454" i="17"/>
  <c r="AE800" i="17" s="1"/>
  <c r="AF609" i="17"/>
  <c r="AF497" i="17"/>
  <c r="AF498" i="17" s="1"/>
  <c r="AF516" i="17" s="1"/>
  <c r="AF521" i="17" s="1"/>
  <c r="AF102" i="26"/>
  <c r="AE35" i="38"/>
  <c r="AD881" i="17"/>
  <c r="AD44" i="38" s="1"/>
  <c r="AE523" i="17"/>
  <c r="AE560" i="17" s="1"/>
  <c r="AE528" i="17"/>
  <c r="AE530" i="17" s="1"/>
  <c r="AD599" i="17"/>
  <c r="AD786" i="17"/>
  <c r="AD145" i="26" s="1"/>
  <c r="M697" i="17"/>
  <c r="N693" i="17" s="1"/>
  <c r="N694" i="17" s="1"/>
  <c r="AE356" i="1"/>
  <c r="W424" i="17"/>
  <c r="AJ168" i="17"/>
  <c r="I42" i="3"/>
  <c r="G44" i="3"/>
  <c r="I44" i="3" s="1"/>
  <c r="AE886" i="17" l="1"/>
  <c r="AE49" i="38" s="1"/>
  <c r="AE776" i="17"/>
  <c r="L752" i="17"/>
  <c r="M732" i="17"/>
  <c r="M60" i="38" s="1"/>
  <c r="M59" i="38"/>
  <c r="AD842" i="17"/>
  <c r="M805" i="17"/>
  <c r="AE922" i="17"/>
  <c r="AE76" i="38" s="1"/>
  <c r="N573" i="17"/>
  <c r="N581" i="17" s="1"/>
  <c r="N583" i="17" s="1"/>
  <c r="N598" i="17" s="1"/>
  <c r="N600" i="17" s="1"/>
  <c r="N602" i="17" s="1"/>
  <c r="N56" i="38" s="1"/>
  <c r="M721" i="17"/>
  <c r="M771" i="17" s="1"/>
  <c r="M725" i="17"/>
  <c r="M884" i="17" s="1"/>
  <c r="N702" i="17"/>
  <c r="N703" i="17" s="1"/>
  <c r="AE655" i="17"/>
  <c r="AE791" i="17"/>
  <c r="AE150" i="26" s="1"/>
  <c r="AF633" i="17"/>
  <c r="AF637" i="17"/>
  <c r="AF639" i="17" s="1"/>
  <c r="AG621" i="17"/>
  <c r="AG631" i="17"/>
  <c r="AF32" i="38"/>
  <c r="AF38" i="38" s="1"/>
  <c r="AF65" i="37"/>
  <c r="AF71" i="37" s="1"/>
  <c r="AF343" i="1" s="1"/>
  <c r="AF344" i="1" s="1"/>
  <c r="AE99" i="26"/>
  <c r="AF499" i="17"/>
  <c r="AF454" i="17"/>
  <c r="AF800" i="17" s="1"/>
  <c r="AE38" i="38"/>
  <c r="AG497" i="17"/>
  <c r="AG499" i="17" s="1"/>
  <c r="AG65" i="37"/>
  <c r="AG71" i="37" s="1"/>
  <c r="AG343" i="1" s="1"/>
  <c r="AG452" i="17"/>
  <c r="AG837" i="17" s="1"/>
  <c r="AG839" i="17" s="1"/>
  <c r="AG102" i="26"/>
  <c r="AG81" i="37"/>
  <c r="AG355" i="1" s="1"/>
  <c r="AG356" i="1" s="1"/>
  <c r="AG30" i="38"/>
  <c r="AG609" i="17"/>
  <c r="AF528" i="17"/>
  <c r="AF523" i="17"/>
  <c r="AE599" i="17"/>
  <c r="AE881" i="17"/>
  <c r="AE786" i="17"/>
  <c r="AE145" i="26" s="1"/>
  <c r="X422" i="17"/>
  <c r="AC423" i="17" s="1"/>
  <c r="X429" i="17"/>
  <c r="X421" i="17"/>
  <c r="W426" i="17"/>
  <c r="AK168" i="17"/>
  <c r="G45" i="3"/>
  <c r="G46" i="3" s="1"/>
  <c r="G47" i="3" s="1"/>
  <c r="I47" i="3" s="1"/>
  <c r="L889" i="17" l="1"/>
  <c r="L51" i="38" s="1"/>
  <c r="L64" i="38"/>
  <c r="L804" i="17"/>
  <c r="L924" i="17" s="1"/>
  <c r="L78" i="38" s="1"/>
  <c r="AF886" i="17"/>
  <c r="AF49" i="38" s="1"/>
  <c r="AF776" i="17"/>
  <c r="M47" i="38"/>
  <c r="L794" i="17"/>
  <c r="L153" i="26" s="1"/>
  <c r="L758" i="17"/>
  <c r="L759" i="17" s="1"/>
  <c r="L760" i="17" s="1"/>
  <c r="M757" i="17"/>
  <c r="M736" i="17"/>
  <c r="M61" i="38"/>
  <c r="L93" i="37"/>
  <c r="AE842" i="17"/>
  <c r="M789" i="17"/>
  <c r="M148" i="26" s="1"/>
  <c r="AF922" i="17"/>
  <c r="AF76" i="38" s="1"/>
  <c r="N880" i="17"/>
  <c r="N43" i="38" s="1"/>
  <c r="N785" i="17"/>
  <c r="N144" i="26" s="1"/>
  <c r="O706" i="17"/>
  <c r="O542" i="17" s="1"/>
  <c r="O544" i="17" s="1"/>
  <c r="O559" i="17" s="1"/>
  <c r="O561" i="17" s="1"/>
  <c r="O563" i="17" s="1"/>
  <c r="O568" i="17" s="1"/>
  <c r="O570" i="17" s="1"/>
  <c r="O573" i="17" s="1"/>
  <c r="O581" i="17" s="1"/>
  <c r="O583" i="17" s="1"/>
  <c r="AF655" i="17"/>
  <c r="AF791" i="17"/>
  <c r="AF150" i="26" s="1"/>
  <c r="AG633" i="17"/>
  <c r="AG637" i="17"/>
  <c r="AG639" i="17" s="1"/>
  <c r="AH621" i="17"/>
  <c r="AH631" i="17"/>
  <c r="AG344" i="1"/>
  <c r="AF99" i="26"/>
  <c r="AG69" i="37"/>
  <c r="AG454" i="17"/>
  <c r="AG800" i="17" s="1"/>
  <c r="AG32" i="38"/>
  <c r="AH102" i="26"/>
  <c r="AH497" i="17"/>
  <c r="AH499" i="17" s="1"/>
  <c r="AH81" i="37"/>
  <c r="AH355" i="1" s="1"/>
  <c r="AH69" i="37"/>
  <c r="AH452" i="17"/>
  <c r="AH837" i="17" s="1"/>
  <c r="AH32" i="38" s="1"/>
  <c r="AH609" i="17"/>
  <c r="AH30" i="38"/>
  <c r="AG498" i="17"/>
  <c r="AG516" i="17" s="1"/>
  <c r="AG521" i="17" s="1"/>
  <c r="AG523" i="17" s="1"/>
  <c r="AG560" i="17" s="1"/>
  <c r="AG35" i="38"/>
  <c r="AF560" i="17"/>
  <c r="AF530" i="17"/>
  <c r="AE44" i="38"/>
  <c r="N730" i="17"/>
  <c r="N696" i="17"/>
  <c r="X424" i="17"/>
  <c r="X426" i="17" s="1"/>
  <c r="X434" i="17" s="1"/>
  <c r="W430" i="17"/>
  <c r="W432" i="17" s="1"/>
  <c r="X428" i="17" s="1"/>
  <c r="W434" i="17"/>
  <c r="AL168" i="17"/>
  <c r="I46" i="3"/>
  <c r="I45" i="3"/>
  <c r="G48" i="3"/>
  <c r="N719" i="17" l="1"/>
  <c r="N720" i="17" s="1"/>
  <c r="N731" i="17" s="1"/>
  <c r="N59" i="38" s="1"/>
  <c r="N709" i="17"/>
  <c r="N722" i="17" s="1"/>
  <c r="N928" i="17" s="1"/>
  <c r="AG886" i="17"/>
  <c r="AG49" i="38" s="1"/>
  <c r="AG776" i="17"/>
  <c r="L763" i="17"/>
  <c r="L790" i="17" s="1"/>
  <c r="L765" i="17"/>
  <c r="L65" i="38"/>
  <c r="L66" i="38" s="1"/>
  <c r="L769" i="17"/>
  <c r="L69" i="38" s="1"/>
  <c r="M750" i="17"/>
  <c r="M752" i="17" s="1"/>
  <c r="AF842" i="17"/>
  <c r="AG922" i="17"/>
  <c r="AG76" i="38" s="1"/>
  <c r="L71" i="38"/>
  <c r="N49" i="37"/>
  <c r="N50" i="37" s="1"/>
  <c r="N721" i="17"/>
  <c r="N771" i="17" s="1"/>
  <c r="P569" i="17"/>
  <c r="X558" i="17"/>
  <c r="W558" i="17"/>
  <c r="AG655" i="17"/>
  <c r="AG791" i="17"/>
  <c r="AG150" i="26" s="1"/>
  <c r="AH633" i="17"/>
  <c r="AH637" i="17"/>
  <c r="AH639" i="17" s="1"/>
  <c r="AI621" i="17"/>
  <c r="AI631" i="17"/>
  <c r="AG99" i="26"/>
  <c r="AI30" i="38"/>
  <c r="AG38" i="38"/>
  <c r="AI609" i="17"/>
  <c r="AI452" i="17"/>
  <c r="AI837" i="17" s="1"/>
  <c r="AI839" i="17" s="1"/>
  <c r="AI35" i="38" s="1"/>
  <c r="AI65" i="37"/>
  <c r="AI71" i="37" s="1"/>
  <c r="AI343" i="1" s="1"/>
  <c r="AI497" i="17"/>
  <c r="AI499" i="17" s="1"/>
  <c r="AI102" i="26"/>
  <c r="AH454" i="17"/>
  <c r="AH800" i="17" s="1"/>
  <c r="AI81" i="37"/>
  <c r="AI355" i="1" s="1"/>
  <c r="AI356" i="1" s="1"/>
  <c r="AH65" i="37"/>
  <c r="AH71" i="37" s="1"/>
  <c r="AH343" i="1" s="1"/>
  <c r="AH344" i="1" s="1"/>
  <c r="AH498" i="17"/>
  <c r="AH516" i="17" s="1"/>
  <c r="AH521" i="17" s="1"/>
  <c r="AH528" i="17" s="1"/>
  <c r="AH530" i="17" s="1"/>
  <c r="AH786" i="17" s="1"/>
  <c r="AH145" i="26" s="1"/>
  <c r="AG528" i="17"/>
  <c r="AG530" i="17" s="1"/>
  <c r="AG881" i="17" s="1"/>
  <c r="AG44" i="38" s="1"/>
  <c r="AH839" i="17"/>
  <c r="AH35" i="38" s="1"/>
  <c r="AH38" i="38" s="1"/>
  <c r="O880" i="17"/>
  <c r="O43" i="38" s="1"/>
  <c r="AF786" i="17"/>
  <c r="AF145" i="26" s="1"/>
  <c r="AF881" i="17"/>
  <c r="AF599" i="17"/>
  <c r="O598" i="17"/>
  <c r="O600" i="17" s="1"/>
  <c r="O602" i="17" s="1"/>
  <c r="O56" i="38" s="1"/>
  <c r="O785" i="17"/>
  <c r="O144" i="26" s="1"/>
  <c r="AH356" i="1"/>
  <c r="Y421" i="17"/>
  <c r="X430" i="17"/>
  <c r="X432" i="17" s="1"/>
  <c r="Y428" i="17" s="1"/>
  <c r="Y422" i="17"/>
  <c r="Y429" i="17"/>
  <c r="AM168" i="17"/>
  <c r="N697" i="17"/>
  <c r="O693" i="17" s="1"/>
  <c r="O694" i="17" s="1"/>
  <c r="I48" i="3"/>
  <c r="G49" i="3"/>
  <c r="I49" i="3" s="1"/>
  <c r="G50" i="3"/>
  <c r="I50" i="3" s="1"/>
  <c r="N805" i="17" l="1"/>
  <c r="N725" i="17"/>
  <c r="N884" i="17" s="1"/>
  <c r="M804" i="17"/>
  <c r="M924" i="17" s="1"/>
  <c r="M78" i="38" s="1"/>
  <c r="M64" i="38"/>
  <c r="AH886" i="17"/>
  <c r="AH49" i="38" s="1"/>
  <c r="AH776" i="17"/>
  <c r="L885" i="17"/>
  <c r="L48" i="38" s="1"/>
  <c r="L58" i="37"/>
  <c r="L770" i="17"/>
  <c r="L772" i="17" s="1"/>
  <c r="L766" i="17"/>
  <c r="L775" i="17" s="1"/>
  <c r="L777" i="17" s="1"/>
  <c r="M889" i="17"/>
  <c r="M758" i="17"/>
  <c r="M759" i="17" s="1"/>
  <c r="M760" i="17" s="1"/>
  <c r="M794" i="17"/>
  <c r="M92" i="37"/>
  <c r="M93" i="37" s="1"/>
  <c r="AG842" i="17"/>
  <c r="AH922" i="17"/>
  <c r="AH842" i="17" s="1"/>
  <c r="AH655" i="17"/>
  <c r="AH791" i="17"/>
  <c r="AH150" i="26" s="1"/>
  <c r="AI633" i="17"/>
  <c r="AI637" i="17"/>
  <c r="AI639" i="17" s="1"/>
  <c r="AJ621" i="17"/>
  <c r="AJ631" i="17"/>
  <c r="AI32" i="38"/>
  <c r="AI38" i="38" s="1"/>
  <c r="AI69" i="37"/>
  <c r="AI498" i="17"/>
  <c r="AI516" i="17" s="1"/>
  <c r="AI521" i="17" s="1"/>
  <c r="AI528" i="17" s="1"/>
  <c r="AI454" i="17"/>
  <c r="AI800" i="17" s="1"/>
  <c r="AJ69" i="37"/>
  <c r="AJ452" i="17"/>
  <c r="AJ454" i="17" s="1"/>
  <c r="AJ800" i="17" s="1"/>
  <c r="AJ81" i="37"/>
  <c r="AJ355" i="1" s="1"/>
  <c r="AJ609" i="17"/>
  <c r="AJ30" i="38"/>
  <c r="AJ497" i="17"/>
  <c r="AJ498" i="17" s="1"/>
  <c r="AJ516" i="17" s="1"/>
  <c r="AJ521" i="17" s="1"/>
  <c r="AJ102" i="26"/>
  <c r="AH99" i="26"/>
  <c r="AI344" i="1"/>
  <c r="AH881" i="17"/>
  <c r="AH44" i="38" s="1"/>
  <c r="AH599" i="17"/>
  <c r="AH523" i="17"/>
  <c r="AH560" i="17" s="1"/>
  <c r="AG786" i="17"/>
  <c r="AG145" i="26" s="1"/>
  <c r="AG599" i="17"/>
  <c r="AF44" i="38"/>
  <c r="O730" i="17"/>
  <c r="O49" i="37"/>
  <c r="O50" i="37" s="1"/>
  <c r="Y424" i="17"/>
  <c r="Y426" i="17" s="1"/>
  <c r="AD423" i="17"/>
  <c r="L149" i="26"/>
  <c r="AN168" i="17"/>
  <c r="N789" i="17"/>
  <c r="N148" i="26" s="1"/>
  <c r="N732" i="17"/>
  <c r="N60" i="38" s="1"/>
  <c r="G51" i="3"/>
  <c r="I51" i="3" s="1"/>
  <c r="L70" i="38" l="1"/>
  <c r="AI886" i="17"/>
  <c r="AI49" i="38" s="1"/>
  <c r="AI776" i="17"/>
  <c r="M763" i="17"/>
  <c r="M790" i="17" s="1"/>
  <c r="M765" i="17"/>
  <c r="M51" i="38"/>
  <c r="N47" i="38"/>
  <c r="AH76" i="38"/>
  <c r="AI99" i="26"/>
  <c r="O702" i="17"/>
  <c r="O703" i="17" s="1"/>
  <c r="P706" i="17" s="1"/>
  <c r="P542" i="17" s="1"/>
  <c r="O696" i="17"/>
  <c r="AI655" i="17"/>
  <c r="AI791" i="17"/>
  <c r="AI150" i="26" s="1"/>
  <c r="AJ633" i="17"/>
  <c r="AJ637" i="17"/>
  <c r="AJ639" i="17" s="1"/>
  <c r="AI922" i="17"/>
  <c r="AK621" i="17"/>
  <c r="AK631" i="17"/>
  <c r="AI523" i="17"/>
  <c r="AI560" i="17" s="1"/>
  <c r="AJ65" i="37"/>
  <c r="AJ71" i="37" s="1"/>
  <c r="AJ343" i="1" s="1"/>
  <c r="AJ344" i="1" s="1"/>
  <c r="AJ837" i="17"/>
  <c r="AJ32" i="38" s="1"/>
  <c r="AJ499" i="17"/>
  <c r="AK609" i="17"/>
  <c r="AK81" i="37"/>
  <c r="AK355" i="1" s="1"/>
  <c r="AK356" i="1" s="1"/>
  <c r="AK102" i="26"/>
  <c r="AK497" i="17"/>
  <c r="AK498" i="17" s="1"/>
  <c r="AK516" i="17" s="1"/>
  <c r="AK521" i="17" s="1"/>
  <c r="AK69" i="37"/>
  <c r="AK30" i="38"/>
  <c r="AK452" i="17"/>
  <c r="AK454" i="17" s="1"/>
  <c r="AK800" i="17" s="1"/>
  <c r="M65" i="38"/>
  <c r="M66" i="38" s="1"/>
  <c r="M769" i="17"/>
  <c r="M153" i="26"/>
  <c r="AJ528" i="17"/>
  <c r="AJ530" i="17" s="1"/>
  <c r="AJ523" i="17"/>
  <c r="AJ560" i="17" s="1"/>
  <c r="AI530" i="17"/>
  <c r="AJ356" i="1"/>
  <c r="Z421" i="17"/>
  <c r="Y430" i="17"/>
  <c r="Y432" i="17" s="1"/>
  <c r="Z428" i="17" s="1"/>
  <c r="Y434" i="17"/>
  <c r="Z422" i="17"/>
  <c r="Z429" i="17"/>
  <c r="AJ922" i="17"/>
  <c r="AJ99" i="26"/>
  <c r="AO168" i="17"/>
  <c r="N61" i="38"/>
  <c r="L802" i="17"/>
  <c r="L72" i="38"/>
  <c r="N757" i="17"/>
  <c r="N736" i="17"/>
  <c r="N750" i="17" s="1"/>
  <c r="G52" i="3"/>
  <c r="I52" i="3" s="1"/>
  <c r="O719" i="17" l="1"/>
  <c r="O720" i="17" s="1"/>
  <c r="O731" i="17" s="1"/>
  <c r="O59" i="38" s="1"/>
  <c r="O709" i="17"/>
  <c r="O722" i="17" s="1"/>
  <c r="O928" i="17" s="1"/>
  <c r="L73" i="38"/>
  <c r="AJ886" i="17"/>
  <c r="AJ49" i="38" s="1"/>
  <c r="AJ776" i="17"/>
  <c r="M770" i="17"/>
  <c r="M772" i="17" s="1"/>
  <c r="M58" i="37"/>
  <c r="M885" i="17"/>
  <c r="M48" i="38" s="1"/>
  <c r="M766" i="17"/>
  <c r="M775" i="17" s="1"/>
  <c r="M777" i="17" s="1"/>
  <c r="O697" i="17"/>
  <c r="P693" i="17" s="1"/>
  <c r="P694" i="17" s="1"/>
  <c r="N92" i="37"/>
  <c r="N752" i="17"/>
  <c r="AI76" i="38"/>
  <c r="M69" i="38"/>
  <c r="M71" i="38"/>
  <c r="Y558" i="17"/>
  <c r="AI842" i="17"/>
  <c r="AJ655" i="17"/>
  <c r="AJ791" i="17"/>
  <c r="AJ150" i="26" s="1"/>
  <c r="AJ839" i="17"/>
  <c r="AJ35" i="38" s="1"/>
  <c r="AJ38" i="38" s="1"/>
  <c r="AK633" i="17"/>
  <c r="AK637" i="17"/>
  <c r="AK639" i="17" s="1"/>
  <c r="AL621" i="17"/>
  <c r="AL631" i="17"/>
  <c r="AK837" i="17"/>
  <c r="AK839" i="17" s="1"/>
  <c r="AK35" i="38" s="1"/>
  <c r="AL81" i="37"/>
  <c r="AL355" i="1" s="1"/>
  <c r="AL356" i="1" s="1"/>
  <c r="AL452" i="17"/>
  <c r="AL837" i="17" s="1"/>
  <c r="AL32" i="38" s="1"/>
  <c r="AL30" i="38"/>
  <c r="AL102" i="26"/>
  <c r="AL69" i="37"/>
  <c r="AL609" i="17"/>
  <c r="AL497" i="17"/>
  <c r="AL499" i="17" s="1"/>
  <c r="AK65" i="37"/>
  <c r="AK71" i="37" s="1"/>
  <c r="AK343" i="1" s="1"/>
  <c r="AK344" i="1" s="1"/>
  <c r="AK499" i="17"/>
  <c r="AK528" i="17"/>
  <c r="AK530" i="17" s="1"/>
  <c r="AK523" i="17"/>
  <c r="AK560" i="17" s="1"/>
  <c r="AJ881" i="17"/>
  <c r="AJ44" i="38" s="1"/>
  <c r="AJ786" i="17"/>
  <c r="AJ145" i="26" s="1"/>
  <c r="AJ599" i="17"/>
  <c r="AI599" i="17"/>
  <c r="AI881" i="17"/>
  <c r="AI786" i="17"/>
  <c r="AI145" i="26" s="1"/>
  <c r="Z424" i="17"/>
  <c r="AA421" i="17" s="1"/>
  <c r="AE423" i="17"/>
  <c r="P544" i="17"/>
  <c r="P559" i="17" s="1"/>
  <c r="M149" i="26"/>
  <c r="AJ76" i="38"/>
  <c r="AK922" i="17"/>
  <c r="AK99" i="26"/>
  <c r="AP168" i="17"/>
  <c r="L926" i="17"/>
  <c r="G53" i="3"/>
  <c r="I53" i="3" s="1"/>
  <c r="M211" i="13"/>
  <c r="M216" i="13" s="1"/>
  <c r="N211" i="13"/>
  <c r="N216" i="13" s="1"/>
  <c r="O211" i="13"/>
  <c r="O216" i="13" s="1"/>
  <c r="P211" i="13"/>
  <c r="P216" i="13" s="1"/>
  <c r="R211" i="13"/>
  <c r="R216" i="13" s="1"/>
  <c r="S211" i="13"/>
  <c r="S216" i="13" s="1"/>
  <c r="T211" i="13"/>
  <c r="T216" i="13" s="1"/>
  <c r="U211" i="13"/>
  <c r="U216" i="13" s="1"/>
  <c r="V211" i="13"/>
  <c r="V216" i="13" s="1"/>
  <c r="W211" i="13"/>
  <c r="W216" i="13" s="1"/>
  <c r="X211" i="13"/>
  <c r="X216" i="13" s="1"/>
  <c r="Y211" i="13"/>
  <c r="Y216" i="13" s="1"/>
  <c r="Z211" i="13"/>
  <c r="Z216" i="13" s="1"/>
  <c r="AA211" i="13"/>
  <c r="AA216" i="13" s="1"/>
  <c r="AB211" i="13"/>
  <c r="AB216" i="13" s="1"/>
  <c r="AC211" i="13"/>
  <c r="AC216" i="13" s="1"/>
  <c r="AD211" i="13"/>
  <c r="AD216" i="13" s="1"/>
  <c r="AE211" i="13"/>
  <c r="AE216" i="13" s="1"/>
  <c r="AF211" i="13"/>
  <c r="AF216" i="13" s="1"/>
  <c r="AG211" i="13"/>
  <c r="AG216" i="13" s="1"/>
  <c r="AH211" i="13"/>
  <c r="AH216" i="13" s="1"/>
  <c r="AI211" i="13"/>
  <c r="AI216" i="13" s="1"/>
  <c r="AJ211" i="13"/>
  <c r="AJ216" i="13" s="1"/>
  <c r="AK211" i="13"/>
  <c r="AK216" i="13" s="1"/>
  <c r="AL211" i="13"/>
  <c r="AL216" i="13" s="1"/>
  <c r="AM211" i="13"/>
  <c r="AM216" i="13" s="1"/>
  <c r="AN211" i="13"/>
  <c r="AN216" i="13" s="1"/>
  <c r="AO211" i="13"/>
  <c r="AO216" i="13" s="1"/>
  <c r="AP211" i="13"/>
  <c r="AP216" i="13" s="1"/>
  <c r="AQ211" i="13"/>
  <c r="AQ216" i="13" s="1"/>
  <c r="AR211" i="13"/>
  <c r="AR216" i="13" s="1"/>
  <c r="AS211" i="13"/>
  <c r="AS216" i="13" s="1"/>
  <c r="AT211" i="13"/>
  <c r="AT216" i="13" s="1"/>
  <c r="AU211" i="13"/>
  <c r="AU216" i="13" s="1"/>
  <c r="O732" i="17" l="1"/>
  <c r="O60" i="38" s="1"/>
  <c r="O61" i="38" s="1"/>
  <c r="N804" i="17"/>
  <c r="N64" i="38"/>
  <c r="AK886" i="17"/>
  <c r="AK49" i="38" s="1"/>
  <c r="AK776" i="17"/>
  <c r="M70" i="38"/>
  <c r="O725" i="17"/>
  <c r="O789" i="17" s="1"/>
  <c r="O148" i="26" s="1"/>
  <c r="O721" i="17"/>
  <c r="O771" i="17" s="1"/>
  <c r="O805" i="17"/>
  <c r="N794" i="17"/>
  <c r="N758" i="17"/>
  <c r="N889" i="17"/>
  <c r="P702" i="17"/>
  <c r="P703" i="17" s="1"/>
  <c r="Q706" i="17" s="1"/>
  <c r="Q542" i="17" s="1"/>
  <c r="Q544" i="17" s="1"/>
  <c r="Q559" i="17" s="1"/>
  <c r="AK32" i="38"/>
  <c r="AK38" i="38" s="1"/>
  <c r="AK655" i="17"/>
  <c r="AK791" i="17"/>
  <c r="AK150" i="26" s="1"/>
  <c r="AJ842" i="17"/>
  <c r="AL454" i="17"/>
  <c r="AL800" i="17" s="1"/>
  <c r="AL633" i="17"/>
  <c r="AL637" i="17"/>
  <c r="AL639" i="17" s="1"/>
  <c r="AM30" i="38"/>
  <c r="AM65" i="37"/>
  <c r="AM71" i="37" s="1"/>
  <c r="AM343" i="1" s="1"/>
  <c r="AM102" i="26"/>
  <c r="AM609" i="17"/>
  <c r="AM497" i="17"/>
  <c r="AM498" i="17" s="1"/>
  <c r="AM516" i="17" s="1"/>
  <c r="AM521" i="17" s="1"/>
  <c r="AM452" i="17"/>
  <c r="AM454" i="17" s="1"/>
  <c r="AM800" i="17" s="1"/>
  <c r="AM81" i="37"/>
  <c r="AM355" i="1" s="1"/>
  <c r="AM356" i="1" s="1"/>
  <c r="AL65" i="37"/>
  <c r="AL71" i="37" s="1"/>
  <c r="AL343" i="1" s="1"/>
  <c r="AL344" i="1" s="1"/>
  <c r="AL498" i="17"/>
  <c r="AL516" i="17" s="1"/>
  <c r="AL521" i="17" s="1"/>
  <c r="AL523" i="17" s="1"/>
  <c r="AK881" i="17"/>
  <c r="AK44" i="38" s="1"/>
  <c r="AK599" i="17"/>
  <c r="AK786" i="17"/>
  <c r="AK145" i="26" s="1"/>
  <c r="AL839" i="17"/>
  <c r="AL35" i="38" s="1"/>
  <c r="AL38" i="38" s="1"/>
  <c r="AI44" i="38"/>
  <c r="P561" i="17"/>
  <c r="P563" i="17" s="1"/>
  <c r="P568" i="17" s="1"/>
  <c r="P570" i="17" s="1"/>
  <c r="Z426" i="17"/>
  <c r="Z434" i="17" s="1"/>
  <c r="AA422" i="17"/>
  <c r="AA424" i="17" s="1"/>
  <c r="AA429" i="17"/>
  <c r="AK842" i="17"/>
  <c r="AK76" i="38"/>
  <c r="L80" i="38"/>
  <c r="AQ168" i="17"/>
  <c r="M802" i="17"/>
  <c r="M72" i="38"/>
  <c r="G54" i="3"/>
  <c r="I54" i="3" s="1"/>
  <c r="G57" i="3"/>
  <c r="M218" i="13"/>
  <c r="J211" i="13"/>
  <c r="J216" i="13" s="1"/>
  <c r="O757" i="17" l="1"/>
  <c r="O736" i="17"/>
  <c r="O750" i="17" s="1"/>
  <c r="O92" i="37" s="1"/>
  <c r="M73" i="38"/>
  <c r="AL886" i="17"/>
  <c r="AL49" i="38" s="1"/>
  <c r="AL776" i="17"/>
  <c r="O884" i="17"/>
  <c r="O47" i="38" s="1"/>
  <c r="M926" i="17"/>
  <c r="M80" i="38" s="1"/>
  <c r="AL99" i="26"/>
  <c r="Z558" i="17"/>
  <c r="AL922" i="17"/>
  <c r="AL655" i="17"/>
  <c r="AL791" i="17"/>
  <c r="AL150" i="26" s="1"/>
  <c r="AM69" i="37"/>
  <c r="AN621" i="17"/>
  <c r="AN631" i="17"/>
  <c r="AM621" i="17"/>
  <c r="AM631" i="17"/>
  <c r="AN497" i="17"/>
  <c r="AN498" i="17" s="1"/>
  <c r="AN516" i="17" s="1"/>
  <c r="AN521" i="17" s="1"/>
  <c r="AN452" i="17"/>
  <c r="AN454" i="17" s="1"/>
  <c r="AN800" i="17" s="1"/>
  <c r="AN65" i="37"/>
  <c r="AN71" i="37" s="1"/>
  <c r="AN343" i="1" s="1"/>
  <c r="AN344" i="1" s="1"/>
  <c r="AN81" i="37"/>
  <c r="AN355" i="1" s="1"/>
  <c r="AN356" i="1" s="1"/>
  <c r="AN102" i="26"/>
  <c r="AM499" i="17"/>
  <c r="AM837" i="17"/>
  <c r="AM32" i="38" s="1"/>
  <c r="AM344" i="1"/>
  <c r="AN30" i="38"/>
  <c r="AL528" i="17"/>
  <c r="AL530" i="17" s="1"/>
  <c r="AN609" i="17"/>
  <c r="N93" i="37"/>
  <c r="AM528" i="17"/>
  <c r="AM530" i="17" s="1"/>
  <c r="AM523" i="17"/>
  <c r="AM560" i="17" s="1"/>
  <c r="AL560" i="17"/>
  <c r="Z430" i="17"/>
  <c r="Z432" i="17" s="1"/>
  <c r="AA428" i="17" s="1"/>
  <c r="P573" i="17"/>
  <c r="P581" i="17" s="1"/>
  <c r="P583" i="17" s="1"/>
  <c r="Q569" i="17"/>
  <c r="Q561" i="17"/>
  <c r="Q563" i="17" s="1"/>
  <c r="Q568" i="17" s="1"/>
  <c r="AF423" i="17"/>
  <c r="AB421" i="17"/>
  <c r="AA426" i="17"/>
  <c r="AR168" i="17"/>
  <c r="AM922" i="17"/>
  <c r="AM99" i="26"/>
  <c r="N51" i="38"/>
  <c r="N759" i="17"/>
  <c r="I57" i="3"/>
  <c r="I174" i="12" s="1"/>
  <c r="G59" i="3"/>
  <c r="N217" i="13"/>
  <c r="N218" i="13" s="1"/>
  <c r="O217" i="13" s="1"/>
  <c r="O218" i="13" s="1"/>
  <c r="M221" i="13"/>
  <c r="M239" i="13" s="1"/>
  <c r="M240" i="13" s="1"/>
  <c r="O752" i="17" l="1"/>
  <c r="O804" i="17" s="1"/>
  <c r="AL76" i="38"/>
  <c r="AL842" i="17"/>
  <c r="AM633" i="17"/>
  <c r="AM637" i="17"/>
  <c r="AM639" i="17" s="1"/>
  <c r="AN633" i="17"/>
  <c r="AN637" i="17"/>
  <c r="AN639" i="17" s="1"/>
  <c r="AO621" i="17"/>
  <c r="AO631" i="17"/>
  <c r="AN69" i="37"/>
  <c r="AN499" i="17"/>
  <c r="AN837" i="17"/>
  <c r="AN32" i="38" s="1"/>
  <c r="AM839" i="17"/>
  <c r="AM35" i="38" s="1"/>
  <c r="AM38" i="38" s="1"/>
  <c r="AO81" i="37"/>
  <c r="AO355" i="1" s="1"/>
  <c r="AO356" i="1" s="1"/>
  <c r="AO30" i="38"/>
  <c r="AO497" i="17"/>
  <c r="AO498" i="17" s="1"/>
  <c r="AO516" i="17" s="1"/>
  <c r="AO521" i="17" s="1"/>
  <c r="AO102" i="26"/>
  <c r="AO69" i="37"/>
  <c r="AO452" i="17"/>
  <c r="AO454" i="17" s="1"/>
  <c r="AO800" i="17" s="1"/>
  <c r="AO609" i="17"/>
  <c r="P880" i="17"/>
  <c r="P43" i="38" s="1"/>
  <c r="AL881" i="17"/>
  <c r="AL599" i="17"/>
  <c r="AL786" i="17"/>
  <c r="AL145" i="26" s="1"/>
  <c r="AN528" i="17"/>
  <c r="AN523" i="17"/>
  <c r="AM599" i="17"/>
  <c r="AM786" i="17"/>
  <c r="AM145" i="26" s="1"/>
  <c r="AM881" i="17"/>
  <c r="AM44" i="38" s="1"/>
  <c r="P785" i="17"/>
  <c r="P144" i="26" s="1"/>
  <c r="P598" i="17"/>
  <c r="P600" i="17" s="1"/>
  <c r="P602" i="17" s="1"/>
  <c r="P56" i="38" s="1"/>
  <c r="Q570" i="17"/>
  <c r="R569" i="17" s="1"/>
  <c r="AA430" i="17"/>
  <c r="AA432" i="17" s="1"/>
  <c r="AB428" i="17" s="1"/>
  <c r="AA434" i="17"/>
  <c r="AB422" i="17"/>
  <c r="AB424" i="17" s="1"/>
  <c r="AB429" i="17"/>
  <c r="AM76" i="38"/>
  <c r="AN922" i="17"/>
  <c r="AN99" i="26"/>
  <c r="AS168" i="17"/>
  <c r="N769" i="17"/>
  <c r="N65" i="38"/>
  <c r="N924" i="17"/>
  <c r="N78" i="38" s="1"/>
  <c r="N153" i="26"/>
  <c r="N760" i="17"/>
  <c r="I59" i="3"/>
  <c r="G60" i="3"/>
  <c r="M242" i="13"/>
  <c r="M288" i="13" s="1"/>
  <c r="N221" i="13"/>
  <c r="N239" i="13" s="1"/>
  <c r="N240" i="13" s="1"/>
  <c r="N242" i="13" s="1"/>
  <c r="N288" i="13" s="1"/>
  <c r="O221" i="13"/>
  <c r="O239" i="13" s="1"/>
  <c r="O240" i="13" s="1"/>
  <c r="O242" i="13" s="1"/>
  <c r="O288" i="13" s="1"/>
  <c r="P217" i="13"/>
  <c r="P218" i="13" s="1"/>
  <c r="O794" i="17" l="1"/>
  <c r="O889" i="17"/>
  <c r="O51" i="38" s="1"/>
  <c r="O758" i="17"/>
  <c r="O759" i="17" s="1"/>
  <c r="O64" i="38"/>
  <c r="AN886" i="17"/>
  <c r="AN49" i="38" s="1"/>
  <c r="AN776" i="17"/>
  <c r="AM886" i="17"/>
  <c r="AM49" i="38" s="1"/>
  <c r="AM776" i="17"/>
  <c r="N763" i="17"/>
  <c r="N885" i="17" s="1"/>
  <c r="N48" i="38" s="1"/>
  <c r="N765" i="17"/>
  <c r="N69" i="38"/>
  <c r="N71" i="38"/>
  <c r="AA558" i="17"/>
  <c r="AN655" i="17"/>
  <c r="AN791" i="17"/>
  <c r="AN150" i="26" s="1"/>
  <c r="AM655" i="17"/>
  <c r="AM791" i="17"/>
  <c r="AM150" i="26" s="1"/>
  <c r="AO633" i="17"/>
  <c r="AO637" i="17"/>
  <c r="AO639" i="17" s="1"/>
  <c r="AN839" i="17"/>
  <c r="AN35" i="38" s="1"/>
  <c r="AN38" i="38" s="1"/>
  <c r="AP621" i="17"/>
  <c r="AP631" i="17"/>
  <c r="AM842" i="17"/>
  <c r="AO65" i="37"/>
  <c r="AO71" i="37" s="1"/>
  <c r="AO343" i="1" s="1"/>
  <c r="AO344" i="1" s="1"/>
  <c r="AO499" i="17"/>
  <c r="AO837" i="17"/>
  <c r="AO839" i="17" s="1"/>
  <c r="AO35" i="38" s="1"/>
  <c r="AP65" i="37"/>
  <c r="AP71" i="37" s="1"/>
  <c r="AP343" i="1" s="1"/>
  <c r="AP30" i="38"/>
  <c r="AP609" i="17"/>
  <c r="AP452" i="17"/>
  <c r="AP837" i="17" s="1"/>
  <c r="AP839" i="17" s="1"/>
  <c r="AP35" i="38" s="1"/>
  <c r="AP497" i="17"/>
  <c r="AP499" i="17" s="1"/>
  <c r="AP102" i="26"/>
  <c r="AP81" i="37"/>
  <c r="AP355" i="1" s="1"/>
  <c r="AP356" i="1" s="1"/>
  <c r="O93" i="37"/>
  <c r="AO528" i="17"/>
  <c r="AO530" i="17" s="1"/>
  <c r="AO523" i="17"/>
  <c r="AO560" i="17" s="1"/>
  <c r="AN560" i="17"/>
  <c r="AN530" i="17"/>
  <c r="AL44" i="38"/>
  <c r="P730" i="17"/>
  <c r="P49" i="37"/>
  <c r="P50" i="37" s="1"/>
  <c r="P696" i="17"/>
  <c r="P709" i="17" s="1"/>
  <c r="Q573" i="17"/>
  <c r="Q581" i="17" s="1"/>
  <c r="Q583" i="17" s="1"/>
  <c r="AG423" i="17"/>
  <c r="AC421" i="17"/>
  <c r="AB426" i="17"/>
  <c r="AN76" i="38"/>
  <c r="AT168" i="17"/>
  <c r="AO922" i="17"/>
  <c r="AO99" i="26"/>
  <c r="N66" i="38"/>
  <c r="I60" i="3"/>
  <c r="G61" i="3"/>
  <c r="I293" i="13"/>
  <c r="I202" i="12"/>
  <c r="I194" i="12"/>
  <c r="N270" i="13"/>
  <c r="O270" i="13"/>
  <c r="M270" i="13"/>
  <c r="P221" i="13"/>
  <c r="P239" i="13" s="1"/>
  <c r="P240" i="13" s="1"/>
  <c r="P242" i="13" s="1"/>
  <c r="P288" i="13" s="1"/>
  <c r="Q217" i="13"/>
  <c r="Q218" i="13" s="1"/>
  <c r="P721" i="17" l="1"/>
  <c r="P771" i="17" s="1"/>
  <c r="P725" i="17"/>
  <c r="P722" i="17"/>
  <c r="N770" i="17"/>
  <c r="N772" i="17" s="1"/>
  <c r="N58" i="37"/>
  <c r="AO886" i="17"/>
  <c r="AO49" i="38" s="1"/>
  <c r="AO776" i="17"/>
  <c r="N790" i="17"/>
  <c r="N149" i="26" s="1"/>
  <c r="N766" i="17"/>
  <c r="N775" i="17" s="1"/>
  <c r="N777" i="17" s="1"/>
  <c r="P719" i="17"/>
  <c r="P720" i="17" s="1"/>
  <c r="P731" i="17" s="1"/>
  <c r="P59" i="38" s="1"/>
  <c r="AN842" i="17"/>
  <c r="AO655" i="17"/>
  <c r="AO791" i="17"/>
  <c r="AO150" i="26" s="1"/>
  <c r="AP633" i="17"/>
  <c r="AP637" i="17"/>
  <c r="AP639" i="17" s="1"/>
  <c r="AQ621" i="17"/>
  <c r="AQ631" i="17"/>
  <c r="AO32" i="38"/>
  <c r="AO38" i="38" s="1"/>
  <c r="AP69" i="37"/>
  <c r="AP344" i="1"/>
  <c r="AP454" i="17"/>
  <c r="AP800" i="17" s="1"/>
  <c r="AP32" i="38"/>
  <c r="AP38" i="38" s="1"/>
  <c r="AQ102" i="26"/>
  <c r="AQ497" i="17"/>
  <c r="AQ498" i="17" s="1"/>
  <c r="AQ516" i="17" s="1"/>
  <c r="AQ521" i="17" s="1"/>
  <c r="AQ81" i="37"/>
  <c r="AQ355" i="1" s="1"/>
  <c r="AQ30" i="38"/>
  <c r="AQ452" i="17"/>
  <c r="AQ837" i="17" s="1"/>
  <c r="AQ69" i="37"/>
  <c r="AQ609" i="17"/>
  <c r="AP498" i="17"/>
  <c r="AP516" i="17" s="1"/>
  <c r="AP521" i="17" s="1"/>
  <c r="AP528" i="17" s="1"/>
  <c r="Q598" i="17"/>
  <c r="Q600" i="17" s="1"/>
  <c r="Q602" i="17" s="1"/>
  <c r="Q56" i="38" s="1"/>
  <c r="AN881" i="17"/>
  <c r="AN599" i="17"/>
  <c r="AN786" i="17"/>
  <c r="AN145" i="26" s="1"/>
  <c r="AO881" i="17"/>
  <c r="AO44" i="38" s="1"/>
  <c r="AO599" i="17"/>
  <c r="AO786" i="17"/>
  <c r="AO145" i="26" s="1"/>
  <c r="Q785" i="17"/>
  <c r="Q49" i="37" s="1"/>
  <c r="Q50" i="37" s="1"/>
  <c r="Q880" i="17"/>
  <c r="AB430" i="17"/>
  <c r="AB432" i="17" s="1"/>
  <c r="AC428" i="17" s="1"/>
  <c r="AB434" i="17"/>
  <c r="AC422" i="17"/>
  <c r="AC424" i="17" s="1"/>
  <c r="AC429" i="17"/>
  <c r="AO842" i="17"/>
  <c r="AO76" i="38"/>
  <c r="AU168" i="17"/>
  <c r="O769" i="17"/>
  <c r="O65" i="38"/>
  <c r="O924" i="17"/>
  <c r="O78" i="38" s="1"/>
  <c r="P697" i="17"/>
  <c r="Q693" i="17" s="1"/>
  <c r="Q694" i="17" s="1"/>
  <c r="O153" i="26"/>
  <c r="O760" i="17"/>
  <c r="I61" i="3"/>
  <c r="G62" i="3"/>
  <c r="M280" i="13"/>
  <c r="M281" i="13" s="1"/>
  <c r="N278" i="13" s="1"/>
  <c r="N279" i="13" s="1"/>
  <c r="N280" i="13" s="1"/>
  <c r="P270" i="13"/>
  <c r="Q221" i="13"/>
  <c r="Q239" i="13" s="1"/>
  <c r="Q240" i="13" s="1"/>
  <c r="Q242" i="13" s="1"/>
  <c r="Q288" i="13" s="1"/>
  <c r="R217" i="13"/>
  <c r="R218" i="13" s="1"/>
  <c r="P928" i="17" l="1"/>
  <c r="P805" i="17"/>
  <c r="N70" i="38"/>
  <c r="AP886" i="17"/>
  <c r="AP49" i="38" s="1"/>
  <c r="AP776" i="17"/>
  <c r="O763" i="17"/>
  <c r="O765" i="17"/>
  <c r="P732" i="17"/>
  <c r="P60" i="38" s="1"/>
  <c r="P61" i="38" s="1"/>
  <c r="AP922" i="17"/>
  <c r="O69" i="38"/>
  <c r="O71" i="38"/>
  <c r="AB558" i="17"/>
  <c r="AP655" i="17"/>
  <c r="AP791" i="17"/>
  <c r="AP150" i="26" s="1"/>
  <c r="AQ633" i="17"/>
  <c r="AQ637" i="17"/>
  <c r="AQ639" i="17" s="1"/>
  <c r="AR621" i="17"/>
  <c r="AR631" i="17"/>
  <c r="AP99" i="26"/>
  <c r="AQ499" i="17"/>
  <c r="AQ32" i="38"/>
  <c r="AQ839" i="17"/>
  <c r="AQ35" i="38" s="1"/>
  <c r="AQ454" i="17"/>
  <c r="AQ800" i="17" s="1"/>
  <c r="AQ65" i="37"/>
  <c r="AQ71" i="37" s="1"/>
  <c r="AQ343" i="1" s="1"/>
  <c r="AQ344" i="1" s="1"/>
  <c r="AR452" i="17"/>
  <c r="AR454" i="17" s="1"/>
  <c r="AR800" i="17" s="1"/>
  <c r="AR102" i="26"/>
  <c r="AR609" i="17"/>
  <c r="AR30" i="38"/>
  <c r="AR81" i="37"/>
  <c r="AR355" i="1" s="1"/>
  <c r="AR356" i="1" s="1"/>
  <c r="AR497" i="17"/>
  <c r="AR499" i="17" s="1"/>
  <c r="AR65" i="37"/>
  <c r="AR71" i="37" s="1"/>
  <c r="AR343" i="1" s="1"/>
  <c r="AP523" i="17"/>
  <c r="AP560" i="17" s="1"/>
  <c r="Q730" i="17"/>
  <c r="AP530" i="17"/>
  <c r="AQ528" i="17"/>
  <c r="AQ530" i="17" s="1"/>
  <c r="AQ523" i="17"/>
  <c r="AQ560" i="17" s="1"/>
  <c r="AN44" i="38"/>
  <c r="Q144" i="26"/>
  <c r="Q43" i="38"/>
  <c r="AQ356" i="1"/>
  <c r="AH423" i="17"/>
  <c r="AD421" i="17"/>
  <c r="AC426" i="17"/>
  <c r="AV168" i="17"/>
  <c r="O66" i="38"/>
  <c r="P789" i="17"/>
  <c r="P148" i="26" s="1"/>
  <c r="P884" i="17"/>
  <c r="P47" i="38" s="1"/>
  <c r="N802" i="17"/>
  <c r="N72" i="38"/>
  <c r="I62" i="3"/>
  <c r="G63" i="3"/>
  <c r="N281" i="13"/>
  <c r="O278" i="13" s="1"/>
  <c r="O279" i="13" s="1"/>
  <c r="O280" i="13" s="1"/>
  <c r="N283" i="13"/>
  <c r="N289" i="13" s="1"/>
  <c r="N290" i="13" s="1"/>
  <c r="M283" i="13"/>
  <c r="M289" i="13" s="1"/>
  <c r="M290" i="13" s="1"/>
  <c r="Q270" i="13"/>
  <c r="S217" i="13"/>
  <c r="S218" i="13" s="1"/>
  <c r="R221" i="13"/>
  <c r="R239" i="13" s="1"/>
  <c r="R240" i="13" s="1"/>
  <c r="R242" i="13" s="1"/>
  <c r="R288" i="13" s="1"/>
  <c r="N73" i="38" l="1"/>
  <c r="AQ886" i="17"/>
  <c r="AQ49" i="38" s="1"/>
  <c r="AQ776" i="17"/>
  <c r="O766" i="17"/>
  <c r="O775" i="17" s="1"/>
  <c r="O777" i="17" s="1"/>
  <c r="O770" i="17"/>
  <c r="O772" i="17" s="1"/>
  <c r="O58" i="37"/>
  <c r="O790" i="17"/>
  <c r="O149" i="26" s="1"/>
  <c r="O885" i="17"/>
  <c r="O48" i="38" s="1"/>
  <c r="P736" i="17"/>
  <c r="P750" i="17" s="1"/>
  <c r="P757" i="17"/>
  <c r="AP842" i="17"/>
  <c r="AP76" i="38"/>
  <c r="AQ922" i="17"/>
  <c r="AQ842" i="17" s="1"/>
  <c r="Q702" i="17"/>
  <c r="Q703" i="17" s="1"/>
  <c r="R706" i="17" s="1"/>
  <c r="R542" i="17" s="1"/>
  <c r="R544" i="17" s="1"/>
  <c r="R559" i="17" s="1"/>
  <c r="Q696" i="17"/>
  <c r="Q709" i="17" s="1"/>
  <c r="AQ38" i="38"/>
  <c r="AQ655" i="17"/>
  <c r="AQ791" i="17"/>
  <c r="AQ150" i="26" s="1"/>
  <c r="AR633" i="17"/>
  <c r="AR637" i="17"/>
  <c r="AR639" i="17" s="1"/>
  <c r="AS621" i="17"/>
  <c r="AS631" i="17"/>
  <c r="AQ99" i="26"/>
  <c r="AR69" i="37"/>
  <c r="AR837" i="17"/>
  <c r="AR32" i="38" s="1"/>
  <c r="AR344" i="1"/>
  <c r="AS609" i="17"/>
  <c r="AS452" i="17"/>
  <c r="AS454" i="17" s="1"/>
  <c r="AS800" i="17" s="1"/>
  <c r="AS69" i="37"/>
  <c r="AS102" i="26"/>
  <c r="AS497" i="17"/>
  <c r="AS498" i="17" s="1"/>
  <c r="AS516" i="17" s="1"/>
  <c r="AS521" i="17" s="1"/>
  <c r="AS81" i="37"/>
  <c r="AS355" i="1" s="1"/>
  <c r="AS30" i="38"/>
  <c r="AR498" i="17"/>
  <c r="AR516" i="17" s="1"/>
  <c r="AR521" i="17" s="1"/>
  <c r="AR528" i="17" s="1"/>
  <c r="AR530" i="17" s="1"/>
  <c r="AR881" i="17" s="1"/>
  <c r="AR44" i="38" s="1"/>
  <c r="AQ881" i="17"/>
  <c r="AQ44" i="38" s="1"/>
  <c r="AQ786" i="17"/>
  <c r="AQ145" i="26" s="1"/>
  <c r="AQ599" i="17"/>
  <c r="AP599" i="17"/>
  <c r="AP881" i="17"/>
  <c r="AP786" i="17"/>
  <c r="AP145" i="26" s="1"/>
  <c r="AC430" i="17"/>
  <c r="AC432" i="17" s="1"/>
  <c r="AD428" i="17" s="1"/>
  <c r="AC434" i="17"/>
  <c r="AD422" i="17"/>
  <c r="AD424" i="17" s="1"/>
  <c r="AD429" i="17"/>
  <c r="AR922" i="17"/>
  <c r="AR99" i="26"/>
  <c r="N926" i="17"/>
  <c r="N80" i="38" s="1"/>
  <c r="I63" i="3"/>
  <c r="G64" i="3"/>
  <c r="I64" i="3" s="1"/>
  <c r="I381" i="1" s="1"/>
  <c r="I24" i="12" s="1"/>
  <c r="O281" i="13"/>
  <c r="P278" i="13" s="1"/>
  <c r="O283" i="13"/>
  <c r="O289" i="13" s="1"/>
  <c r="O290" i="13" s="1"/>
  <c r="R270" i="13"/>
  <c r="T217" i="13"/>
  <c r="T218" i="13" s="1"/>
  <c r="S221" i="13"/>
  <c r="S239" i="13" s="1"/>
  <c r="S240" i="13" s="1"/>
  <c r="S242" i="13" s="1"/>
  <c r="S288" i="13" s="1"/>
  <c r="AR886" i="17" l="1"/>
  <c r="AR49" i="38" s="1"/>
  <c r="AR776" i="17"/>
  <c r="O70" i="38"/>
  <c r="AQ76" i="38"/>
  <c r="Q721" i="17"/>
  <c r="Q771" i="17" s="1"/>
  <c r="Q697" i="17"/>
  <c r="R693" i="17" s="1"/>
  <c r="R694" i="17" s="1"/>
  <c r="Q719" i="17"/>
  <c r="Q720" i="17" s="1"/>
  <c r="Q731" i="17" s="1"/>
  <c r="AC558" i="17"/>
  <c r="AR655" i="17"/>
  <c r="AR791" i="17"/>
  <c r="AR150" i="26" s="1"/>
  <c r="AS633" i="17"/>
  <c r="AS637" i="17"/>
  <c r="AS639" i="17" s="1"/>
  <c r="AT30" i="38"/>
  <c r="AS837" i="17"/>
  <c r="AS839" i="17" s="1"/>
  <c r="AS35" i="38" s="1"/>
  <c r="AS65" i="37"/>
  <c r="AS71" i="37" s="1"/>
  <c r="AS343" i="1" s="1"/>
  <c r="AS344" i="1" s="1"/>
  <c r="AR839" i="17"/>
  <c r="AR35" i="38" s="1"/>
  <c r="AR38" i="38" s="1"/>
  <c r="AT81" i="37"/>
  <c r="AT355" i="1" s="1"/>
  <c r="AT609" i="17"/>
  <c r="AT497" i="17"/>
  <c r="AT498" i="17" s="1"/>
  <c r="AT516" i="17" s="1"/>
  <c r="AT521" i="17" s="1"/>
  <c r="AT69" i="37"/>
  <c r="AT102" i="26"/>
  <c r="AS499" i="17"/>
  <c r="AT452" i="17"/>
  <c r="AT837" i="17" s="1"/>
  <c r="AR786" i="17"/>
  <c r="AR145" i="26" s="1"/>
  <c r="AR599" i="17"/>
  <c r="AR523" i="17"/>
  <c r="AR560" i="17" s="1"/>
  <c r="AS528" i="17"/>
  <c r="AS523" i="17"/>
  <c r="AP44" i="38"/>
  <c r="R561" i="17"/>
  <c r="R563" i="17" s="1"/>
  <c r="R568" i="17" s="1"/>
  <c r="R570" i="17" s="1"/>
  <c r="R573" i="17" s="1"/>
  <c r="R581" i="17" s="1"/>
  <c r="R583" i="17" s="1"/>
  <c r="AS356" i="1"/>
  <c r="AI423" i="17"/>
  <c r="AE422" i="17"/>
  <c r="AJ423" i="17" s="1"/>
  <c r="AE429" i="17"/>
  <c r="AE421" i="17"/>
  <c r="AD426" i="17"/>
  <c r="AR76" i="38"/>
  <c r="AS922" i="17"/>
  <c r="AS99" i="26"/>
  <c r="O802" i="17"/>
  <c r="O72" i="38"/>
  <c r="H173" i="13"/>
  <c r="H172" i="13"/>
  <c r="H88" i="12"/>
  <c r="H89" i="12"/>
  <c r="P279" i="13"/>
  <c r="P280" i="13" s="1"/>
  <c r="S270" i="13"/>
  <c r="U217" i="13"/>
  <c r="U218" i="13" s="1"/>
  <c r="T221" i="13"/>
  <c r="T239" i="13" s="1"/>
  <c r="T240" i="13" s="1"/>
  <c r="T242" i="13" s="1"/>
  <c r="T288" i="13" s="1"/>
  <c r="O73" i="38" l="1"/>
  <c r="AS886" i="17"/>
  <c r="AS49" i="38" s="1"/>
  <c r="AS776" i="17"/>
  <c r="AT839" i="17"/>
  <c r="F870" i="17"/>
  <c r="C158" i="43" s="1"/>
  <c r="R702" i="17"/>
  <c r="R703" i="17" s="1"/>
  <c r="P752" i="17"/>
  <c r="P92" i="37"/>
  <c r="Q732" i="17"/>
  <c r="Q60" i="38" s="1"/>
  <c r="Q59" i="38"/>
  <c r="Q725" i="17"/>
  <c r="Q789" i="17" s="1"/>
  <c r="Q148" i="26" s="1"/>
  <c r="Q722" i="17"/>
  <c r="Q928" i="17" s="1"/>
  <c r="AS32" i="38"/>
  <c r="AS38" i="38" s="1"/>
  <c r="AS655" i="17"/>
  <c r="AS791" i="17"/>
  <c r="AS150" i="26" s="1"/>
  <c r="AU621" i="17"/>
  <c r="AU631" i="17"/>
  <c r="AT621" i="17"/>
  <c r="AT631" i="17"/>
  <c r="AR842" i="17"/>
  <c r="AT499" i="17"/>
  <c r="AT65" i="37"/>
  <c r="AT71" i="37" s="1"/>
  <c r="AT343" i="1" s="1"/>
  <c r="AT344" i="1" s="1"/>
  <c r="AT454" i="17"/>
  <c r="AT800" i="17" s="1"/>
  <c r="AU81" i="37"/>
  <c r="AU355" i="1" s="1"/>
  <c r="AU356" i="1" s="1"/>
  <c r="L967" i="17"/>
  <c r="AU102" i="26"/>
  <c r="AU452" i="17"/>
  <c r="AU454" i="17" s="1"/>
  <c r="AU800" i="17" s="1"/>
  <c r="AU65" i="37"/>
  <c r="AU71" i="37" s="1"/>
  <c r="AU343" i="1" s="1"/>
  <c r="AU609" i="17"/>
  <c r="AU497" i="17"/>
  <c r="AU498" i="17" s="1"/>
  <c r="AU516" i="17" s="1"/>
  <c r="AU521" i="17" s="1"/>
  <c r="AT32" i="38"/>
  <c r="AT528" i="17"/>
  <c r="AT530" i="17" s="1"/>
  <c r="AT523" i="17"/>
  <c r="AT560" i="17" s="1"/>
  <c r="AS560" i="17"/>
  <c r="AS530" i="17"/>
  <c r="S569" i="17"/>
  <c r="AT356" i="1"/>
  <c r="AD430" i="17"/>
  <c r="AE424" i="17"/>
  <c r="R880" i="17"/>
  <c r="R785" i="17"/>
  <c r="R598" i="17"/>
  <c r="R600" i="17" s="1"/>
  <c r="R602" i="17" s="1"/>
  <c r="AS842" i="17"/>
  <c r="AS76" i="38"/>
  <c r="O926" i="17"/>
  <c r="O80" i="38" s="1"/>
  <c r="P281" i="13"/>
  <c r="Q278" i="13" s="1"/>
  <c r="P283" i="13"/>
  <c r="P289" i="13" s="1"/>
  <c r="P290" i="13" s="1"/>
  <c r="T270" i="13"/>
  <c r="V217" i="13"/>
  <c r="V218" i="13" s="1"/>
  <c r="U221" i="13"/>
  <c r="U239" i="13" s="1"/>
  <c r="U240" i="13" s="1"/>
  <c r="U242" i="13" s="1"/>
  <c r="U288" i="13" s="1"/>
  <c r="P794" i="17" l="1"/>
  <c r="P153" i="26" s="1"/>
  <c r="P804" i="17"/>
  <c r="P64" i="38"/>
  <c r="AT35" i="38"/>
  <c r="AT38" i="38" s="1"/>
  <c r="F872" i="17"/>
  <c r="C160" i="43" s="1"/>
  <c r="S706" i="17"/>
  <c r="S542" i="17" s="1"/>
  <c r="S544" i="17" s="1"/>
  <c r="S559" i="17" s="1"/>
  <c r="S561" i="17" s="1"/>
  <c r="S563" i="17" s="1"/>
  <c r="S568" i="17" s="1"/>
  <c r="S570" i="17" s="1"/>
  <c r="S573" i="17" s="1"/>
  <c r="S581" i="17" s="1"/>
  <c r="S583" i="17" s="1"/>
  <c r="P889" i="17"/>
  <c r="P51" i="38" s="1"/>
  <c r="P758" i="17"/>
  <c r="P759" i="17" s="1"/>
  <c r="P760" i="17" s="1"/>
  <c r="Q61" i="38"/>
  <c r="Q884" i="17"/>
  <c r="Q47" i="38" s="1"/>
  <c r="Q757" i="17"/>
  <c r="Q736" i="17"/>
  <c r="Q750" i="17" s="1"/>
  <c r="P93" i="37"/>
  <c r="Q805" i="17"/>
  <c r="AT99" i="26"/>
  <c r="AD431" i="17"/>
  <c r="AD434" i="17" s="1"/>
  <c r="Q279" i="13"/>
  <c r="Q280" i="13" s="1"/>
  <c r="AT633" i="17"/>
  <c r="AT637" i="17"/>
  <c r="AT639" i="17" s="1"/>
  <c r="AU633" i="17"/>
  <c r="AU637" i="17"/>
  <c r="AU639" i="17" s="1"/>
  <c r="AU69" i="37"/>
  <c r="AT922" i="17"/>
  <c r="AU499" i="17"/>
  <c r="AU837" i="17"/>
  <c r="AU32" i="38" s="1"/>
  <c r="AU344" i="1"/>
  <c r="AU30" i="38"/>
  <c r="AS881" i="17"/>
  <c r="AS786" i="17"/>
  <c r="AS145" i="26" s="1"/>
  <c r="AS599" i="17"/>
  <c r="AU528" i="17"/>
  <c r="AU523" i="17"/>
  <c r="AU560" i="17" s="1"/>
  <c r="AT786" i="17"/>
  <c r="AT145" i="26" s="1"/>
  <c r="AT599" i="17"/>
  <c r="AT881" i="17"/>
  <c r="R43" i="38"/>
  <c r="AF422" i="17"/>
  <c r="AK423" i="17" s="1"/>
  <c r="AF429" i="17"/>
  <c r="AF421" i="17"/>
  <c r="AE426" i="17"/>
  <c r="AE434" i="17" s="1"/>
  <c r="R56" i="38"/>
  <c r="R730" i="17"/>
  <c r="R696" i="17"/>
  <c r="R709" i="17" s="1"/>
  <c r="R144" i="26"/>
  <c r="R49" i="37"/>
  <c r="R50" i="37" s="1"/>
  <c r="AU922" i="17"/>
  <c r="AU99" i="26"/>
  <c r="P924" i="17"/>
  <c r="P78" i="38" s="1"/>
  <c r="U270" i="13"/>
  <c r="W217" i="13"/>
  <c r="W218" i="13" s="1"/>
  <c r="V221" i="13"/>
  <c r="V239" i="13" s="1"/>
  <c r="V240" i="13" s="1"/>
  <c r="V242" i="13" s="1"/>
  <c r="V288" i="13" s="1"/>
  <c r="AU886" i="17" l="1"/>
  <c r="AU49" i="38" s="1"/>
  <c r="AU776" i="17"/>
  <c r="AT886" i="17"/>
  <c r="AT49" i="38" s="1"/>
  <c r="AT776" i="17"/>
  <c r="P763" i="17"/>
  <c r="P770" i="17" s="1"/>
  <c r="P70" i="38" s="1"/>
  <c r="P765" i="17"/>
  <c r="AT44" i="38"/>
  <c r="F907" i="17"/>
  <c r="C166" i="43" s="1"/>
  <c r="R722" i="17"/>
  <c r="R725" i="17"/>
  <c r="R721" i="17"/>
  <c r="R771" i="17" s="1"/>
  <c r="P769" i="17"/>
  <c r="P69" i="38" s="1"/>
  <c r="P65" i="38"/>
  <c r="P66" i="38" s="1"/>
  <c r="Q92" i="37"/>
  <c r="Q752" i="17"/>
  <c r="AU76" i="38"/>
  <c r="AT76" i="38"/>
  <c r="P71" i="38"/>
  <c r="R719" i="17"/>
  <c r="R720" i="17" s="1"/>
  <c r="R731" i="17" s="1"/>
  <c r="AE558" i="17"/>
  <c r="AD558" i="17"/>
  <c r="AD432" i="17"/>
  <c r="AE428" i="17" s="1"/>
  <c r="Q281" i="13"/>
  <c r="R278" i="13" s="1"/>
  <c r="Q283" i="13"/>
  <c r="Q289" i="13" s="1"/>
  <c r="Q290" i="13" s="1"/>
  <c r="AT842" i="17"/>
  <c r="AU655" i="17"/>
  <c r="AU791" i="17"/>
  <c r="AU150" i="26" s="1"/>
  <c r="AT655" i="17"/>
  <c r="AT791" i="17"/>
  <c r="AT150" i="26" s="1"/>
  <c r="AV621" i="17"/>
  <c r="J621" i="17" s="1"/>
  <c r="AV631" i="17"/>
  <c r="AV637" i="17" s="1"/>
  <c r="L969" i="17"/>
  <c r="AU839" i="17"/>
  <c r="AU35" i="38" s="1"/>
  <c r="AU38" i="38" s="1"/>
  <c r="AV102" i="26"/>
  <c r="J102" i="26" s="1"/>
  <c r="AV609" i="17"/>
  <c r="J609" i="17" s="1"/>
  <c r="AV452" i="17"/>
  <c r="AV497" i="17"/>
  <c r="AV81" i="37"/>
  <c r="AV355" i="1" s="1"/>
  <c r="AV356" i="1" s="1"/>
  <c r="F356" i="1" s="1"/>
  <c r="AR646" i="17" s="1"/>
  <c r="AR649" i="17" s="1"/>
  <c r="S880" i="17"/>
  <c r="S43" i="38" s="1"/>
  <c r="AU530" i="17"/>
  <c r="AS44" i="38"/>
  <c r="T569" i="17"/>
  <c r="S785" i="17"/>
  <c r="S49" i="37" s="1"/>
  <c r="S50" i="37" s="1"/>
  <c r="S598" i="17"/>
  <c r="S600" i="17" s="1"/>
  <c r="S602" i="17" s="1"/>
  <c r="S56" i="38" s="1"/>
  <c r="AF424" i="17"/>
  <c r="AF426" i="17" s="1"/>
  <c r="AE430" i="17"/>
  <c r="L994" i="17"/>
  <c r="R697" i="17"/>
  <c r="S693" i="17" s="1"/>
  <c r="S694" i="17" s="1"/>
  <c r="V270" i="13"/>
  <c r="W221" i="13"/>
  <c r="W239" i="13" s="1"/>
  <c r="W240" i="13" s="1"/>
  <c r="W242" i="13" s="1"/>
  <c r="W288" i="13" s="1"/>
  <c r="X217" i="13"/>
  <c r="X218" i="13" s="1"/>
  <c r="Q794" i="17" l="1"/>
  <c r="Q153" i="26" s="1"/>
  <c r="Q804" i="17"/>
  <c r="Q64" i="38"/>
  <c r="F912" i="17"/>
  <c r="C171" i="43" s="1"/>
  <c r="P790" i="17"/>
  <c r="P149" i="26" s="1"/>
  <c r="P885" i="17"/>
  <c r="P48" i="38" s="1"/>
  <c r="P58" i="37"/>
  <c r="P766" i="17"/>
  <c r="P775" i="17" s="1"/>
  <c r="P777" i="17" s="1"/>
  <c r="R928" i="17"/>
  <c r="R805" i="17"/>
  <c r="P772" i="17"/>
  <c r="P802" i="17" s="1"/>
  <c r="Q889" i="17"/>
  <c r="Q51" i="38" s="1"/>
  <c r="Q758" i="17"/>
  <c r="Q759" i="17" s="1"/>
  <c r="Q769" i="17" s="1"/>
  <c r="R732" i="17"/>
  <c r="R60" i="38" s="1"/>
  <c r="R59" i="38"/>
  <c r="Q94" i="37"/>
  <c r="AE432" i="17"/>
  <c r="AF428" i="17" s="1"/>
  <c r="R279" i="13"/>
  <c r="R280" i="13" s="1"/>
  <c r="R283" i="13" s="1"/>
  <c r="R289" i="13" s="1"/>
  <c r="R290" i="13" s="1"/>
  <c r="AU842" i="17"/>
  <c r="AV639" i="17"/>
  <c r="AV776" i="17" s="1"/>
  <c r="J637" i="17"/>
  <c r="AV633" i="17"/>
  <c r="J633" i="17" s="1"/>
  <c r="J631" i="17"/>
  <c r="L971" i="17"/>
  <c r="AQ646" i="17"/>
  <c r="AQ649" i="17" s="1"/>
  <c r="AQ653" i="17" s="1"/>
  <c r="AT646" i="17"/>
  <c r="AT649" i="17" s="1"/>
  <c r="AT87" i="37" s="1"/>
  <c r="AT88" i="37" s="1"/>
  <c r="AH646" i="17"/>
  <c r="AH649" i="17" s="1"/>
  <c r="AH653" i="17" s="1"/>
  <c r="AC646" i="17"/>
  <c r="AC649" i="17" s="1"/>
  <c r="AC87" i="37" s="1"/>
  <c r="AC88" i="37" s="1"/>
  <c r="AN646" i="17"/>
  <c r="AN649" i="17" s="1"/>
  <c r="AN87" i="37" s="1"/>
  <c r="AN88" i="37" s="1"/>
  <c r="Y646" i="17"/>
  <c r="Y649" i="17" s="1"/>
  <c r="Y87" i="37" s="1"/>
  <c r="Y88" i="37" s="1"/>
  <c r="AO646" i="17"/>
  <c r="AO649" i="17" s="1"/>
  <c r="AO653" i="17" s="1"/>
  <c r="R646" i="17"/>
  <c r="R649" i="17" s="1"/>
  <c r="R653" i="17" s="1"/>
  <c r="AG646" i="17"/>
  <c r="AG649" i="17" s="1"/>
  <c r="AG653" i="17" s="1"/>
  <c r="L359" i="1"/>
  <c r="L646" i="17" s="1"/>
  <c r="L649" i="17" s="1"/>
  <c r="L653" i="17" s="1"/>
  <c r="AA646" i="17"/>
  <c r="AA649" i="17" s="1"/>
  <c r="AA87" i="37" s="1"/>
  <c r="AA88" i="37" s="1"/>
  <c r="AB646" i="17"/>
  <c r="AB649" i="17" s="1"/>
  <c r="AB87" i="37" s="1"/>
  <c r="AB88" i="37" s="1"/>
  <c r="S646" i="17"/>
  <c r="S649" i="17" s="1"/>
  <c r="S653" i="17" s="1"/>
  <c r="AD646" i="17"/>
  <c r="AD649" i="17" s="1"/>
  <c r="AD87" i="37" s="1"/>
  <c r="AD88" i="37" s="1"/>
  <c r="AI646" i="17"/>
  <c r="AI649" i="17" s="1"/>
  <c r="AI653" i="17" s="1"/>
  <c r="X646" i="17"/>
  <c r="X649" i="17" s="1"/>
  <c r="X87" i="37" s="1"/>
  <c r="X88" i="37" s="1"/>
  <c r="N359" i="1"/>
  <c r="N646" i="17" s="1"/>
  <c r="N649" i="17" s="1"/>
  <c r="N87" i="37" s="1"/>
  <c r="N88" i="37" s="1"/>
  <c r="U646" i="17"/>
  <c r="U649" i="17" s="1"/>
  <c r="U87" i="37" s="1"/>
  <c r="U88" i="37" s="1"/>
  <c r="O359" i="1"/>
  <c r="O646" i="17" s="1"/>
  <c r="O649" i="17" s="1"/>
  <c r="O87" i="37" s="1"/>
  <c r="O88" i="37" s="1"/>
  <c r="Z646" i="17"/>
  <c r="Z649" i="17" s="1"/>
  <c r="Z653" i="17" s="1"/>
  <c r="AL646" i="17"/>
  <c r="AL649" i="17" s="1"/>
  <c r="AL653" i="17" s="1"/>
  <c r="AK646" i="17"/>
  <c r="AK649" i="17" s="1"/>
  <c r="AK653" i="17" s="1"/>
  <c r="V646" i="17"/>
  <c r="V649" i="17" s="1"/>
  <c r="V87" i="37" s="1"/>
  <c r="V88" i="37" s="1"/>
  <c r="W646" i="17"/>
  <c r="W649" i="17" s="1"/>
  <c r="W653" i="17" s="1"/>
  <c r="AP646" i="17"/>
  <c r="AP649" i="17" s="1"/>
  <c r="AP653" i="17" s="1"/>
  <c r="AV646" i="17"/>
  <c r="AV649" i="17" s="1"/>
  <c r="AV87" i="37" s="1"/>
  <c r="AV88" i="37" s="1"/>
  <c r="P359" i="1"/>
  <c r="P646" i="17" s="1"/>
  <c r="P649" i="17" s="1"/>
  <c r="P87" i="37" s="1"/>
  <c r="P88" i="37" s="1"/>
  <c r="AE646" i="17"/>
  <c r="AE649" i="17" s="1"/>
  <c r="AE653" i="17" s="1"/>
  <c r="AU646" i="17"/>
  <c r="AU649" i="17" s="1"/>
  <c r="AU653" i="17" s="1"/>
  <c r="AM646" i="17"/>
  <c r="AM649" i="17" s="1"/>
  <c r="AM87" i="37" s="1"/>
  <c r="AM88" i="37" s="1"/>
  <c r="T646" i="17"/>
  <c r="T649" i="17" s="1"/>
  <c r="T653" i="17" s="1"/>
  <c r="M359" i="1"/>
  <c r="M646" i="17" s="1"/>
  <c r="M649" i="17" s="1"/>
  <c r="M653" i="17" s="1"/>
  <c r="AJ646" i="17"/>
  <c r="AJ649" i="17" s="1"/>
  <c r="AJ87" i="37" s="1"/>
  <c r="AJ88" i="37" s="1"/>
  <c r="AS646" i="17"/>
  <c r="AS649" i="17" s="1"/>
  <c r="AS87" i="37" s="1"/>
  <c r="AS88" i="37" s="1"/>
  <c r="AF646" i="17"/>
  <c r="AF649" i="17" s="1"/>
  <c r="AF87" i="37" s="1"/>
  <c r="AF88" i="37" s="1"/>
  <c r="Q359" i="1"/>
  <c r="Q646" i="17" s="1"/>
  <c r="Q649" i="17" s="1"/>
  <c r="Q87" i="37" s="1"/>
  <c r="Q88" i="37" s="1"/>
  <c r="AV499" i="17"/>
  <c r="J499" i="17" s="1"/>
  <c r="AV498" i="17"/>
  <c r="J497" i="17"/>
  <c r="N967" i="17" a="1"/>
  <c r="N967" i="17" s="1"/>
  <c r="H868" i="17"/>
  <c r="M967" i="17" a="1"/>
  <c r="M967" i="17" s="1"/>
  <c r="O967" i="17" a="1"/>
  <c r="O967" i="17" s="1"/>
  <c r="D26" i="25" s="1"/>
  <c r="F34" i="42" s="1"/>
  <c r="AV30" i="38"/>
  <c r="J452" i="17"/>
  <c r="J837" i="17" s="1"/>
  <c r="J32" i="38" s="1"/>
  <c r="AV454" i="17"/>
  <c r="AV837" i="17"/>
  <c r="J30" i="38"/>
  <c r="AV65" i="37"/>
  <c r="AV69" i="37"/>
  <c r="AU786" i="17"/>
  <c r="AU145" i="26" s="1"/>
  <c r="AU599" i="17"/>
  <c r="AU881" i="17"/>
  <c r="S144" i="26"/>
  <c r="S730" i="17"/>
  <c r="AR87" i="37"/>
  <c r="AR88" i="37" s="1"/>
  <c r="AR653" i="17"/>
  <c r="AG421" i="17"/>
  <c r="AF430" i="17"/>
  <c r="AG422" i="17"/>
  <c r="AG429" i="17"/>
  <c r="R789" i="17"/>
  <c r="R148" i="26" s="1"/>
  <c r="R884" i="17"/>
  <c r="W270" i="13"/>
  <c r="X221" i="13"/>
  <c r="X239" i="13" s="1"/>
  <c r="X240" i="13" s="1"/>
  <c r="X242" i="13" s="1"/>
  <c r="X288" i="13" s="1"/>
  <c r="Y217" i="13"/>
  <c r="Y218" i="13" s="1"/>
  <c r="P72" i="38" l="1"/>
  <c r="P73" i="38" s="1"/>
  <c r="R736" i="17"/>
  <c r="R757" i="17"/>
  <c r="R61" i="38"/>
  <c r="Q93" i="37"/>
  <c r="J34" i="42"/>
  <c r="I34" i="42" s="1"/>
  <c r="Q69" i="38"/>
  <c r="Q71" i="38"/>
  <c r="S696" i="17"/>
  <c r="S709" i="17" s="1"/>
  <c r="S702" i="17"/>
  <c r="S703" i="17" s="1"/>
  <c r="R281" i="13"/>
  <c r="S278" i="13" s="1"/>
  <c r="AF431" i="17"/>
  <c r="AF434" i="17" s="1"/>
  <c r="E156" i="43"/>
  <c r="Q760" i="17"/>
  <c r="Q924" i="17"/>
  <c r="Q78" i="38" s="1"/>
  <c r="Q65" i="38"/>
  <c r="Q66" i="38" s="1"/>
  <c r="AV791" i="17"/>
  <c r="AV150" i="26" s="1"/>
  <c r="AV886" i="17"/>
  <c r="AT653" i="17"/>
  <c r="AT882" i="17" s="1"/>
  <c r="AT45" i="38" s="1"/>
  <c r="J639" i="17"/>
  <c r="AV655" i="17"/>
  <c r="AG87" i="37"/>
  <c r="AG88" i="37" s="1"/>
  <c r="AQ87" i="37"/>
  <c r="AQ88" i="37" s="1"/>
  <c r="N653" i="17"/>
  <c r="AC653" i="17"/>
  <c r="AC787" i="17" s="1"/>
  <c r="AH87" i="37"/>
  <c r="AH88" i="37" s="1"/>
  <c r="AA653" i="17"/>
  <c r="AA787" i="17" s="1"/>
  <c r="O653" i="17"/>
  <c r="O882" i="17" s="1"/>
  <c r="O45" i="38" s="1"/>
  <c r="Z87" i="37"/>
  <c r="Z88" i="37" s="1"/>
  <c r="P653" i="17"/>
  <c r="AN653" i="17"/>
  <c r="AO87" i="37"/>
  <c r="AO88" i="37" s="1"/>
  <c r="AJ653" i="17"/>
  <c r="AP87" i="37"/>
  <c r="AP88" i="37" s="1"/>
  <c r="AV653" i="17"/>
  <c r="AL87" i="37"/>
  <c r="AL88" i="37" s="1"/>
  <c r="AD653" i="17"/>
  <c r="Y653" i="17"/>
  <c r="Q653" i="17"/>
  <c r="AB653" i="17"/>
  <c r="X653" i="17"/>
  <c r="R87" i="37"/>
  <c r="R88" i="37" s="1"/>
  <c r="S87" i="37"/>
  <c r="S88" i="37" s="1"/>
  <c r="M87" i="37"/>
  <c r="M88" i="37" s="1"/>
  <c r="AE87" i="37"/>
  <c r="AE88" i="37" s="1"/>
  <c r="AI87" i="37"/>
  <c r="AI88" i="37" s="1"/>
  <c r="T87" i="37"/>
  <c r="T88" i="37" s="1"/>
  <c r="W87" i="37"/>
  <c r="W88" i="37" s="1"/>
  <c r="V653" i="17"/>
  <c r="L87" i="37"/>
  <c r="L88" i="37" s="1"/>
  <c r="U653" i="17"/>
  <c r="AK87" i="37"/>
  <c r="AK88" i="37" s="1"/>
  <c r="AM653" i="17"/>
  <c r="AU87" i="37"/>
  <c r="AU88" i="37" s="1"/>
  <c r="J498" i="17"/>
  <c r="AV516" i="17"/>
  <c r="AV521" i="17" s="1"/>
  <c r="J649" i="17"/>
  <c r="J653" i="17" s="1"/>
  <c r="AF653" i="17"/>
  <c r="AS653" i="17"/>
  <c r="AV71" i="37"/>
  <c r="AV343" i="1" s="1"/>
  <c r="AV344" i="1" s="1"/>
  <c r="F344" i="1" s="1"/>
  <c r="J65" i="37"/>
  <c r="O969" i="17" a="1"/>
  <c r="O969" i="17" s="1"/>
  <c r="D28" i="25" s="1"/>
  <c r="F36" i="42" s="1"/>
  <c r="M969" i="17" a="1"/>
  <c r="M969" i="17" s="1"/>
  <c r="AV839" i="17"/>
  <c r="N969" i="17" a="1"/>
  <c r="N969" i="17" s="1"/>
  <c r="AV32" i="38"/>
  <c r="H870" i="17"/>
  <c r="AV800" i="17"/>
  <c r="J454" i="17"/>
  <c r="J800" i="17" s="1"/>
  <c r="AU44" i="38"/>
  <c r="R47" i="38"/>
  <c r="AQ882" i="17"/>
  <c r="AQ45" i="38" s="1"/>
  <c r="AQ787" i="17"/>
  <c r="R882" i="17"/>
  <c r="R45" i="38" s="1"/>
  <c r="R787" i="17"/>
  <c r="M882" i="17"/>
  <c r="M45" i="38" s="1"/>
  <c r="M787" i="17"/>
  <c r="AH882" i="17"/>
  <c r="AH45" i="38" s="1"/>
  <c r="AH787" i="17"/>
  <c r="L882" i="17"/>
  <c r="L787" i="17"/>
  <c r="AE882" i="17"/>
  <c r="AE45" i="38" s="1"/>
  <c r="AE787" i="17"/>
  <c r="AI882" i="17"/>
  <c r="AI45" i="38" s="1"/>
  <c r="AI787" i="17"/>
  <c r="AG882" i="17"/>
  <c r="AG45" i="38" s="1"/>
  <c r="AG787" i="17"/>
  <c r="S882" i="17"/>
  <c r="S45" i="38" s="1"/>
  <c r="S787" i="17"/>
  <c r="W882" i="17"/>
  <c r="W45" i="38" s="1"/>
  <c r="W787" i="17"/>
  <c r="AK882" i="17"/>
  <c r="AK45" i="38" s="1"/>
  <c r="AK787" i="17"/>
  <c r="AO882" i="17"/>
  <c r="AO45" i="38" s="1"/>
  <c r="AO787" i="17"/>
  <c r="T882" i="17"/>
  <c r="T45" i="38" s="1"/>
  <c r="T787" i="17"/>
  <c r="AL882" i="17"/>
  <c r="AL45" i="38" s="1"/>
  <c r="AL787" i="17"/>
  <c r="AP882" i="17"/>
  <c r="AP45" i="38" s="1"/>
  <c r="AP787" i="17"/>
  <c r="Z882" i="17"/>
  <c r="Z45" i="38" s="1"/>
  <c r="Z787" i="17"/>
  <c r="AR882" i="17"/>
  <c r="AR45" i="38" s="1"/>
  <c r="AR787" i="17"/>
  <c r="AU882" i="17"/>
  <c r="AU45" i="38" s="1"/>
  <c r="AU787" i="17"/>
  <c r="AG424" i="17"/>
  <c r="AH421" i="17" s="1"/>
  <c r="AL423" i="17"/>
  <c r="P926" i="17"/>
  <c r="X270" i="13"/>
  <c r="Y221" i="13"/>
  <c r="Y239" i="13" s="1"/>
  <c r="Y240" i="13" s="1"/>
  <c r="Y242" i="13" s="1"/>
  <c r="Y288" i="13" s="1"/>
  <c r="Z217" i="13"/>
  <c r="Z218" i="13" s="1"/>
  <c r="J886" i="17" l="1"/>
  <c r="J49" i="38" s="1"/>
  <c r="J776" i="17"/>
  <c r="Q763" i="17"/>
  <c r="Q58" i="37" s="1"/>
  <c r="Q59" i="37" s="1"/>
  <c r="Q765" i="17"/>
  <c r="R750" i="17"/>
  <c r="R92" i="37" s="1"/>
  <c r="J36" i="42"/>
  <c r="I36" i="42" s="1"/>
  <c r="S697" i="17"/>
  <c r="T693" i="17" s="1"/>
  <c r="T694" i="17" s="1"/>
  <c r="S719" i="17"/>
  <c r="S720" i="17" s="1"/>
  <c r="S731" i="17" s="1"/>
  <c r="S59" i="38" s="1"/>
  <c r="T706" i="17"/>
  <c r="T542" i="17" s="1"/>
  <c r="T544" i="17" s="1"/>
  <c r="T559" i="17" s="1"/>
  <c r="T561" i="17" s="1"/>
  <c r="T563" i="17" s="1"/>
  <c r="T568" i="17" s="1"/>
  <c r="T570" i="17" s="1"/>
  <c r="S722" i="17"/>
  <c r="AF558" i="17"/>
  <c r="S279" i="13"/>
  <c r="S280" i="13" s="1"/>
  <c r="S283" i="13" s="1"/>
  <c r="S289" i="13" s="1"/>
  <c r="S290" i="13" s="1"/>
  <c r="AF432" i="17"/>
  <c r="AG428" i="17" s="1"/>
  <c r="AA882" i="17"/>
  <c r="AA45" i="38" s="1"/>
  <c r="E158" i="43"/>
  <c r="AC882" i="17"/>
  <c r="AC45" i="38" s="1"/>
  <c r="AT787" i="17"/>
  <c r="AT146" i="26" s="1"/>
  <c r="H912" i="17"/>
  <c r="E171" i="43" s="1"/>
  <c r="AV49" i="38"/>
  <c r="N984" i="17" a="1"/>
  <c r="N984" i="17" s="1"/>
  <c r="O984" i="17" a="1"/>
  <c r="O984" i="17" s="1"/>
  <c r="D56" i="25" s="1"/>
  <c r="F71" i="42" s="1"/>
  <c r="J71" i="42" s="1"/>
  <c r="I71" i="42" s="1"/>
  <c r="M984" i="17" a="1"/>
  <c r="M984" i="17" s="1"/>
  <c r="L984" i="17"/>
  <c r="J655" i="17"/>
  <c r="J791" i="17"/>
  <c r="J150" i="26" s="1"/>
  <c r="Q882" i="17"/>
  <c r="Q45" i="38" s="1"/>
  <c r="AN882" i="17"/>
  <c r="AN45" i="38" s="1"/>
  <c r="N882" i="17"/>
  <c r="N45" i="38" s="1"/>
  <c r="AM787" i="17"/>
  <c r="AM146" i="26" s="1"/>
  <c r="AD882" i="17"/>
  <c r="AD45" i="38" s="1"/>
  <c r="Y787" i="17"/>
  <c r="Y146" i="26" s="1"/>
  <c r="P882" i="17"/>
  <c r="P45" i="38" s="1"/>
  <c r="O787" i="17"/>
  <c r="O146" i="26" s="1"/>
  <c r="AB882" i="17"/>
  <c r="N787" i="17"/>
  <c r="N146" i="26" s="1"/>
  <c r="AS787" i="17"/>
  <c r="AS146" i="26" s="1"/>
  <c r="U787" i="17"/>
  <c r="U146" i="26" s="1"/>
  <c r="AV787" i="17"/>
  <c r="AV146" i="26" s="1"/>
  <c r="AF882" i="17"/>
  <c r="AF45" i="38" s="1"/>
  <c r="V882" i="17"/>
  <c r="V45" i="38" s="1"/>
  <c r="X882" i="17"/>
  <c r="X45" i="38" s="1"/>
  <c r="AJ882" i="17"/>
  <c r="AJ45" i="38" s="1"/>
  <c r="V787" i="17"/>
  <c r="V146" i="26" s="1"/>
  <c r="P787" i="17"/>
  <c r="P146" i="26" s="1"/>
  <c r="AN787" i="17"/>
  <c r="AN146" i="26" s="1"/>
  <c r="AJ787" i="17"/>
  <c r="AJ146" i="26" s="1"/>
  <c r="X787" i="17"/>
  <c r="X146" i="26" s="1"/>
  <c r="AV882" i="17"/>
  <c r="AV45" i="38" s="1"/>
  <c r="AD787" i="17"/>
  <c r="AD146" i="26" s="1"/>
  <c r="Y882" i="17"/>
  <c r="Y45" i="38" s="1"/>
  <c r="Q787" i="17"/>
  <c r="Q146" i="26" s="1"/>
  <c r="AB787" i="17"/>
  <c r="AB146" i="26" s="1"/>
  <c r="AM882" i="17"/>
  <c r="AM45" i="38" s="1"/>
  <c r="AF787" i="17"/>
  <c r="AF146" i="26" s="1"/>
  <c r="AS882" i="17"/>
  <c r="AS45" i="38" s="1"/>
  <c r="U882" i="17"/>
  <c r="U45" i="38" s="1"/>
  <c r="J88" i="37"/>
  <c r="J87" i="37"/>
  <c r="AV528" i="17"/>
  <c r="AV523" i="17"/>
  <c r="J521" i="17"/>
  <c r="H872" i="17"/>
  <c r="J839" i="17"/>
  <c r="J35" i="38" s="1"/>
  <c r="M971" i="17" a="1"/>
  <c r="M971" i="17" s="1"/>
  <c r="F840" i="17"/>
  <c r="O971" i="17" a="1"/>
  <c r="O971" i="17" s="1"/>
  <c r="D29" i="25" s="1"/>
  <c r="F37" i="42" s="1"/>
  <c r="AV35" i="38"/>
  <c r="AV38" i="38" s="1"/>
  <c r="F38" i="38" s="1"/>
  <c r="F88" i="38" s="1"/>
  <c r="N971" i="17" a="1"/>
  <c r="N971" i="17" s="1"/>
  <c r="J922" i="17"/>
  <c r="J76" i="38" s="1"/>
  <c r="J99" i="26"/>
  <c r="AV922" i="17"/>
  <c r="AV99" i="26"/>
  <c r="AG347" i="1"/>
  <c r="AG611" i="17" s="1"/>
  <c r="AG614" i="17" s="1"/>
  <c r="AR347" i="1"/>
  <c r="AR611" i="17" s="1"/>
  <c r="AR614" i="17" s="1"/>
  <c r="L347" i="1"/>
  <c r="L611" i="17" s="1"/>
  <c r="L614" i="17" s="1"/>
  <c r="N347" i="1"/>
  <c r="N611" i="17" s="1"/>
  <c r="N614" i="17" s="1"/>
  <c r="AE347" i="1"/>
  <c r="AE611" i="17" s="1"/>
  <c r="AE614" i="17" s="1"/>
  <c r="AA347" i="1"/>
  <c r="AA611" i="17" s="1"/>
  <c r="AA614" i="17" s="1"/>
  <c r="AB347" i="1"/>
  <c r="AB611" i="17" s="1"/>
  <c r="AB614" i="17" s="1"/>
  <c r="U347" i="1"/>
  <c r="U611" i="17" s="1"/>
  <c r="U614" i="17" s="1"/>
  <c r="AK347" i="1"/>
  <c r="AK611" i="17" s="1"/>
  <c r="AK614" i="17" s="1"/>
  <c r="V347" i="1"/>
  <c r="V611" i="17" s="1"/>
  <c r="V614" i="17" s="1"/>
  <c r="W347" i="1"/>
  <c r="W611" i="17" s="1"/>
  <c r="W614" i="17" s="1"/>
  <c r="X347" i="1"/>
  <c r="X611" i="17" s="1"/>
  <c r="X614" i="17" s="1"/>
  <c r="S347" i="1"/>
  <c r="S611" i="17" s="1"/>
  <c r="S614" i="17" s="1"/>
  <c r="AL347" i="1"/>
  <c r="AL611" i="17" s="1"/>
  <c r="AL614" i="17" s="1"/>
  <c r="AN347" i="1"/>
  <c r="AN611" i="17" s="1"/>
  <c r="AN614" i="17" s="1"/>
  <c r="AU347" i="1"/>
  <c r="AU611" i="17" s="1"/>
  <c r="AU614" i="17" s="1"/>
  <c r="M347" i="1"/>
  <c r="M611" i="17" s="1"/>
  <c r="M614" i="17" s="1"/>
  <c r="T347" i="1"/>
  <c r="T611" i="17" s="1"/>
  <c r="T614" i="17" s="1"/>
  <c r="Z347" i="1"/>
  <c r="Z611" i="17" s="1"/>
  <c r="Z614" i="17" s="1"/>
  <c r="Y347" i="1"/>
  <c r="Y611" i="17" s="1"/>
  <c r="Y614" i="17" s="1"/>
  <c r="AT347" i="1"/>
  <c r="AT611" i="17" s="1"/>
  <c r="AT614" i="17" s="1"/>
  <c r="O347" i="1"/>
  <c r="O611" i="17" s="1"/>
  <c r="O614" i="17" s="1"/>
  <c r="AH347" i="1"/>
  <c r="AH611" i="17" s="1"/>
  <c r="AH614" i="17" s="1"/>
  <c r="AO347" i="1"/>
  <c r="AO611" i="17" s="1"/>
  <c r="AO614" i="17" s="1"/>
  <c r="P347" i="1"/>
  <c r="P611" i="17" s="1"/>
  <c r="P614" i="17" s="1"/>
  <c r="AI347" i="1"/>
  <c r="AI611" i="17" s="1"/>
  <c r="AI614" i="17" s="1"/>
  <c r="Q347" i="1"/>
  <c r="Q611" i="17" s="1"/>
  <c r="Q614" i="17" s="1"/>
  <c r="AV347" i="1"/>
  <c r="AV611" i="17" s="1"/>
  <c r="AV614" i="17" s="1"/>
  <c r="AF347" i="1"/>
  <c r="AF611" i="17" s="1"/>
  <c r="AF614" i="17" s="1"/>
  <c r="AP347" i="1"/>
  <c r="AP611" i="17" s="1"/>
  <c r="AP614" i="17" s="1"/>
  <c r="AJ347" i="1"/>
  <c r="AJ611" i="17" s="1"/>
  <c r="AJ614" i="17" s="1"/>
  <c r="AS347" i="1"/>
  <c r="AS611" i="17" s="1"/>
  <c r="AS614" i="17" s="1"/>
  <c r="AD347" i="1"/>
  <c r="AD611" i="17" s="1"/>
  <c r="AD614" i="17" s="1"/>
  <c r="R347" i="1"/>
  <c r="R611" i="17" s="1"/>
  <c r="R614" i="17" s="1"/>
  <c r="AC347" i="1"/>
  <c r="AC611" i="17" s="1"/>
  <c r="AC614" i="17" s="1"/>
  <c r="AQ347" i="1"/>
  <c r="AQ611" i="17" s="1"/>
  <c r="AQ614" i="17" s="1"/>
  <c r="AM347" i="1"/>
  <c r="AM611" i="17" s="1"/>
  <c r="AM614" i="17" s="1"/>
  <c r="AG426" i="17"/>
  <c r="AG430" i="17" s="1"/>
  <c r="AL146" i="26"/>
  <c r="S146" i="26"/>
  <c r="L146" i="26"/>
  <c r="L45" i="38"/>
  <c r="AR146" i="26"/>
  <c r="AP146" i="26"/>
  <c r="T146" i="26"/>
  <c r="AA146" i="26"/>
  <c r="AG146" i="26"/>
  <c r="AI146" i="26"/>
  <c r="AH146" i="26"/>
  <c r="AQ146" i="26"/>
  <c r="J787" i="17"/>
  <c r="J882" i="17"/>
  <c r="J45" i="38" s="1"/>
  <c r="W146" i="26"/>
  <c r="R146" i="26"/>
  <c r="AU146" i="26"/>
  <c r="Z146" i="26"/>
  <c r="AC146" i="26"/>
  <c r="AO146" i="26"/>
  <c r="AK146" i="26"/>
  <c r="AE146" i="26"/>
  <c r="M146" i="26"/>
  <c r="AH422" i="17"/>
  <c r="AH424" i="17" s="1"/>
  <c r="AH429" i="17"/>
  <c r="P80" i="38"/>
  <c r="Y270" i="13"/>
  <c r="AA217" i="13"/>
  <c r="AA218" i="13" s="1"/>
  <c r="Z221" i="13"/>
  <c r="Z239" i="13" s="1"/>
  <c r="Z240" i="13" s="1"/>
  <c r="Z242" i="13" s="1"/>
  <c r="Z288" i="13" s="1"/>
  <c r="F36" i="38" l="1"/>
  <c r="Q770" i="17"/>
  <c r="Q772" i="17" s="1"/>
  <c r="Q72" i="38" s="1"/>
  <c r="Q885" i="17"/>
  <c r="Q48" i="38" s="1"/>
  <c r="Q790" i="17"/>
  <c r="Q149" i="26" s="1"/>
  <c r="Q766" i="17"/>
  <c r="Q775" i="17" s="1"/>
  <c r="Q777" i="17" s="1"/>
  <c r="F908" i="17"/>
  <c r="C167" i="43" s="1"/>
  <c r="R752" i="17"/>
  <c r="G908" i="17" a="1"/>
  <c r="G908" i="17" s="1"/>
  <c r="D167" i="43" s="1"/>
  <c r="S805" i="17"/>
  <c r="S928" i="17"/>
  <c r="J37" i="42"/>
  <c r="I37" i="42" s="1"/>
  <c r="S725" i="17"/>
  <c r="S884" i="17" s="1"/>
  <c r="S721" i="17"/>
  <c r="S771" i="17" s="1"/>
  <c r="T696" i="17"/>
  <c r="T702" i="17"/>
  <c r="T703" i="17" s="1"/>
  <c r="AG432" i="17"/>
  <c r="AH428" i="17" s="1"/>
  <c r="S281" i="13"/>
  <c r="T278" i="13" s="1"/>
  <c r="E160" i="43"/>
  <c r="AB45" i="38"/>
  <c r="L980" i="17"/>
  <c r="H908" i="17"/>
  <c r="O980" i="17" a="1"/>
  <c r="O980" i="17" s="1"/>
  <c r="D52" i="25" s="1"/>
  <c r="F67" i="42" s="1"/>
  <c r="J67" i="42" s="1"/>
  <c r="I67" i="42" s="1"/>
  <c r="N980" i="17" a="1"/>
  <c r="N980" i="17" s="1"/>
  <c r="M980" i="17" a="1"/>
  <c r="M980" i="17" s="1"/>
  <c r="AV560" i="17"/>
  <c r="J523" i="17"/>
  <c r="J560" i="17" s="1"/>
  <c r="AV530" i="17"/>
  <c r="J528" i="17"/>
  <c r="M75" i="37"/>
  <c r="M76" i="37" s="1"/>
  <c r="M788" i="17"/>
  <c r="M654" i="17"/>
  <c r="M656" i="17" s="1"/>
  <c r="AK75" i="37"/>
  <c r="AK76" i="37" s="1"/>
  <c r="AK788" i="17"/>
  <c r="AK147" i="26" s="1"/>
  <c r="AK654" i="17"/>
  <c r="AK656" i="17" s="1"/>
  <c r="AG75" i="37"/>
  <c r="AG76" i="37" s="1"/>
  <c r="AG788" i="17"/>
  <c r="AG147" i="26" s="1"/>
  <c r="AG654" i="17"/>
  <c r="AG656" i="17" s="1"/>
  <c r="T75" i="37"/>
  <c r="T76" i="37" s="1"/>
  <c r="T788" i="17"/>
  <c r="T147" i="26" s="1"/>
  <c r="T654" i="17"/>
  <c r="T656" i="17" s="1"/>
  <c r="AS75" i="37"/>
  <c r="AS76" i="37" s="1"/>
  <c r="AS654" i="17"/>
  <c r="AS656" i="17" s="1"/>
  <c r="AS788" i="17"/>
  <c r="AS147" i="26" s="1"/>
  <c r="AO75" i="37"/>
  <c r="AO76" i="37" s="1"/>
  <c r="AO788" i="17"/>
  <c r="AO147" i="26" s="1"/>
  <c r="AO654" i="17"/>
  <c r="AO656" i="17" s="1"/>
  <c r="AU75" i="37"/>
  <c r="AU76" i="37" s="1"/>
  <c r="AU654" i="17"/>
  <c r="AU656" i="17" s="1"/>
  <c r="AU788" i="17"/>
  <c r="AU147" i="26" s="1"/>
  <c r="U75" i="37"/>
  <c r="U76" i="37" s="1"/>
  <c r="U654" i="17"/>
  <c r="U656" i="17" s="1"/>
  <c r="U788" i="17"/>
  <c r="U147" i="26" s="1"/>
  <c r="AR75" i="37"/>
  <c r="AR76" i="37" s="1"/>
  <c r="AR788" i="17"/>
  <c r="AR147" i="26" s="1"/>
  <c r="AR654" i="17"/>
  <c r="AR656" i="17" s="1"/>
  <c r="AD75" i="37"/>
  <c r="AD76" i="37" s="1"/>
  <c r="AD788" i="17"/>
  <c r="AD147" i="26" s="1"/>
  <c r="AD654" i="17"/>
  <c r="AD656" i="17" s="1"/>
  <c r="AJ75" i="37"/>
  <c r="AJ76" i="37" s="1"/>
  <c r="AJ788" i="17"/>
  <c r="AJ147" i="26" s="1"/>
  <c r="AJ654" i="17"/>
  <c r="AJ656" i="17" s="1"/>
  <c r="AH75" i="37"/>
  <c r="AH76" i="37" s="1"/>
  <c r="AH654" i="17"/>
  <c r="AH656" i="17" s="1"/>
  <c r="AH788" i="17"/>
  <c r="AH147" i="26" s="1"/>
  <c r="AN75" i="37"/>
  <c r="AN76" i="37" s="1"/>
  <c r="AN654" i="17"/>
  <c r="AN656" i="17" s="1"/>
  <c r="AN788" i="17"/>
  <c r="AN147" i="26" s="1"/>
  <c r="AB75" i="37"/>
  <c r="AB76" i="37" s="1"/>
  <c r="AB654" i="17"/>
  <c r="AB656" i="17" s="1"/>
  <c r="AB788" i="17"/>
  <c r="AB147" i="26" s="1"/>
  <c r="AV76" i="38"/>
  <c r="N994" i="17" a="1"/>
  <c r="N994" i="17" s="1"/>
  <c r="H1008" i="17"/>
  <c r="M994" i="17" a="1"/>
  <c r="M994" i="17" s="1"/>
  <c r="O994" i="17" a="1"/>
  <c r="O994" i="17" s="1"/>
  <c r="D33" i="25" s="1"/>
  <c r="D30" i="25" s="1"/>
  <c r="D70" i="25" s="1"/>
  <c r="N1008" i="17"/>
  <c r="H994" i="17" a="1"/>
  <c r="H994" i="17" s="1"/>
  <c r="O1008" i="17"/>
  <c r="E33" i="25" s="1"/>
  <c r="M1008" i="17"/>
  <c r="AP75" i="37"/>
  <c r="AP76" i="37" s="1"/>
  <c r="AP654" i="17"/>
  <c r="AP656" i="17" s="1"/>
  <c r="AP788" i="17"/>
  <c r="AP147" i="26" s="1"/>
  <c r="O75" i="37"/>
  <c r="O76" i="37" s="1"/>
  <c r="O654" i="17"/>
  <c r="O656" i="17" s="1"/>
  <c r="O788" i="17"/>
  <c r="AL75" i="37"/>
  <c r="AL76" i="37" s="1"/>
  <c r="AL654" i="17"/>
  <c r="AL656" i="17" s="1"/>
  <c r="AL788" i="17"/>
  <c r="AL147" i="26" s="1"/>
  <c r="AA75" i="37"/>
  <c r="AA76" i="37" s="1"/>
  <c r="AA654" i="17"/>
  <c r="AA656" i="17" s="1"/>
  <c r="AA788" i="17"/>
  <c r="AA147" i="26" s="1"/>
  <c r="AI75" i="37"/>
  <c r="AI76" i="37" s="1"/>
  <c r="AI788" i="17"/>
  <c r="AI147" i="26" s="1"/>
  <c r="AI654" i="17"/>
  <c r="AI656" i="17" s="1"/>
  <c r="AT75" i="37"/>
  <c r="AT76" i="37" s="1"/>
  <c r="AT654" i="17"/>
  <c r="AT656" i="17" s="1"/>
  <c r="AT788" i="17"/>
  <c r="AT147" i="26" s="1"/>
  <c r="S75" i="37"/>
  <c r="S76" i="37" s="1"/>
  <c r="S654" i="17"/>
  <c r="S656" i="17" s="1"/>
  <c r="S788" i="17"/>
  <c r="S147" i="26" s="1"/>
  <c r="AE75" i="37"/>
  <c r="AE76" i="37" s="1"/>
  <c r="AE654" i="17"/>
  <c r="AE656" i="17" s="1"/>
  <c r="AE788" i="17"/>
  <c r="AE147" i="26" s="1"/>
  <c r="R75" i="37"/>
  <c r="R76" i="37" s="1"/>
  <c r="R788" i="17"/>
  <c r="R147" i="26" s="1"/>
  <c r="R654" i="17"/>
  <c r="R656" i="17" s="1"/>
  <c r="AM75" i="37"/>
  <c r="AM76" i="37" s="1"/>
  <c r="AM654" i="17"/>
  <c r="AM656" i="17" s="1"/>
  <c r="AM788" i="17"/>
  <c r="AM147" i="26" s="1"/>
  <c r="AF75" i="37"/>
  <c r="AF76" i="37" s="1"/>
  <c r="AF788" i="17"/>
  <c r="AF147" i="26" s="1"/>
  <c r="AF654" i="17"/>
  <c r="AF656" i="17" s="1"/>
  <c r="AQ75" i="37"/>
  <c r="AQ76" i="37" s="1"/>
  <c r="AQ788" i="17"/>
  <c r="AQ147" i="26" s="1"/>
  <c r="AQ654" i="17"/>
  <c r="AQ656" i="17" s="1"/>
  <c r="AV75" i="37"/>
  <c r="AV76" i="37" s="1"/>
  <c r="AV654" i="17"/>
  <c r="AV656" i="17" s="1"/>
  <c r="AV788" i="17"/>
  <c r="AV147" i="26" s="1"/>
  <c r="Y75" i="37"/>
  <c r="Y76" i="37" s="1"/>
  <c r="Y654" i="17"/>
  <c r="Y656" i="17" s="1"/>
  <c r="Y788" i="17"/>
  <c r="Y147" i="26" s="1"/>
  <c r="X75" i="37"/>
  <c r="X76" i="37" s="1"/>
  <c r="X654" i="17"/>
  <c r="X656" i="17" s="1"/>
  <c r="X788" i="17"/>
  <c r="X147" i="26" s="1"/>
  <c r="N75" i="37"/>
  <c r="N76" i="37" s="1"/>
  <c r="N788" i="17"/>
  <c r="N654" i="17"/>
  <c r="N656" i="17" s="1"/>
  <c r="AV842" i="17"/>
  <c r="F842" i="17" s="1"/>
  <c r="V75" i="37"/>
  <c r="V76" i="37" s="1"/>
  <c r="V654" i="17"/>
  <c r="V656" i="17" s="1"/>
  <c r="V788" i="17"/>
  <c r="V147" i="26" s="1"/>
  <c r="P75" i="37"/>
  <c r="P76" i="37" s="1"/>
  <c r="P788" i="17"/>
  <c r="P654" i="17"/>
  <c r="P656" i="17" s="1"/>
  <c r="AC75" i="37"/>
  <c r="AC76" i="37" s="1"/>
  <c r="AC788" i="17"/>
  <c r="AC147" i="26" s="1"/>
  <c r="AC654" i="17"/>
  <c r="AC656" i="17" s="1"/>
  <c r="Q75" i="37"/>
  <c r="Q76" i="37" s="1"/>
  <c r="Q654" i="17"/>
  <c r="Q656" i="17" s="1"/>
  <c r="Q788" i="17"/>
  <c r="Z75" i="37"/>
  <c r="Z76" i="37" s="1"/>
  <c r="Z654" i="17"/>
  <c r="Z656" i="17" s="1"/>
  <c r="Z788" i="17"/>
  <c r="Z147" i="26" s="1"/>
  <c r="W75" i="37"/>
  <c r="W76" i="37" s="1"/>
  <c r="W788" i="17"/>
  <c r="W147" i="26" s="1"/>
  <c r="W654" i="17"/>
  <c r="W656" i="17" s="1"/>
  <c r="L654" i="17"/>
  <c r="L656" i="17" s="1"/>
  <c r="L788" i="17"/>
  <c r="L75" i="37"/>
  <c r="L76" i="37" s="1"/>
  <c r="J614" i="17"/>
  <c r="AG434" i="17"/>
  <c r="T573" i="17"/>
  <c r="T581" i="17" s="1"/>
  <c r="T583" i="17" s="1"/>
  <c r="U569" i="17"/>
  <c r="J146" i="26"/>
  <c r="AM423" i="17"/>
  <c r="AI421" i="17"/>
  <c r="AH426" i="17"/>
  <c r="S732" i="17"/>
  <c r="S60" i="38" s="1"/>
  <c r="Z270" i="13"/>
  <c r="AB217" i="13"/>
  <c r="AB218" i="13" s="1"/>
  <c r="AA221" i="13"/>
  <c r="AA239" i="13" s="1"/>
  <c r="AA240" i="13" s="1"/>
  <c r="AA242" i="13" s="1"/>
  <c r="AA288" i="13" s="1"/>
  <c r="T719" i="17" l="1"/>
  <c r="T720" i="17" s="1"/>
  <c r="T731" i="17" s="1"/>
  <c r="T59" i="38" s="1"/>
  <c r="T709" i="17"/>
  <c r="R758" i="17"/>
  <c r="R759" i="17" s="1"/>
  <c r="R760" i="17" s="1"/>
  <c r="R804" i="17"/>
  <c r="R924" i="17" s="1"/>
  <c r="R78" i="38" s="1"/>
  <c r="R64" i="38"/>
  <c r="F1028" i="17"/>
  <c r="Q70" i="38"/>
  <c r="Q73" i="38" s="1"/>
  <c r="Q802" i="17"/>
  <c r="Q926" i="17" s="1"/>
  <c r="R794" i="17"/>
  <c r="R153" i="26" s="1"/>
  <c r="R889" i="17"/>
  <c r="R51" i="38" s="1"/>
  <c r="S789" i="17"/>
  <c r="S148" i="26" s="1"/>
  <c r="U706" i="17"/>
  <c r="U542" i="17" s="1"/>
  <c r="U544" i="17" s="1"/>
  <c r="U559" i="17" s="1"/>
  <c r="U561" i="17" s="1"/>
  <c r="U563" i="17" s="1"/>
  <c r="U568" i="17" s="1"/>
  <c r="U570" i="17" s="1"/>
  <c r="T722" i="17"/>
  <c r="AG558" i="17"/>
  <c r="T279" i="13"/>
  <c r="T280" i="13" s="1"/>
  <c r="T283" i="13" s="1"/>
  <c r="T289" i="13" s="1"/>
  <c r="T290" i="13" s="1"/>
  <c r="E167" i="43"/>
  <c r="R93" i="37"/>
  <c r="R94" i="37"/>
  <c r="AV599" i="17"/>
  <c r="AV881" i="17"/>
  <c r="AV786" i="17"/>
  <c r="AV145" i="26" s="1"/>
  <c r="J530" i="17"/>
  <c r="L883" i="17"/>
  <c r="Q883" i="17"/>
  <c r="Q809" i="17"/>
  <c r="Q929" i="17" s="1"/>
  <c r="Q82" i="38" s="1"/>
  <c r="X809" i="17"/>
  <c r="X929" i="17" s="1"/>
  <c r="X82" i="38" s="1"/>
  <c r="X883" i="17"/>
  <c r="X46" i="38" s="1"/>
  <c r="AQ883" i="17"/>
  <c r="AQ46" i="38" s="1"/>
  <c r="AQ809" i="17"/>
  <c r="AQ929" i="17" s="1"/>
  <c r="AQ82" i="38" s="1"/>
  <c r="S883" i="17"/>
  <c r="S46" i="38" s="1"/>
  <c r="S809" i="17"/>
  <c r="S929" i="17" s="1"/>
  <c r="S82" i="38" s="1"/>
  <c r="U883" i="17"/>
  <c r="U46" i="38" s="1"/>
  <c r="U809" i="17"/>
  <c r="U929" i="17" s="1"/>
  <c r="U82" i="38" s="1"/>
  <c r="W883" i="17"/>
  <c r="W46" i="38" s="1"/>
  <c r="W809" i="17"/>
  <c r="W929" i="17" s="1"/>
  <c r="W82" i="38" s="1"/>
  <c r="R883" i="17"/>
  <c r="R46" i="38" s="1"/>
  <c r="R809" i="17"/>
  <c r="R929" i="17" s="1"/>
  <c r="R82" i="38" s="1"/>
  <c r="AA883" i="17"/>
  <c r="AA46" i="38" s="1"/>
  <c r="AA809" i="17"/>
  <c r="AA929" i="17" s="1"/>
  <c r="AA82" i="38" s="1"/>
  <c r="AN809" i="17"/>
  <c r="AN929" i="17" s="1"/>
  <c r="AN82" i="38" s="1"/>
  <c r="AN883" i="17"/>
  <c r="AN46" i="38" s="1"/>
  <c r="AD883" i="17"/>
  <c r="AD46" i="38" s="1"/>
  <c r="AD809" i="17"/>
  <c r="AD929" i="17" s="1"/>
  <c r="AD82" i="38" s="1"/>
  <c r="AS883" i="17"/>
  <c r="AS46" i="38" s="1"/>
  <c r="AS809" i="17"/>
  <c r="AS929" i="17" s="1"/>
  <c r="AS82" i="38" s="1"/>
  <c r="AK883" i="17"/>
  <c r="AK46" i="38" s="1"/>
  <c r="AK809" i="17"/>
  <c r="AK929" i="17" s="1"/>
  <c r="AK82" i="38" s="1"/>
  <c r="AM883" i="17"/>
  <c r="AM46" i="38" s="1"/>
  <c r="AM809" i="17"/>
  <c r="AM929" i="17" s="1"/>
  <c r="AM82" i="38" s="1"/>
  <c r="AC883" i="17"/>
  <c r="AC46" i="38" s="1"/>
  <c r="AC809" i="17"/>
  <c r="AC929" i="17" s="1"/>
  <c r="AC82" i="38" s="1"/>
  <c r="AP883" i="17"/>
  <c r="AP46" i="38" s="1"/>
  <c r="AP809" i="17"/>
  <c r="AP929" i="17" s="1"/>
  <c r="AP82" i="38" s="1"/>
  <c r="O809" i="17"/>
  <c r="O929" i="17" s="1"/>
  <c r="O82" i="38" s="1"/>
  <c r="O883" i="17"/>
  <c r="AU883" i="17"/>
  <c r="AU46" i="38" s="1"/>
  <c r="AU809" i="17"/>
  <c r="AU929" i="17" s="1"/>
  <c r="AU82" i="38" s="1"/>
  <c r="T883" i="17"/>
  <c r="T46" i="38" s="1"/>
  <c r="T809" i="17"/>
  <c r="T929" i="17" s="1"/>
  <c r="T82" i="38" s="1"/>
  <c r="N809" i="17"/>
  <c r="N929" i="17" s="1"/>
  <c r="N82" i="38" s="1"/>
  <c r="N883" i="17"/>
  <c r="AL883" i="17"/>
  <c r="AL46" i="38" s="1"/>
  <c r="AL809" i="17"/>
  <c r="AL929" i="17" s="1"/>
  <c r="AL82" i="38" s="1"/>
  <c r="AH809" i="17"/>
  <c r="AH929" i="17" s="1"/>
  <c r="AH82" i="38" s="1"/>
  <c r="AH883" i="17"/>
  <c r="AH46" i="38" s="1"/>
  <c r="AR809" i="17"/>
  <c r="AR929" i="17" s="1"/>
  <c r="AR82" i="38" s="1"/>
  <c r="AR883" i="17"/>
  <c r="AR46" i="38" s="1"/>
  <c r="M809" i="17"/>
  <c r="M929" i="17" s="1"/>
  <c r="M82" i="38" s="1"/>
  <c r="M883" i="17"/>
  <c r="Q147" i="26"/>
  <c r="Q793" i="17"/>
  <c r="V883" i="17"/>
  <c r="V46" i="38" s="1"/>
  <c r="V809" i="17"/>
  <c r="V929" i="17" s="1"/>
  <c r="V82" i="38" s="1"/>
  <c r="Y883" i="17"/>
  <c r="Y46" i="38" s="1"/>
  <c r="Y809" i="17"/>
  <c r="Y929" i="17" s="1"/>
  <c r="Y82" i="38" s="1"/>
  <c r="AF809" i="17"/>
  <c r="AF929" i="17" s="1"/>
  <c r="AF82" i="38" s="1"/>
  <c r="AF883" i="17"/>
  <c r="AF46" i="38" s="1"/>
  <c r="AT809" i="17"/>
  <c r="AT929" i="17" s="1"/>
  <c r="AT82" i="38" s="1"/>
  <c r="AT883" i="17"/>
  <c r="AT46" i="38" s="1"/>
  <c r="J75" i="37"/>
  <c r="J788" i="17"/>
  <c r="J147" i="26" s="1"/>
  <c r="J654" i="17"/>
  <c r="J883" i="17" s="1"/>
  <c r="J46" i="38" s="1"/>
  <c r="Z883" i="17"/>
  <c r="Z46" i="38" s="1"/>
  <c r="Z809" i="17"/>
  <c r="Z929" i="17" s="1"/>
  <c r="Z82" i="38" s="1"/>
  <c r="P883" i="17"/>
  <c r="P809" i="17"/>
  <c r="P929" i="17" s="1"/>
  <c r="N147" i="26"/>
  <c r="N793" i="17"/>
  <c r="AE809" i="17"/>
  <c r="AE929" i="17" s="1"/>
  <c r="AE82" i="38" s="1"/>
  <c r="AE883" i="17"/>
  <c r="AI809" i="17"/>
  <c r="AI929" i="17" s="1"/>
  <c r="AI82" i="38" s="1"/>
  <c r="AI883" i="17"/>
  <c r="AI46" i="38" s="1"/>
  <c r="AO809" i="17"/>
  <c r="AO929" i="17" s="1"/>
  <c r="AO82" i="38" s="1"/>
  <c r="AO883" i="17"/>
  <c r="AO46" i="38" s="1"/>
  <c r="M147" i="26"/>
  <c r="M793" i="17"/>
  <c r="L147" i="26"/>
  <c r="L793" i="17"/>
  <c r="J76" i="37"/>
  <c r="P147" i="26"/>
  <c r="P793" i="17"/>
  <c r="AV883" i="17"/>
  <c r="AV46" i="38" s="1"/>
  <c r="AV809" i="17"/>
  <c r="AV929" i="17" s="1"/>
  <c r="AV82" i="38" s="1"/>
  <c r="O147" i="26"/>
  <c r="O793" i="17"/>
  <c r="AB809" i="17"/>
  <c r="AB929" i="17" s="1"/>
  <c r="AB82" i="38" s="1"/>
  <c r="AB883" i="17"/>
  <c r="AJ809" i="17"/>
  <c r="AJ929" i="17" s="1"/>
  <c r="AJ82" i="38" s="1"/>
  <c r="AJ883" i="17"/>
  <c r="AJ46" i="38" s="1"/>
  <c r="AG883" i="17"/>
  <c r="AG46" i="38" s="1"/>
  <c r="AG809" i="17"/>
  <c r="AG929" i="17" s="1"/>
  <c r="AG82" i="38" s="1"/>
  <c r="T880" i="17"/>
  <c r="T43" i="38" s="1"/>
  <c r="S47" i="38"/>
  <c r="T785" i="17"/>
  <c r="T49" i="37" s="1"/>
  <c r="T50" i="37" s="1"/>
  <c r="T598" i="17"/>
  <c r="T600" i="17" s="1"/>
  <c r="T602" i="17" s="1"/>
  <c r="T56" i="38" s="1"/>
  <c r="AH430" i="17"/>
  <c r="AH432" i="17" s="1"/>
  <c r="AI428" i="17" s="1"/>
  <c r="AH434" i="17"/>
  <c r="AI422" i="17"/>
  <c r="AI424" i="17" s="1"/>
  <c r="AI429" i="17"/>
  <c r="S61" i="38"/>
  <c r="S736" i="17"/>
  <c r="S750" i="17" s="1"/>
  <c r="S757" i="17"/>
  <c r="AA270" i="13"/>
  <c r="AC217" i="13"/>
  <c r="AC218" i="13" s="1"/>
  <c r="AB221" i="13"/>
  <c r="AB239" i="13" s="1"/>
  <c r="AB240" i="13" s="1"/>
  <c r="AB242" i="13" s="1"/>
  <c r="AB288" i="13" s="1"/>
  <c r="R65" i="38" l="1"/>
  <c r="R769" i="17"/>
  <c r="R69" i="38" s="1"/>
  <c r="P82" i="38"/>
  <c r="R763" i="17"/>
  <c r="R770" i="17" s="1"/>
  <c r="R765" i="17"/>
  <c r="F909" i="17"/>
  <c r="C168" i="43" s="1"/>
  <c r="S752" i="17"/>
  <c r="T805" i="17"/>
  <c r="T928" i="17"/>
  <c r="S92" i="37"/>
  <c r="R71" i="38"/>
  <c r="T725" i="17"/>
  <c r="T721" i="17"/>
  <c r="T771" i="17" s="1"/>
  <c r="AH558" i="17"/>
  <c r="T281" i="13"/>
  <c r="U278" i="13" s="1"/>
  <c r="J786" i="17"/>
  <c r="J145" i="26" s="1"/>
  <c r="J599" i="17"/>
  <c r="J881" i="17"/>
  <c r="J44" i="38" s="1"/>
  <c r="L979" i="17"/>
  <c r="AV44" i="38"/>
  <c r="O979" i="17" a="1"/>
  <c r="O979" i="17" s="1"/>
  <c r="D51" i="25" s="1"/>
  <c r="F66" i="42" s="1"/>
  <c r="J66" i="42" s="1"/>
  <c r="I66" i="42" s="1"/>
  <c r="M979" i="17" a="1"/>
  <c r="M979" i="17" s="1"/>
  <c r="H907" i="17"/>
  <c r="N979" i="17" a="1"/>
  <c r="N979" i="17" s="1"/>
  <c r="P803" i="17"/>
  <c r="P806" i="17" s="1"/>
  <c r="P152" i="26"/>
  <c r="P795" i="17"/>
  <c r="P154" i="26" s="1"/>
  <c r="L803" i="17"/>
  <c r="L806" i="17" s="1"/>
  <c r="L152" i="26"/>
  <c r="L795" i="17"/>
  <c r="L154" i="26" s="1"/>
  <c r="AE46" i="38"/>
  <c r="H909" i="17"/>
  <c r="M46" i="38"/>
  <c r="M888" i="17"/>
  <c r="P46" i="38"/>
  <c r="P888" i="17"/>
  <c r="N46" i="38"/>
  <c r="N888" i="17"/>
  <c r="O795" i="17"/>
  <c r="O154" i="26" s="1"/>
  <c r="O152" i="26"/>
  <c r="O803" i="17"/>
  <c r="O806" i="17" s="1"/>
  <c r="M152" i="26"/>
  <c r="M803" i="17"/>
  <c r="M806" i="17" s="1"/>
  <c r="M795" i="17"/>
  <c r="M154" i="26" s="1"/>
  <c r="Q46" i="38"/>
  <c r="Q888" i="17"/>
  <c r="G909" i="17" a="1"/>
  <c r="G909" i="17" s="1"/>
  <c r="AB46" i="38"/>
  <c r="N152" i="26"/>
  <c r="N803" i="17"/>
  <c r="N806" i="17" s="1"/>
  <c r="N795" i="17"/>
  <c r="N154" i="26" s="1"/>
  <c r="Q152" i="26"/>
  <c r="Q795" i="17"/>
  <c r="Q154" i="26" s="1"/>
  <c r="Q803" i="17"/>
  <c r="Q806" i="17" s="1"/>
  <c r="O46" i="38"/>
  <c r="O888" i="17"/>
  <c r="L46" i="38"/>
  <c r="L981" i="17"/>
  <c r="O981" i="17" a="1"/>
  <c r="O981" i="17" s="1"/>
  <c r="D53" i="25" s="1"/>
  <c r="F68" i="42" s="1"/>
  <c r="J68" i="42" s="1"/>
  <c r="I68" i="42" s="1"/>
  <c r="M981" i="17" a="1"/>
  <c r="M981" i="17" s="1"/>
  <c r="N981" i="17" a="1"/>
  <c r="N981" i="17" s="1"/>
  <c r="L888" i="17"/>
  <c r="L809" i="17"/>
  <c r="L929" i="17" s="1"/>
  <c r="J656" i="17"/>
  <c r="J809" i="17" s="1"/>
  <c r="J929" i="17" s="1"/>
  <c r="J82" i="38" s="1"/>
  <c r="T144" i="26"/>
  <c r="T730" i="17"/>
  <c r="U573" i="17"/>
  <c r="U581" i="17" s="1"/>
  <c r="U583" i="17" s="1"/>
  <c r="V569" i="17"/>
  <c r="AN423" i="17"/>
  <c r="AJ421" i="17"/>
  <c r="AI426" i="17"/>
  <c r="Q80" i="38"/>
  <c r="R66" i="38"/>
  <c r="AB270" i="13"/>
  <c r="AD217" i="13"/>
  <c r="AD218" i="13" s="1"/>
  <c r="AC221" i="13"/>
  <c r="AC239" i="13" s="1"/>
  <c r="AC240" i="13" s="1"/>
  <c r="AC242" i="13" s="1"/>
  <c r="AC288" i="13" s="1"/>
  <c r="S64" i="38" l="1"/>
  <c r="S804" i="17"/>
  <c r="R58" i="37"/>
  <c r="R59" i="37" s="1"/>
  <c r="R790" i="17"/>
  <c r="R149" i="26" s="1"/>
  <c r="R885" i="17"/>
  <c r="R888" i="17" s="1"/>
  <c r="R890" i="17" s="1"/>
  <c r="R766" i="17"/>
  <c r="R775" i="17" s="1"/>
  <c r="R777" i="17" s="1"/>
  <c r="S758" i="17"/>
  <c r="S759" i="17" s="1"/>
  <c r="S794" i="17"/>
  <c r="S889" i="17"/>
  <c r="U279" i="13"/>
  <c r="U280" i="13" s="1"/>
  <c r="U283" i="13" s="1"/>
  <c r="U289" i="13" s="1"/>
  <c r="U290" i="13" s="1"/>
  <c r="D168" i="43"/>
  <c r="E168" i="43"/>
  <c r="E166" i="43"/>
  <c r="L82" i="38"/>
  <c r="N1015" i="17"/>
  <c r="M1015" i="17"/>
  <c r="L1001" i="17"/>
  <c r="H1015" i="17"/>
  <c r="M1001" i="17" a="1"/>
  <c r="M1001" i="17" s="1"/>
  <c r="O1001" i="17" a="1"/>
  <c r="O1001" i="17" s="1"/>
  <c r="D40" i="25" s="1"/>
  <c r="F46" i="42" s="1"/>
  <c r="J46" i="42" s="1"/>
  <c r="I46" i="42" s="1"/>
  <c r="H1001" i="17" a="1"/>
  <c r="H1001" i="17" s="1"/>
  <c r="O1015" i="17"/>
  <c r="E40" i="25" s="1"/>
  <c r="F58" i="42" s="1"/>
  <c r="J58" i="42" s="1"/>
  <c r="I58" i="42" s="1"/>
  <c r="N1001" i="17" a="1"/>
  <c r="N1001" i="17" s="1"/>
  <c r="O890" i="17"/>
  <c r="O52" i="38" s="1"/>
  <c r="O53" i="38" s="1"/>
  <c r="O50" i="38"/>
  <c r="Q890" i="17"/>
  <c r="Q52" i="38" s="1"/>
  <c r="Q53" i="38" s="1"/>
  <c r="Q50" i="38"/>
  <c r="P50" i="38"/>
  <c r="P890" i="17"/>
  <c r="P52" i="38" s="1"/>
  <c r="P53" i="38" s="1"/>
  <c r="L811" i="17"/>
  <c r="L812" i="17" s="1"/>
  <c r="L923" i="17"/>
  <c r="N50" i="38"/>
  <c r="N890" i="17"/>
  <c r="N52" i="38" s="1"/>
  <c r="N53" i="38" s="1"/>
  <c r="M811" i="17"/>
  <c r="M812" i="17" s="1"/>
  <c r="M923" i="17"/>
  <c r="L50" i="38"/>
  <c r="L890" i="17"/>
  <c r="N811" i="17"/>
  <c r="N812" i="17" s="1"/>
  <c r="N923" i="17"/>
  <c r="N892" i="17" s="1"/>
  <c r="M890" i="17"/>
  <c r="M52" i="38" s="1"/>
  <c r="M53" i="38" s="1"/>
  <c r="M50" i="38"/>
  <c r="Q923" i="17"/>
  <c r="Q892" i="17" s="1"/>
  <c r="Q811" i="17"/>
  <c r="Q812" i="17" s="1"/>
  <c r="O923" i="17"/>
  <c r="O892" i="17" s="1"/>
  <c r="O811" i="17"/>
  <c r="O812" i="17" s="1"/>
  <c r="P811" i="17"/>
  <c r="P812" i="17" s="1"/>
  <c r="P923" i="17"/>
  <c r="U880" i="17"/>
  <c r="U43" i="38" s="1"/>
  <c r="U785" i="17"/>
  <c r="U49" i="37" s="1"/>
  <c r="U50" i="37" s="1"/>
  <c r="U598" i="17"/>
  <c r="U600" i="17" s="1"/>
  <c r="U602" i="17" s="1"/>
  <c r="U56" i="38" s="1"/>
  <c r="AI430" i="17"/>
  <c r="AI432" i="17" s="1"/>
  <c r="AJ428" i="17" s="1"/>
  <c r="AI434" i="17"/>
  <c r="AJ422" i="17"/>
  <c r="AJ424" i="17" s="1"/>
  <c r="AJ429" i="17"/>
  <c r="R772" i="17"/>
  <c r="R70" i="38"/>
  <c r="T732" i="17"/>
  <c r="T60" i="38" s="1"/>
  <c r="T697" i="17"/>
  <c r="U693" i="17" s="1"/>
  <c r="U694" i="17" s="1"/>
  <c r="AC270" i="13"/>
  <c r="AE217" i="13"/>
  <c r="AE218" i="13" s="1"/>
  <c r="AD221" i="13"/>
  <c r="AD239" i="13" s="1"/>
  <c r="AD240" i="13" s="1"/>
  <c r="AD242" i="13" s="1"/>
  <c r="AD288" i="13" s="1"/>
  <c r="R793" i="17" l="1"/>
  <c r="R152" i="26" s="1"/>
  <c r="R48" i="38"/>
  <c r="L52" i="38"/>
  <c r="L53" i="38" s="1"/>
  <c r="AI558" i="17"/>
  <c r="U281" i="13"/>
  <c r="V278" i="13" s="1"/>
  <c r="S93" i="37"/>
  <c r="S94" i="37"/>
  <c r="N925" i="17"/>
  <c r="N77" i="38"/>
  <c r="L925" i="17"/>
  <c r="L77" i="38"/>
  <c r="Q77" i="38"/>
  <c r="Q925" i="17"/>
  <c r="O77" i="38"/>
  <c r="O925" i="17"/>
  <c r="P77" i="38"/>
  <c r="P892" i="17"/>
  <c r="P925" i="17"/>
  <c r="M77" i="38"/>
  <c r="M892" i="17"/>
  <c r="M925" i="17"/>
  <c r="L892" i="17"/>
  <c r="R52" i="38"/>
  <c r="S51" i="38"/>
  <c r="R50" i="38"/>
  <c r="U144" i="26"/>
  <c r="U730" i="17"/>
  <c r="AO423" i="17"/>
  <c r="AK421" i="17"/>
  <c r="AJ426" i="17"/>
  <c r="T61" i="38"/>
  <c r="T789" i="17"/>
  <c r="T148" i="26" s="1"/>
  <c r="T884" i="17"/>
  <c r="S924" i="17"/>
  <c r="S78" i="38" s="1"/>
  <c r="S769" i="17"/>
  <c r="S65" i="38"/>
  <c r="R802" i="17"/>
  <c r="R72" i="38"/>
  <c r="R73" i="38" s="1"/>
  <c r="S153" i="26"/>
  <c r="S760" i="17"/>
  <c r="T736" i="17"/>
  <c r="T750" i="17" s="1"/>
  <c r="T757" i="17"/>
  <c r="AD270" i="13"/>
  <c r="AE221" i="13"/>
  <c r="AE239" i="13" s="1"/>
  <c r="AE240" i="13" s="1"/>
  <c r="AE242" i="13" s="1"/>
  <c r="AE288" i="13" s="1"/>
  <c r="AF217" i="13"/>
  <c r="AF218" i="13" s="1"/>
  <c r="R53" i="38" l="1"/>
  <c r="R803" i="17"/>
  <c r="R923" i="17" s="1"/>
  <c r="R77" i="38" s="1"/>
  <c r="R795" i="17"/>
  <c r="R154" i="26" s="1"/>
  <c r="P930" i="17"/>
  <c r="S763" i="17"/>
  <c r="S885" i="17" s="1"/>
  <c r="S765" i="17"/>
  <c r="T92" i="37"/>
  <c r="T752" i="17"/>
  <c r="R926" i="17"/>
  <c r="R80" i="38" s="1"/>
  <c r="S69" i="38"/>
  <c r="S71" i="38"/>
  <c r="U696" i="17"/>
  <c r="U709" i="17" s="1"/>
  <c r="U702" i="17"/>
  <c r="U703" i="17" s="1"/>
  <c r="V279" i="13"/>
  <c r="V280" i="13" s="1"/>
  <c r="V283" i="13" s="1"/>
  <c r="V289" i="13" s="1"/>
  <c r="V290" i="13" s="1"/>
  <c r="M79" i="38"/>
  <c r="M930" i="17"/>
  <c r="Q79" i="38"/>
  <c r="Q930" i="17"/>
  <c r="O79" i="38"/>
  <c r="O930" i="17"/>
  <c r="P79" i="38"/>
  <c r="L930" i="17"/>
  <c r="L79" i="38"/>
  <c r="N930" i="17"/>
  <c r="N79" i="38"/>
  <c r="T47" i="38"/>
  <c r="AJ430" i="17"/>
  <c r="AJ432" i="17" s="1"/>
  <c r="AK428" i="17" s="1"/>
  <c r="AJ434" i="17"/>
  <c r="AK422" i="17"/>
  <c r="AK424" i="17" s="1"/>
  <c r="AK429" i="17"/>
  <c r="S66" i="38"/>
  <c r="AE270" i="13"/>
  <c r="AF221" i="13"/>
  <c r="AF239" i="13" s="1"/>
  <c r="AF240" i="13" s="1"/>
  <c r="AF242" i="13" s="1"/>
  <c r="AF288" i="13" s="1"/>
  <c r="AG217" i="13"/>
  <c r="AG218" i="13" s="1"/>
  <c r="T64" i="38" l="1"/>
  <c r="T804" i="17"/>
  <c r="R806" i="17"/>
  <c r="R811" i="17" s="1"/>
  <c r="R812" i="17" s="1"/>
  <c r="R925" i="17"/>
  <c r="R892" i="17"/>
  <c r="S790" i="17"/>
  <c r="S793" i="17" s="1"/>
  <c r="S152" i="26" s="1"/>
  <c r="S770" i="17"/>
  <c r="S70" i="38" s="1"/>
  <c r="S58" i="37"/>
  <c r="S59" i="37" s="1"/>
  <c r="S766" i="17"/>
  <c r="S775" i="17" s="1"/>
  <c r="S777" i="17" s="1"/>
  <c r="T794" i="17"/>
  <c r="T758" i="17"/>
  <c r="T889" i="17"/>
  <c r="U719" i="17"/>
  <c r="U720" i="17" s="1"/>
  <c r="U731" i="17" s="1"/>
  <c r="V706" i="17"/>
  <c r="V542" i="17" s="1"/>
  <c r="V544" i="17" s="1"/>
  <c r="V559" i="17" s="1"/>
  <c r="V561" i="17" s="1"/>
  <c r="V563" i="17" s="1"/>
  <c r="V568" i="17" s="1"/>
  <c r="V570" i="17" s="1"/>
  <c r="U722" i="17"/>
  <c r="U697" i="17"/>
  <c r="V693" i="17" s="1"/>
  <c r="V694" i="17" s="1"/>
  <c r="AJ558" i="17"/>
  <c r="V281" i="13"/>
  <c r="W278" i="13" s="1"/>
  <c r="W279" i="13" s="1"/>
  <c r="W280" i="13" s="1"/>
  <c r="W283" i="13" s="1"/>
  <c r="W289" i="13" s="1"/>
  <c r="W290" i="13" s="1"/>
  <c r="S888" i="17"/>
  <c r="S890" i="17" s="1"/>
  <c r="S48" i="38"/>
  <c r="AP423" i="17"/>
  <c r="AL421" i="17"/>
  <c r="AK426" i="17"/>
  <c r="AF270" i="13"/>
  <c r="AG221" i="13"/>
  <c r="AG239" i="13" s="1"/>
  <c r="AG240" i="13" s="1"/>
  <c r="AG242" i="13" s="1"/>
  <c r="AG288" i="13" s="1"/>
  <c r="AH217" i="13"/>
  <c r="AH218" i="13" s="1"/>
  <c r="R930" i="17" l="1"/>
  <c r="R79" i="38"/>
  <c r="S772" i="17"/>
  <c r="S72" i="38" s="1"/>
  <c r="S73" i="38" s="1"/>
  <c r="S149" i="26"/>
  <c r="U732" i="17"/>
  <c r="U60" i="38" s="1"/>
  <c r="U59" i="38"/>
  <c r="U805" i="17"/>
  <c r="U928" i="17"/>
  <c r="U725" i="17"/>
  <c r="U884" i="17" s="1"/>
  <c r="U47" i="38" s="1"/>
  <c r="U721" i="17"/>
  <c r="U771" i="17" s="1"/>
  <c r="V696" i="17"/>
  <c r="V702" i="17"/>
  <c r="V703" i="17" s="1"/>
  <c r="W281" i="13"/>
  <c r="X278" i="13" s="1"/>
  <c r="S52" i="38"/>
  <c r="S53" i="38" s="1"/>
  <c r="S50" i="38"/>
  <c r="V573" i="17"/>
  <c r="V581" i="17" s="1"/>
  <c r="V583" i="17" s="1"/>
  <c r="W569" i="17"/>
  <c r="AK430" i="17"/>
  <c r="AK432" i="17" s="1"/>
  <c r="AL428" i="17" s="1"/>
  <c r="AK434" i="17"/>
  <c r="AL422" i="17"/>
  <c r="AL424" i="17" s="1"/>
  <c r="AL429" i="17"/>
  <c r="S795" i="17"/>
  <c r="S154" i="26" s="1"/>
  <c r="S803" i="17"/>
  <c r="S923" i="17" s="1"/>
  <c r="S77" i="38" s="1"/>
  <c r="T153" i="26"/>
  <c r="T759" i="17"/>
  <c r="AG270" i="13"/>
  <c r="AI217" i="13"/>
  <c r="AI218" i="13" s="1"/>
  <c r="AH221" i="13"/>
  <c r="AH239" i="13" s="1"/>
  <c r="AH240" i="13" s="1"/>
  <c r="AH242" i="13" s="1"/>
  <c r="AH288" i="13" s="1"/>
  <c r="V719" i="17" l="1"/>
  <c r="V720" i="17" s="1"/>
  <c r="V731" i="17" s="1"/>
  <c r="V59" i="38" s="1"/>
  <c r="V709" i="17"/>
  <c r="S802" i="17"/>
  <c r="S926" i="17" s="1"/>
  <c r="S80" i="38" s="1"/>
  <c r="U757" i="17"/>
  <c r="U736" i="17"/>
  <c r="U61" i="38"/>
  <c r="T93" i="37"/>
  <c r="U789" i="17"/>
  <c r="U148" i="26" s="1"/>
  <c r="W706" i="17"/>
  <c r="W542" i="17" s="1"/>
  <c r="W544" i="17" s="1"/>
  <c r="W559" i="17" s="1"/>
  <c r="W561" i="17" s="1"/>
  <c r="W563" i="17" s="1"/>
  <c r="W568" i="17" s="1"/>
  <c r="W570" i="17" s="1"/>
  <c r="V722" i="17"/>
  <c r="AK558" i="17"/>
  <c r="X279" i="13"/>
  <c r="X280" i="13" s="1"/>
  <c r="X283" i="13" s="1"/>
  <c r="X289" i="13" s="1"/>
  <c r="X290" i="13" s="1"/>
  <c r="T94" i="37"/>
  <c r="V880" i="17"/>
  <c r="V43" i="38" s="1"/>
  <c r="T51" i="38"/>
  <c r="V785" i="17"/>
  <c r="V49" i="37" s="1"/>
  <c r="V50" i="37" s="1"/>
  <c r="V598" i="17"/>
  <c r="V600" i="17" s="1"/>
  <c r="V602" i="17" s="1"/>
  <c r="V56" i="38" s="1"/>
  <c r="AQ423" i="17"/>
  <c r="AM421" i="17"/>
  <c r="AL426" i="17"/>
  <c r="S892" i="17"/>
  <c r="S925" i="17"/>
  <c r="T769" i="17"/>
  <c r="T65" i="38"/>
  <c r="T924" i="17"/>
  <c r="T78" i="38" s="1"/>
  <c r="T760" i="17"/>
  <c r="AH270" i="13"/>
  <c r="AJ217" i="13"/>
  <c r="AJ218" i="13" s="1"/>
  <c r="AI221" i="13"/>
  <c r="AI239" i="13" s="1"/>
  <c r="AI240" i="13" s="1"/>
  <c r="AI242" i="13" s="1"/>
  <c r="AI288" i="13" s="1"/>
  <c r="S806" i="17" l="1"/>
  <c r="S811" i="17" s="1"/>
  <c r="S812" i="17" s="1"/>
  <c r="T763" i="17"/>
  <c r="T58" i="37" s="1"/>
  <c r="T59" i="37" s="1"/>
  <c r="T765" i="17"/>
  <c r="U750" i="17"/>
  <c r="V805" i="17"/>
  <c r="V928" i="17"/>
  <c r="S79" i="38"/>
  <c r="T69" i="38"/>
  <c r="T71" i="38"/>
  <c r="V725" i="17"/>
  <c r="V721" i="17"/>
  <c r="V771" i="17" s="1"/>
  <c r="X281" i="13"/>
  <c r="Y278" i="13" s="1"/>
  <c r="V144" i="26"/>
  <c r="V730" i="17"/>
  <c r="W573" i="17"/>
  <c r="W581" i="17" s="1"/>
  <c r="W583" i="17" s="1"/>
  <c r="X569" i="17"/>
  <c r="AL430" i="17"/>
  <c r="AL432" i="17" s="1"/>
  <c r="AM428" i="17" s="1"/>
  <c r="AL434" i="17"/>
  <c r="AM422" i="17"/>
  <c r="AM424" i="17" s="1"/>
  <c r="AM429" i="17"/>
  <c r="S930" i="17"/>
  <c r="T66" i="38"/>
  <c r="AI270" i="13"/>
  <c r="AK217" i="13"/>
  <c r="AK218" i="13" s="1"/>
  <c r="AJ221" i="13"/>
  <c r="AJ239" i="13" s="1"/>
  <c r="AJ240" i="13" s="1"/>
  <c r="AJ242" i="13" s="1"/>
  <c r="AJ288" i="13" s="1"/>
  <c r="T885" i="17" l="1"/>
  <c r="T888" i="17" s="1"/>
  <c r="T890" i="17" s="1"/>
  <c r="T770" i="17"/>
  <c r="T70" i="38" s="1"/>
  <c r="T790" i="17"/>
  <c r="T793" i="17" s="1"/>
  <c r="T152" i="26" s="1"/>
  <c r="T766" i="17"/>
  <c r="T775" i="17" s="1"/>
  <c r="T777" i="17" s="1"/>
  <c r="G919" i="17" s="1" a="1"/>
  <c r="G919" i="17" s="1"/>
  <c r="D176" i="43" s="1"/>
  <c r="U752" i="17"/>
  <c r="U92" i="37"/>
  <c r="U93" i="37" s="1"/>
  <c r="AL558" i="17"/>
  <c r="Y279" i="13"/>
  <c r="Y280" i="13" s="1"/>
  <c r="Y283" i="13" s="1"/>
  <c r="Y289" i="13" s="1"/>
  <c r="Y290" i="13" s="1"/>
  <c r="W880" i="17"/>
  <c r="W43" i="38" s="1"/>
  <c r="W598" i="17"/>
  <c r="W600" i="17" s="1"/>
  <c r="W602" i="17" s="1"/>
  <c r="W785" i="17"/>
  <c r="W144" i="26" s="1"/>
  <c r="AR423" i="17"/>
  <c r="AN421" i="17"/>
  <c r="AM426" i="17"/>
  <c r="V732" i="17"/>
  <c r="V60" i="38" s="1"/>
  <c r="V697" i="17"/>
  <c r="W693" i="17" s="1"/>
  <c r="W694" i="17" s="1"/>
  <c r="AJ270" i="13"/>
  <c r="AL217" i="13"/>
  <c r="AL218" i="13" s="1"/>
  <c r="AK221" i="13"/>
  <c r="AK239" i="13" s="1"/>
  <c r="AK240" i="13" s="1"/>
  <c r="AK242" i="13" s="1"/>
  <c r="AK288" i="13" s="1"/>
  <c r="U794" i="17" l="1"/>
  <c r="U153" i="26" s="1"/>
  <c r="U804" i="17"/>
  <c r="U924" i="17" s="1"/>
  <c r="U78" i="38" s="1"/>
  <c r="U64" i="38"/>
  <c r="T772" i="17"/>
  <c r="T72" i="38" s="1"/>
  <c r="T73" i="38" s="1"/>
  <c r="T48" i="38"/>
  <c r="T149" i="26"/>
  <c r="U889" i="17"/>
  <c r="U51" i="38" s="1"/>
  <c r="U758" i="17"/>
  <c r="U759" i="17" s="1"/>
  <c r="U760" i="17" s="1"/>
  <c r="U94" i="37"/>
  <c r="Y281" i="13"/>
  <c r="Z278" i="13" s="1"/>
  <c r="Z279" i="13" s="1"/>
  <c r="Z280" i="13" s="1"/>
  <c r="Z283" i="13" s="1"/>
  <c r="Z289" i="13" s="1"/>
  <c r="Z290" i="13" s="1"/>
  <c r="W56" i="38"/>
  <c r="T52" i="38"/>
  <c r="T50" i="38"/>
  <c r="W730" i="17"/>
  <c r="W49" i="37"/>
  <c r="W50" i="37" s="1"/>
  <c r="AM430" i="17"/>
  <c r="AM432" i="17" s="1"/>
  <c r="AN428" i="17" s="1"/>
  <c r="AM434" i="17"/>
  <c r="AN422" i="17"/>
  <c r="AN424" i="17" s="1"/>
  <c r="AN429" i="17"/>
  <c r="T795" i="17"/>
  <c r="T154" i="26" s="1"/>
  <c r="T803" i="17"/>
  <c r="T923" i="17" s="1"/>
  <c r="T77" i="38" s="1"/>
  <c r="V61" i="38"/>
  <c r="V789" i="17"/>
  <c r="V148" i="26" s="1"/>
  <c r="V884" i="17"/>
  <c r="V47" i="38" s="1"/>
  <c r="V736" i="17"/>
  <c r="V750" i="17" s="1"/>
  <c r="V757" i="17"/>
  <c r="AK270" i="13"/>
  <c r="AM217" i="13"/>
  <c r="AM218" i="13" s="1"/>
  <c r="AL221" i="13"/>
  <c r="AL239" i="13" s="1"/>
  <c r="AL240" i="13" s="1"/>
  <c r="AL242" i="13" s="1"/>
  <c r="AL288" i="13" s="1"/>
  <c r="T802" i="17" l="1"/>
  <c r="T806" i="17" s="1"/>
  <c r="T811" i="17" s="1"/>
  <c r="T812" i="17" s="1"/>
  <c r="T53" i="38"/>
  <c r="U763" i="17"/>
  <c r="U770" i="17" s="1"/>
  <c r="U70" i="38" s="1"/>
  <c r="U765" i="17"/>
  <c r="U769" i="17"/>
  <c r="U69" i="38" s="1"/>
  <c r="U65" i="38"/>
  <c r="U66" i="38" s="1"/>
  <c r="V92" i="37"/>
  <c r="V752" i="17"/>
  <c r="U71" i="38"/>
  <c r="W696" i="17"/>
  <c r="W702" i="17"/>
  <c r="W703" i="17" s="1"/>
  <c r="AM558" i="17"/>
  <c r="Z281" i="13"/>
  <c r="AA278" i="13" s="1"/>
  <c r="AS423" i="17"/>
  <c r="AO422" i="17"/>
  <c r="AT423" i="17" s="1"/>
  <c r="AO429" i="17"/>
  <c r="AO421" i="17"/>
  <c r="AN426" i="17"/>
  <c r="T925" i="17"/>
  <c r="T892" i="17"/>
  <c r="AL270" i="13"/>
  <c r="AM221" i="13"/>
  <c r="AM239" i="13" s="1"/>
  <c r="AM240" i="13" s="1"/>
  <c r="AM242" i="13" s="1"/>
  <c r="AM288" i="13" s="1"/>
  <c r="AN217" i="13"/>
  <c r="AN218" i="13" s="1"/>
  <c r="W719" i="17" l="1"/>
  <c r="W720" i="17" s="1"/>
  <c r="W731" i="17" s="1"/>
  <c r="W59" i="38" s="1"/>
  <c r="W709" i="17"/>
  <c r="V64" i="38"/>
  <c r="V804" i="17"/>
  <c r="T926" i="17"/>
  <c r="T80" i="38" s="1"/>
  <c r="U790" i="17"/>
  <c r="U149" i="26" s="1"/>
  <c r="U58" i="37"/>
  <c r="U59" i="37" s="1"/>
  <c r="U885" i="17"/>
  <c r="U766" i="17"/>
  <c r="U775" i="17" s="1"/>
  <c r="U777" i="17" s="1"/>
  <c r="U772" i="17"/>
  <c r="U72" i="38" s="1"/>
  <c r="U73" i="38" s="1"/>
  <c r="T79" i="38"/>
  <c r="V794" i="17"/>
  <c r="V758" i="17"/>
  <c r="V889" i="17"/>
  <c r="X706" i="17"/>
  <c r="X542" i="17" s="1"/>
  <c r="X544" i="17" s="1"/>
  <c r="X559" i="17" s="1"/>
  <c r="X561" i="17" s="1"/>
  <c r="X563" i="17" s="1"/>
  <c r="X568" i="17" s="1"/>
  <c r="X570" i="17" s="1"/>
  <c r="W722" i="17"/>
  <c r="AA279" i="13"/>
  <c r="AA280" i="13" s="1"/>
  <c r="AA283" i="13" s="1"/>
  <c r="AA289" i="13" s="1"/>
  <c r="AA290" i="13" s="1"/>
  <c r="AO424" i="17"/>
  <c r="AP421" i="17" s="1"/>
  <c r="AN430" i="17"/>
  <c r="AN432" i="17" s="1"/>
  <c r="AO428" i="17" s="1"/>
  <c r="AN434" i="17"/>
  <c r="W697" i="17"/>
  <c r="AM270" i="13"/>
  <c r="AN221" i="13"/>
  <c r="AN239" i="13" s="1"/>
  <c r="AN240" i="13" s="1"/>
  <c r="AN242" i="13" s="1"/>
  <c r="AN288" i="13" s="1"/>
  <c r="AO217" i="13"/>
  <c r="AO218" i="13" s="1"/>
  <c r="T930" i="17" l="1"/>
  <c r="U793" i="17"/>
  <c r="U795" i="17" s="1"/>
  <c r="U154" i="26" s="1"/>
  <c r="U888" i="17"/>
  <c r="U48" i="38"/>
  <c r="U802" i="17"/>
  <c r="U926" i="17" s="1"/>
  <c r="U80" i="38" s="1"/>
  <c r="W805" i="17"/>
  <c r="W928" i="17"/>
  <c r="W725" i="17"/>
  <c r="W789" i="17" s="1"/>
  <c r="W148" i="26" s="1"/>
  <c r="W721" i="17"/>
  <c r="W771" i="17" s="1"/>
  <c r="X693" i="17"/>
  <c r="X694" i="17" s="1"/>
  <c r="AN558" i="17"/>
  <c r="AA281" i="13"/>
  <c r="AB278" i="13" s="1"/>
  <c r="X573" i="17"/>
  <c r="X581" i="17" s="1"/>
  <c r="X583" i="17" s="1"/>
  <c r="Y569" i="17"/>
  <c r="AO426" i="17"/>
  <c r="AO434" i="17" s="1"/>
  <c r="V51" i="38"/>
  <c r="AP422" i="17"/>
  <c r="AP424" i="17" s="1"/>
  <c r="AP429" i="17"/>
  <c r="V759" i="17"/>
  <c r="V760" i="17" s="1"/>
  <c r="V153" i="26"/>
  <c r="W732" i="17"/>
  <c r="W60" i="38" s="1"/>
  <c r="AN270" i="13"/>
  <c r="AO221" i="13"/>
  <c r="AO239" i="13" s="1"/>
  <c r="AO240" i="13" s="1"/>
  <c r="AO242" i="13" s="1"/>
  <c r="AO288" i="13" s="1"/>
  <c r="AP217" i="13"/>
  <c r="AP218" i="13" s="1"/>
  <c r="U803" i="17" l="1"/>
  <c r="U923" i="17" s="1"/>
  <c r="U77" i="38" s="1"/>
  <c r="U152" i="26"/>
  <c r="V763" i="17"/>
  <c r="V885" i="17" s="1"/>
  <c r="V765" i="17"/>
  <c r="U890" i="17"/>
  <c r="U52" i="38" s="1"/>
  <c r="U53" i="38" s="1"/>
  <c r="U50" i="38"/>
  <c r="W884" i="17"/>
  <c r="W47" i="38" s="1"/>
  <c r="AO558" i="17"/>
  <c r="AB279" i="13"/>
  <c r="AB280" i="13" s="1"/>
  <c r="AB283" i="13" s="1"/>
  <c r="AB289" i="13" s="1"/>
  <c r="AB290" i="13" s="1"/>
  <c r="V93" i="37"/>
  <c r="V94" i="37"/>
  <c r="X880" i="17"/>
  <c r="X43" i="38" s="1"/>
  <c r="AO430" i="17"/>
  <c r="AO432" i="17" s="1"/>
  <c r="AP428" i="17" s="1"/>
  <c r="X598" i="17"/>
  <c r="X600" i="17" s="1"/>
  <c r="X602" i="17" s="1"/>
  <c r="X56" i="38" s="1"/>
  <c r="X785" i="17"/>
  <c r="X144" i="26" s="1"/>
  <c r="AU423" i="17"/>
  <c r="AQ422" i="17"/>
  <c r="AV423" i="17" s="1"/>
  <c r="AQ429" i="17"/>
  <c r="AQ421" i="17"/>
  <c r="AP426" i="17"/>
  <c r="W61" i="38"/>
  <c r="V924" i="17"/>
  <c r="V78" i="38" s="1"/>
  <c r="V769" i="17"/>
  <c r="V65" i="38"/>
  <c r="W757" i="17"/>
  <c r="W736" i="17"/>
  <c r="W750" i="17" s="1"/>
  <c r="AO270" i="13"/>
  <c r="AQ217" i="13"/>
  <c r="AQ218" i="13" s="1"/>
  <c r="AP221" i="13"/>
  <c r="AP239" i="13" s="1"/>
  <c r="AP240" i="13" s="1"/>
  <c r="AP242" i="13" s="1"/>
  <c r="AP288" i="13" s="1"/>
  <c r="U806" i="17" l="1"/>
  <c r="U811" i="17" s="1"/>
  <c r="U812" i="17" s="1"/>
  <c r="V58" i="37"/>
  <c r="V790" i="17"/>
  <c r="V149" i="26" s="1"/>
  <c r="V770" i="17"/>
  <c r="V772" i="17" s="1"/>
  <c r="U892" i="17"/>
  <c r="U925" i="17"/>
  <c r="U79" i="38" s="1"/>
  <c r="V766" i="17"/>
  <c r="V775" i="17" s="1"/>
  <c r="V777" i="17" s="1"/>
  <c r="W92" i="37"/>
  <c r="W752" i="17"/>
  <c r="V69" i="38"/>
  <c r="V71" i="38"/>
  <c r="X702" i="17"/>
  <c r="X703" i="17" s="1"/>
  <c r="X696" i="17"/>
  <c r="AB281" i="13"/>
  <c r="AC278" i="13" s="1"/>
  <c r="X49" i="37"/>
  <c r="X50" i="37" s="1"/>
  <c r="X730" i="17"/>
  <c r="J423" i="17"/>
  <c r="AQ424" i="17"/>
  <c r="AR421" i="17" s="1"/>
  <c r="AP430" i="17"/>
  <c r="AP432" i="17" s="1"/>
  <c r="AQ428" i="17" s="1"/>
  <c r="AP434" i="17"/>
  <c r="V888" i="17"/>
  <c r="V50" i="38" s="1"/>
  <c r="V48" i="38"/>
  <c r="V66" i="38"/>
  <c r="AP270" i="13"/>
  <c r="AR217" i="13"/>
  <c r="AR218" i="13" s="1"/>
  <c r="AQ221" i="13"/>
  <c r="AQ239" i="13" s="1"/>
  <c r="AQ240" i="13" s="1"/>
  <c r="AQ242" i="13" s="1"/>
  <c r="AQ288" i="13" s="1"/>
  <c r="X719" i="17" l="1"/>
  <c r="X720" i="17" s="1"/>
  <c r="X731" i="17" s="1"/>
  <c r="X59" i="38" s="1"/>
  <c r="X709" i="17"/>
  <c r="W804" i="17"/>
  <c r="W64" i="38"/>
  <c r="V793" i="17"/>
  <c r="V803" i="17" s="1"/>
  <c r="V923" i="17" s="1"/>
  <c r="V77" i="38" s="1"/>
  <c r="V70" i="38"/>
  <c r="U930" i="17"/>
  <c r="W794" i="17"/>
  <c r="W758" i="17"/>
  <c r="W889" i="17"/>
  <c r="Y706" i="17"/>
  <c r="Y542" i="17" s="1"/>
  <c r="Y544" i="17" s="1"/>
  <c r="Y559" i="17" s="1"/>
  <c r="Y561" i="17" s="1"/>
  <c r="Y563" i="17" s="1"/>
  <c r="Y568" i="17" s="1"/>
  <c r="Y570" i="17" s="1"/>
  <c r="Y573" i="17" s="1"/>
  <c r="Y581" i="17" s="1"/>
  <c r="Y583" i="17" s="1"/>
  <c r="X722" i="17"/>
  <c r="X697" i="17"/>
  <c r="AP558" i="17"/>
  <c r="AC279" i="13"/>
  <c r="AC280" i="13" s="1"/>
  <c r="AC283" i="13" s="1"/>
  <c r="AC289" i="13" s="1"/>
  <c r="AC290" i="13" s="1"/>
  <c r="AQ426" i="17"/>
  <c r="AQ430" i="17" s="1"/>
  <c r="AQ432" i="17" s="1"/>
  <c r="AR428" i="17" s="1"/>
  <c r="AR422" i="17"/>
  <c r="AR424" i="17" s="1"/>
  <c r="AR426" i="17" s="1"/>
  <c r="AR434" i="17" s="1"/>
  <c r="AR429" i="17"/>
  <c r="V890" i="17"/>
  <c r="V52" i="38" s="1"/>
  <c r="V53" i="38" s="1"/>
  <c r="V802" i="17"/>
  <c r="V72" i="38"/>
  <c r="AQ270" i="13"/>
  <c r="AS217" i="13"/>
  <c r="AS218" i="13" s="1"/>
  <c r="AR221" i="13"/>
  <c r="AR239" i="13" s="1"/>
  <c r="AR240" i="13" s="1"/>
  <c r="AR242" i="13" s="1"/>
  <c r="AR288" i="13" s="1"/>
  <c r="V795" i="17" l="1"/>
  <c r="V154" i="26" s="1"/>
  <c r="V152" i="26"/>
  <c r="V73" i="38"/>
  <c r="X805" i="17"/>
  <c r="X928" i="17"/>
  <c r="V926" i="17"/>
  <c r="V80" i="38" s="1"/>
  <c r="V806" i="17"/>
  <c r="V811" i="17" s="1"/>
  <c r="V812" i="17" s="1"/>
  <c r="X725" i="17"/>
  <c r="X789" i="17" s="1"/>
  <c r="X148" i="26" s="1"/>
  <c r="X721" i="17"/>
  <c r="X771" i="17" s="1"/>
  <c r="Z569" i="17"/>
  <c r="Y693" i="17"/>
  <c r="Y694" i="17" s="1"/>
  <c r="AR558" i="17"/>
  <c r="AC281" i="13"/>
  <c r="AD278" i="13" s="1"/>
  <c r="AD279" i="13" s="1"/>
  <c r="AD280" i="13" s="1"/>
  <c r="AD283" i="13" s="1"/>
  <c r="AD289" i="13" s="1"/>
  <c r="AD290" i="13" s="1"/>
  <c r="Y880" i="17"/>
  <c r="Y43" i="38" s="1"/>
  <c r="Y785" i="17"/>
  <c r="Y144" i="26" s="1"/>
  <c r="Y598" i="17"/>
  <c r="Y600" i="17" s="1"/>
  <c r="Y602" i="17" s="1"/>
  <c r="Y56" i="38" s="1"/>
  <c r="AQ434" i="17"/>
  <c r="AS422" i="17"/>
  <c r="AS429" i="17"/>
  <c r="AR430" i="17"/>
  <c r="AR432" i="17" s="1"/>
  <c r="AS428" i="17" s="1"/>
  <c r="AS421" i="17"/>
  <c r="V925" i="17"/>
  <c r="V892" i="17"/>
  <c r="W51" i="38"/>
  <c r="W759" i="17"/>
  <c r="W760" i="17" s="1"/>
  <c r="W153" i="26"/>
  <c r="X732" i="17"/>
  <c r="X60" i="38" s="1"/>
  <c r="AR270" i="13"/>
  <c r="AT217" i="13"/>
  <c r="AT218" i="13" s="1"/>
  <c r="AS221" i="13"/>
  <c r="AS239" i="13" s="1"/>
  <c r="AS240" i="13" s="1"/>
  <c r="AS242" i="13" s="1"/>
  <c r="AS288" i="13" s="1"/>
  <c r="W763" i="17" l="1"/>
  <c r="W885" i="17" s="1"/>
  <c r="W765" i="17"/>
  <c r="X884" i="17"/>
  <c r="X47" i="38" s="1"/>
  <c r="W93" i="37"/>
  <c r="W924" i="17"/>
  <c r="W78" i="38" s="1"/>
  <c r="Y702" i="17"/>
  <c r="Y703" i="17" s="1"/>
  <c r="Y696" i="17"/>
  <c r="AQ558" i="17"/>
  <c r="AD281" i="13"/>
  <c r="AE278" i="13" s="1"/>
  <c r="AE279" i="13" s="1"/>
  <c r="AE280" i="13" s="1"/>
  <c r="W94" i="37"/>
  <c r="Y49" i="37"/>
  <c r="Y50" i="37" s="1"/>
  <c r="Y730" i="17"/>
  <c r="AS424" i="17"/>
  <c r="AS426" i="17" s="1"/>
  <c r="AS434" i="17" s="1"/>
  <c r="V930" i="17"/>
  <c r="V79" i="38"/>
  <c r="X61" i="38"/>
  <c r="X757" i="17"/>
  <c r="X736" i="17"/>
  <c r="X750" i="17" s="1"/>
  <c r="W769" i="17"/>
  <c r="W65" i="38"/>
  <c r="AS270" i="13"/>
  <c r="AU217" i="13"/>
  <c r="AU218" i="13" s="1"/>
  <c r="AT221" i="13"/>
  <c r="AT239" i="13" s="1"/>
  <c r="AT240" i="13" s="1"/>
  <c r="AT242" i="13" s="1"/>
  <c r="AT288" i="13" s="1"/>
  <c r="Y719" i="17" l="1"/>
  <c r="Y720" i="17" s="1"/>
  <c r="Y731" i="17" s="1"/>
  <c r="Y59" i="38" s="1"/>
  <c r="Y709" i="17"/>
  <c r="W790" i="17"/>
  <c r="W149" i="26" s="1"/>
  <c r="W770" i="17"/>
  <c r="W70" i="38" s="1"/>
  <c r="W58" i="37"/>
  <c r="W766" i="17"/>
  <c r="W775" i="17" s="1"/>
  <c r="W777" i="17" s="1"/>
  <c r="X752" i="17"/>
  <c r="X92" i="37"/>
  <c r="W69" i="38"/>
  <c r="W71" i="38"/>
  <c r="Z706" i="17"/>
  <c r="Z542" i="17" s="1"/>
  <c r="Z544" i="17" s="1"/>
  <c r="Z559" i="17" s="1"/>
  <c r="Z561" i="17" s="1"/>
  <c r="Z563" i="17" s="1"/>
  <c r="Z568" i="17" s="1"/>
  <c r="Z570" i="17" s="1"/>
  <c r="AA569" i="17" s="1"/>
  <c r="Y722" i="17"/>
  <c r="AS558" i="17"/>
  <c r="AT421" i="17"/>
  <c r="AS430" i="17"/>
  <c r="AS432" i="17" s="1"/>
  <c r="AT428" i="17" s="1"/>
  <c r="AT422" i="17"/>
  <c r="AT429" i="17"/>
  <c r="AT430" i="17"/>
  <c r="W888" i="17"/>
  <c r="W50" i="38" s="1"/>
  <c r="W48" i="38"/>
  <c r="W66" i="38"/>
  <c r="Y732" i="17"/>
  <c r="Y60" i="38" s="1"/>
  <c r="Y697" i="17"/>
  <c r="AE281" i="13"/>
  <c r="AF278" i="13" s="1"/>
  <c r="AE283" i="13"/>
  <c r="AE289" i="13" s="1"/>
  <c r="AE290" i="13" s="1"/>
  <c r="AT270" i="13"/>
  <c r="AU221" i="13"/>
  <c r="AU239" i="13" s="1"/>
  <c r="AU240" i="13" s="1"/>
  <c r="AU242" i="13" s="1"/>
  <c r="AU288" i="13" s="1"/>
  <c r="AV217" i="13"/>
  <c r="AV218" i="13" s="1"/>
  <c r="AV221" i="13" s="1"/>
  <c r="AV239" i="13" s="1"/>
  <c r="AV240" i="13" s="1"/>
  <c r="X804" i="17" l="1"/>
  <c r="X64" i="38"/>
  <c r="W772" i="17"/>
  <c r="W802" i="17" s="1"/>
  <c r="W793" i="17"/>
  <c r="W803" i="17" s="1"/>
  <c r="W923" i="17" s="1"/>
  <c r="W77" i="38" s="1"/>
  <c r="Y805" i="17"/>
  <c r="Y928" i="17"/>
  <c r="X794" i="17"/>
  <c r="X758" i="17"/>
  <c r="X889" i="17"/>
  <c r="Y725" i="17"/>
  <c r="Y884" i="17" s="1"/>
  <c r="Y47" i="38" s="1"/>
  <c r="Y721" i="17"/>
  <c r="Y771" i="17" s="1"/>
  <c r="Z573" i="17"/>
  <c r="Z581" i="17" s="1"/>
  <c r="Z583" i="17" s="1"/>
  <c r="Z785" i="17" s="1"/>
  <c r="Z144" i="26" s="1"/>
  <c r="Z693" i="17"/>
  <c r="Z694" i="17" s="1"/>
  <c r="AT424" i="17"/>
  <c r="AU421" i="17" s="1"/>
  <c r="AT431" i="17"/>
  <c r="AT434" i="17" s="1"/>
  <c r="W890" i="17"/>
  <c r="W52" i="38" s="1"/>
  <c r="W53" i="38" s="1"/>
  <c r="Y61" i="38"/>
  <c r="Y736" i="17"/>
  <c r="Y750" i="17" s="1"/>
  <c r="Y757" i="17"/>
  <c r="AF279" i="13"/>
  <c r="AF280" i="13" s="1"/>
  <c r="AF283" i="13" s="1"/>
  <c r="AF289" i="13" s="1"/>
  <c r="AF290" i="13" s="1"/>
  <c r="AV242" i="13"/>
  <c r="AV288" i="13" s="1"/>
  <c r="J240" i="13"/>
  <c r="AU270" i="13"/>
  <c r="F222" i="13"/>
  <c r="J221" i="13"/>
  <c r="J239" i="13" s="1"/>
  <c r="W72" i="38" l="1"/>
  <c r="W73" i="38" s="1"/>
  <c r="W152" i="26"/>
  <c r="W795" i="17"/>
  <c r="W154" i="26" s="1"/>
  <c r="Y92" i="37"/>
  <c r="Y752" i="17"/>
  <c r="Y789" i="17"/>
  <c r="Y148" i="26" s="1"/>
  <c r="W926" i="17"/>
  <c r="W80" i="38" s="1"/>
  <c r="W806" i="17"/>
  <c r="W811" i="17" s="1"/>
  <c r="W812" i="17" s="1"/>
  <c r="Z880" i="17"/>
  <c r="Z43" i="38" s="1"/>
  <c r="Z598" i="17"/>
  <c r="Z600" i="17" s="1"/>
  <c r="Z602" i="17" s="1"/>
  <c r="Z56" i="38" s="1"/>
  <c r="Z49" i="37"/>
  <c r="Z50" i="37" s="1"/>
  <c r="F436" i="17"/>
  <c r="J434" i="17"/>
  <c r="AT558" i="17"/>
  <c r="X51" i="38"/>
  <c r="J431" i="17"/>
  <c r="J429" i="17"/>
  <c r="AT432" i="17"/>
  <c r="AU428" i="17" s="1"/>
  <c r="AV422" i="17"/>
  <c r="AV429" i="17"/>
  <c r="AU422" i="17"/>
  <c r="AU424" i="17" s="1"/>
  <c r="AU429" i="17"/>
  <c r="X759" i="17"/>
  <c r="X760" i="17" s="1"/>
  <c r="X153" i="26"/>
  <c r="W925" i="17"/>
  <c r="W892" i="17"/>
  <c r="AF281" i="13"/>
  <c r="AG278" i="13" s="1"/>
  <c r="AV270" i="13"/>
  <c r="J242" i="13"/>
  <c r="J288" i="13" s="1"/>
  <c r="Y804" i="17" l="1"/>
  <c r="Y64" i="38"/>
  <c r="X763" i="17"/>
  <c r="X770" i="17" s="1"/>
  <c r="X765" i="17"/>
  <c r="X94" i="37"/>
  <c r="Y794" i="17"/>
  <c r="Y758" i="17"/>
  <c r="Y889" i="17"/>
  <c r="Z730" i="17"/>
  <c r="Z702" i="17"/>
  <c r="Z703" i="17" s="1"/>
  <c r="Z696" i="17"/>
  <c r="Z709" i="17" s="1"/>
  <c r="J558" i="17"/>
  <c r="J422" i="17"/>
  <c r="F438" i="17"/>
  <c r="F1025" i="17" s="1"/>
  <c r="AU430" i="17"/>
  <c r="AU432" i="17" s="1"/>
  <c r="AV428" i="17" s="1"/>
  <c r="AV421" i="17"/>
  <c r="AV424" i="17" s="1"/>
  <c r="AV430" i="17" s="1"/>
  <c r="W930" i="17"/>
  <c r="W79" i="38"/>
  <c r="X65" i="38"/>
  <c r="X769" i="17"/>
  <c r="X924" i="17"/>
  <c r="X78" i="38" s="1"/>
  <c r="AG279" i="13"/>
  <c r="AG280" i="13" s="1"/>
  <c r="AG283" i="13" s="1"/>
  <c r="AG289" i="13" s="1"/>
  <c r="AG290" i="13" s="1"/>
  <c r="J270" i="13"/>
  <c r="X790" i="17" l="1"/>
  <c r="X149" i="26" s="1"/>
  <c r="X58" i="37"/>
  <c r="X885" i="17"/>
  <c r="X888" i="17" s="1"/>
  <c r="X50" i="38" s="1"/>
  <c r="X766" i="17"/>
  <c r="X775" i="17" s="1"/>
  <c r="X777" i="17" s="1"/>
  <c r="X66" i="38"/>
  <c r="X93" i="37"/>
  <c r="X69" i="38"/>
  <c r="X71" i="38"/>
  <c r="Z697" i="17"/>
  <c r="AA693" i="17" s="1"/>
  <c r="AA694" i="17" s="1"/>
  <c r="Z719" i="17"/>
  <c r="Z720" i="17" s="1"/>
  <c r="Z731" i="17" s="1"/>
  <c r="AA706" i="17"/>
  <c r="AA542" i="17" s="1"/>
  <c r="AA544" i="17" s="1"/>
  <c r="AA559" i="17" s="1"/>
  <c r="AA561" i="17" s="1"/>
  <c r="AA563" i="17" s="1"/>
  <c r="AA568" i="17" s="1"/>
  <c r="AA570" i="17" s="1"/>
  <c r="AA573" i="17" s="1"/>
  <c r="AA581" i="17" s="1"/>
  <c r="AA583" i="17" s="1"/>
  <c r="Z722" i="17"/>
  <c r="Y51" i="38"/>
  <c r="AV432" i="17"/>
  <c r="J426" i="17"/>
  <c r="J430" i="17" s="1"/>
  <c r="Y759" i="17"/>
  <c r="Y760" i="17" s="1"/>
  <c r="X772" i="17"/>
  <c r="X70" i="38"/>
  <c r="AG281" i="13"/>
  <c r="AH278" i="13" s="1"/>
  <c r="X48" i="38" l="1"/>
  <c r="X793" i="17"/>
  <c r="X152" i="26" s="1"/>
  <c r="X890" i="17"/>
  <c r="X52" i="38" s="1"/>
  <c r="Y763" i="17"/>
  <c r="Y790" i="17" s="1"/>
  <c r="Y765" i="17"/>
  <c r="Z732" i="17"/>
  <c r="Z60" i="38" s="1"/>
  <c r="Z59" i="38"/>
  <c r="Z805" i="17"/>
  <c r="Z928" i="17"/>
  <c r="Y924" i="17"/>
  <c r="Y78" i="38" s="1"/>
  <c r="Z725" i="17"/>
  <c r="Z789" i="17" s="1"/>
  <c r="Z148" i="26" s="1"/>
  <c r="Z721" i="17"/>
  <c r="Z771" i="17" s="1"/>
  <c r="AB569" i="17"/>
  <c r="Y93" i="37"/>
  <c r="Y94" i="37"/>
  <c r="AA880" i="17"/>
  <c r="AA43" i="38" s="1"/>
  <c r="AA785" i="17"/>
  <c r="AA49" i="37" s="1"/>
  <c r="AA50" i="37" s="1"/>
  <c r="AA598" i="17"/>
  <c r="AA600" i="17" s="1"/>
  <c r="AA602" i="17" s="1"/>
  <c r="AA56" i="38" s="1"/>
  <c r="X802" i="17"/>
  <c r="X72" i="38"/>
  <c r="X73" i="38" s="1"/>
  <c r="Y769" i="17"/>
  <c r="Y65" i="38"/>
  <c r="Y153" i="26"/>
  <c r="AH279" i="13"/>
  <c r="AH280" i="13" s="1"/>
  <c r="AH283" i="13" s="1"/>
  <c r="AH289" i="13" s="1"/>
  <c r="AH290" i="13" s="1"/>
  <c r="X53" i="38" l="1"/>
  <c r="X803" i="17"/>
  <c r="X923" i="17" s="1"/>
  <c r="X77" i="38" s="1"/>
  <c r="X795" i="17"/>
  <c r="X154" i="26" s="1"/>
  <c r="Y770" i="17"/>
  <c r="Y772" i="17" s="1"/>
  <c r="Y58" i="37"/>
  <c r="Y59" i="37" s="1"/>
  <c r="Y885" i="17"/>
  <c r="Y888" i="17" s="1"/>
  <c r="Y50" i="38" s="1"/>
  <c r="Y766" i="17"/>
  <c r="Y775" i="17" s="1"/>
  <c r="Y777" i="17" s="1"/>
  <c r="Z757" i="17"/>
  <c r="Z736" i="17"/>
  <c r="Z61" i="38"/>
  <c r="Z884" i="17"/>
  <c r="Z47" i="38" s="1"/>
  <c r="X926" i="17"/>
  <c r="X80" i="38" s="1"/>
  <c r="Y69" i="38"/>
  <c r="Y71" i="38"/>
  <c r="AA702" i="17"/>
  <c r="AA703" i="17" s="1"/>
  <c r="AA696" i="17"/>
  <c r="AA144" i="26"/>
  <c r="AA730" i="17"/>
  <c r="Y793" i="17"/>
  <c r="Y795" i="17" s="1"/>
  <c r="Y149" i="26"/>
  <c r="Y66" i="38"/>
  <c r="AH281" i="13"/>
  <c r="AI278" i="13" s="1"/>
  <c r="AA719" i="17" l="1"/>
  <c r="AA720" i="17" s="1"/>
  <c r="AA731" i="17" s="1"/>
  <c r="AA59" i="38" s="1"/>
  <c r="AA709" i="17"/>
  <c r="X806" i="17"/>
  <c r="X811" i="17" s="1"/>
  <c r="X812" i="17" s="1"/>
  <c r="X925" i="17"/>
  <c r="X930" i="17" s="1"/>
  <c r="X892" i="17"/>
  <c r="Y70" i="38"/>
  <c r="Y48" i="38"/>
  <c r="Z750" i="17"/>
  <c r="Z752" i="17" s="1"/>
  <c r="AB706" i="17"/>
  <c r="AB542" i="17" s="1"/>
  <c r="AB544" i="17" s="1"/>
  <c r="AB559" i="17" s="1"/>
  <c r="AB561" i="17" s="1"/>
  <c r="AB563" i="17" s="1"/>
  <c r="AB568" i="17" s="1"/>
  <c r="AB570" i="17" s="1"/>
  <c r="AB573" i="17" s="1"/>
  <c r="AB581" i="17" s="1"/>
  <c r="AB583" i="17" s="1"/>
  <c r="AA722" i="17"/>
  <c r="Y152" i="26"/>
  <c r="Y803" i="17"/>
  <c r="Y923" i="17" s="1"/>
  <c r="Y77" i="38" s="1"/>
  <c r="Y890" i="17"/>
  <c r="Y52" i="38" s="1"/>
  <c r="Y154" i="26"/>
  <c r="Y802" i="17"/>
  <c r="Y72" i="38"/>
  <c r="AA697" i="17"/>
  <c r="AI279" i="13"/>
  <c r="AI280" i="13" s="1"/>
  <c r="AI283" i="13" s="1"/>
  <c r="AI289" i="13" s="1"/>
  <c r="AI290" i="13" s="1"/>
  <c r="Z804" i="17" l="1"/>
  <c r="Z64" i="38"/>
  <c r="Y73" i="38"/>
  <c r="X79" i="38"/>
  <c r="Y53" i="38"/>
  <c r="Z92" i="37"/>
  <c r="Z758" i="17"/>
  <c r="Z759" i="17" s="1"/>
  <c r="Z889" i="17"/>
  <c r="Z51" i="38" s="1"/>
  <c r="Z794" i="17"/>
  <c r="AA805" i="17"/>
  <c r="AA928" i="17"/>
  <c r="Y926" i="17"/>
  <c r="Y80" i="38" s="1"/>
  <c r="Y806" i="17"/>
  <c r="Y811" i="17" s="1"/>
  <c r="Y812" i="17" s="1"/>
  <c r="AA725" i="17"/>
  <c r="AA884" i="17" s="1"/>
  <c r="AA47" i="38" s="1"/>
  <c r="AA721" i="17"/>
  <c r="AA771" i="17" s="1"/>
  <c r="AC569" i="17"/>
  <c r="AB693" i="17"/>
  <c r="AB694" i="17" s="1"/>
  <c r="AB598" i="17"/>
  <c r="AB600" i="17" s="1"/>
  <c r="AB602" i="17" s="1"/>
  <c r="AB56" i="38" s="1"/>
  <c r="AB785" i="17"/>
  <c r="AB880" i="17"/>
  <c r="Y925" i="17"/>
  <c r="Y892" i="17"/>
  <c r="AA732" i="17"/>
  <c r="AA60" i="38" s="1"/>
  <c r="AI281" i="13"/>
  <c r="AJ278" i="13" s="1"/>
  <c r="AA789" i="17" l="1"/>
  <c r="AA148" i="26" s="1"/>
  <c r="AB696" i="17"/>
  <c r="Z93" i="37"/>
  <c r="Z94" i="37"/>
  <c r="AB730" i="17"/>
  <c r="AB43" i="38"/>
  <c r="G906" i="17" a="1"/>
  <c r="G906" i="17" s="1"/>
  <c r="AB49" i="37"/>
  <c r="AB50" i="37" s="1"/>
  <c r="F53" i="37" s="1"/>
  <c r="AB144" i="26"/>
  <c r="Y930" i="17"/>
  <c r="Y79" i="38"/>
  <c r="AA61" i="38"/>
  <c r="Z924" i="17"/>
  <c r="Z78" i="38" s="1"/>
  <c r="Z153" i="26"/>
  <c r="Z769" i="17"/>
  <c r="Z65" i="38"/>
  <c r="Z760" i="17"/>
  <c r="AA757" i="17"/>
  <c r="AA736" i="17"/>
  <c r="AA750" i="17" s="1"/>
  <c r="AJ279" i="13"/>
  <c r="AJ280" i="13" s="1"/>
  <c r="AJ283" i="13" s="1"/>
  <c r="AJ289" i="13" s="1"/>
  <c r="AJ290" i="13" s="1"/>
  <c r="AB719" i="17" l="1"/>
  <c r="AB720" i="17" s="1"/>
  <c r="AB731" i="17" s="1"/>
  <c r="AB59" i="38" s="1"/>
  <c r="AB709" i="17"/>
  <c r="J24" i="44"/>
  <c r="Z763" i="17"/>
  <c r="Z885" i="17" s="1"/>
  <c r="Z888" i="17" s="1"/>
  <c r="Z50" i="38" s="1"/>
  <c r="Z765" i="17"/>
  <c r="AA92" i="37"/>
  <c r="AA752" i="17"/>
  <c r="Z69" i="38"/>
  <c r="Z71" i="38"/>
  <c r="AB702" i="17"/>
  <c r="AB703" i="17" s="1"/>
  <c r="D165" i="43"/>
  <c r="AB697" i="17"/>
  <c r="Z66" i="38"/>
  <c r="AB732" i="17"/>
  <c r="AB60" i="38" s="1"/>
  <c r="AJ281" i="13"/>
  <c r="AK278" i="13" s="1"/>
  <c r="AA64" i="38" l="1"/>
  <c r="AA804" i="17"/>
  <c r="Z790" i="17"/>
  <c r="Z793" i="17" s="1"/>
  <c r="Z152" i="26" s="1"/>
  <c r="Z58" i="37"/>
  <c r="Z59" i="37" s="1"/>
  <c r="Z770" i="17"/>
  <c r="Z772" i="17" s="1"/>
  <c r="Z766" i="17"/>
  <c r="Z775" i="17" s="1"/>
  <c r="Z777" i="17" s="1"/>
  <c r="AA794" i="17"/>
  <c r="AA758" i="17"/>
  <c r="AA889" i="17"/>
  <c r="AC706" i="17"/>
  <c r="AC542" i="17" s="1"/>
  <c r="AC544" i="17" s="1"/>
  <c r="AC559" i="17" s="1"/>
  <c r="AC561" i="17" s="1"/>
  <c r="AC563" i="17" s="1"/>
  <c r="AC568" i="17" s="1"/>
  <c r="AC570" i="17" s="1"/>
  <c r="AD569" i="17" s="1"/>
  <c r="AB722" i="17"/>
  <c r="AC693" i="17"/>
  <c r="AC694" i="17" s="1"/>
  <c r="Z48" i="38"/>
  <c r="Z890" i="17"/>
  <c r="Z52" i="38" s="1"/>
  <c r="AB61" i="38"/>
  <c r="AB736" i="17"/>
  <c r="AB750" i="17" s="1"/>
  <c r="AB757" i="17"/>
  <c r="AK279" i="13"/>
  <c r="AK280" i="13" s="1"/>
  <c r="AK283" i="13" s="1"/>
  <c r="AK289" i="13" s="1"/>
  <c r="AK290" i="13" s="1"/>
  <c r="Z70" i="38" l="1"/>
  <c r="Z149" i="26"/>
  <c r="AB92" i="37"/>
  <c r="AB752" i="17"/>
  <c r="AB805" i="17"/>
  <c r="AB928" i="17"/>
  <c r="AB725" i="17"/>
  <c r="AB721" i="17"/>
  <c r="AB771" i="17" s="1"/>
  <c r="AC573" i="17"/>
  <c r="AC581" i="17" s="1"/>
  <c r="AC583" i="17" s="1"/>
  <c r="AC880" i="17" s="1"/>
  <c r="AC43" i="38" s="1"/>
  <c r="Z53" i="38"/>
  <c r="Z803" i="17"/>
  <c r="Z923" i="17" s="1"/>
  <c r="Z77" i="38" s="1"/>
  <c r="Z795" i="17"/>
  <c r="Z154" i="26" s="1"/>
  <c r="AA51" i="38"/>
  <c r="Z802" i="17"/>
  <c r="Z72" i="38"/>
  <c r="AA759" i="17"/>
  <c r="AK281" i="13"/>
  <c r="AL278" i="13" s="1"/>
  <c r="AB64" i="38" l="1"/>
  <c r="AB804" i="17"/>
  <c r="Z73" i="38"/>
  <c r="AB758" i="17"/>
  <c r="AA924" i="17"/>
  <c r="AA78" i="38" s="1"/>
  <c r="AA93" i="37"/>
  <c r="Z806" i="17"/>
  <c r="Z811" i="17" s="1"/>
  <c r="Z812" i="17" s="1"/>
  <c r="AB889" i="17"/>
  <c r="AB794" i="17"/>
  <c r="AC598" i="17"/>
  <c r="AC600" i="17" s="1"/>
  <c r="AC602" i="17" s="1"/>
  <c r="AC56" i="38" s="1"/>
  <c r="AB884" i="17"/>
  <c r="AB789" i="17"/>
  <c r="AB148" i="26" s="1"/>
  <c r="AC785" i="17"/>
  <c r="AC49" i="37" s="1"/>
  <c r="AC702" i="17"/>
  <c r="AC703" i="17" s="1"/>
  <c r="AC696" i="17"/>
  <c r="Z892" i="17"/>
  <c r="Z925" i="17"/>
  <c r="AA769" i="17"/>
  <c r="AA65" i="38"/>
  <c r="Z926" i="17"/>
  <c r="AA760" i="17"/>
  <c r="AA153" i="26"/>
  <c r="AL279" i="13"/>
  <c r="AL280" i="13" s="1"/>
  <c r="AL283" i="13" s="1"/>
  <c r="AL289" i="13" s="1"/>
  <c r="AL290" i="13" s="1"/>
  <c r="AC719" i="17" l="1"/>
  <c r="AC720" i="17" s="1"/>
  <c r="AC731" i="17" s="1"/>
  <c r="AC59" i="38" s="1"/>
  <c r="AC709" i="17"/>
  <c r="AA763" i="17"/>
  <c r="AA885" i="17" s="1"/>
  <c r="AA765" i="17"/>
  <c r="AA94" i="37"/>
  <c r="Z79" i="38"/>
  <c r="AA69" i="38"/>
  <c r="AA71" i="38"/>
  <c r="AC730" i="17"/>
  <c r="G910" i="17" a="1"/>
  <c r="G910" i="17" s="1"/>
  <c r="D169" i="43" s="1"/>
  <c r="AB47" i="38"/>
  <c r="AC144" i="26"/>
  <c r="AD706" i="17"/>
  <c r="AD542" i="17" s="1"/>
  <c r="AD544" i="17" s="1"/>
  <c r="AD559" i="17" s="1"/>
  <c r="AD561" i="17" s="1"/>
  <c r="AD563" i="17" s="1"/>
  <c r="AD568" i="17" s="1"/>
  <c r="AD570" i="17" s="1"/>
  <c r="AE569" i="17" s="1"/>
  <c r="AC722" i="17"/>
  <c r="AC697" i="17"/>
  <c r="AD693" i="17" s="1"/>
  <c r="AD694" i="17" s="1"/>
  <c r="Z930" i="17"/>
  <c r="Z80" i="38"/>
  <c r="AA66" i="38"/>
  <c r="AB153" i="26"/>
  <c r="AB759" i="17"/>
  <c r="AL281" i="13"/>
  <c r="AM278" i="13" s="1"/>
  <c r="AA770" i="17" l="1"/>
  <c r="AA772" i="17" s="1"/>
  <c r="AA790" i="17"/>
  <c r="AA149" i="26" s="1"/>
  <c r="AA58" i="37"/>
  <c r="AA766" i="17"/>
  <c r="AA775" i="17" s="1"/>
  <c r="AA777" i="17" s="1"/>
  <c r="AC805" i="17"/>
  <c r="AC928" i="17"/>
  <c r="AC725" i="17"/>
  <c r="AC789" i="17" s="1"/>
  <c r="AC148" i="26" s="1"/>
  <c r="AC721" i="17"/>
  <c r="AC771" i="17" s="1"/>
  <c r="AD573" i="17"/>
  <c r="AD581" i="17" s="1"/>
  <c r="AD583" i="17" s="1"/>
  <c r="AD880" i="17" s="1"/>
  <c r="AD43" i="38" s="1"/>
  <c r="AB93" i="37"/>
  <c r="AB94" i="37"/>
  <c r="AB51" i="38"/>
  <c r="G916" i="17" a="1"/>
  <c r="G916" i="17" s="1"/>
  <c r="AA888" i="17"/>
  <c r="AA50" i="38" s="1"/>
  <c r="AA48" i="38"/>
  <c r="AB769" i="17"/>
  <c r="AB65" i="38"/>
  <c r="AC732" i="17"/>
  <c r="AC60" i="38" s="1"/>
  <c r="AB924" i="17"/>
  <c r="AB78" i="38" s="1"/>
  <c r="AB760" i="17"/>
  <c r="AM279" i="13"/>
  <c r="AM280" i="13" s="1"/>
  <c r="AM283" i="13" s="1"/>
  <c r="AM289" i="13" s="1"/>
  <c r="AM290" i="13" s="1"/>
  <c r="AA793" i="17" l="1"/>
  <c r="AA795" i="17" s="1"/>
  <c r="AA154" i="26" s="1"/>
  <c r="AA70" i="38"/>
  <c r="AB763" i="17"/>
  <c r="AB790" i="17" s="1"/>
  <c r="AB765" i="17"/>
  <c r="AC884" i="17"/>
  <c r="AC47" i="38" s="1"/>
  <c r="AB69" i="38"/>
  <c r="AB71" i="38"/>
  <c r="AD785" i="17"/>
  <c r="AD144" i="26" s="1"/>
  <c r="AD598" i="17"/>
  <c r="AD600" i="17" s="1"/>
  <c r="AD602" i="17" s="1"/>
  <c r="AD56" i="38" s="1"/>
  <c r="AD702" i="17"/>
  <c r="AD703" i="17" s="1"/>
  <c r="AD696" i="17"/>
  <c r="D174" i="43"/>
  <c r="AA890" i="17"/>
  <c r="AA52" i="38" s="1"/>
  <c r="AA53" i="38" s="1"/>
  <c r="AB66" i="38"/>
  <c r="AC61" i="38"/>
  <c r="AC757" i="17"/>
  <c r="AC756" i="17" s="1"/>
  <c r="AC736" i="17"/>
  <c r="AC750" i="17" s="1"/>
  <c r="AA802" i="17"/>
  <c r="AA72" i="38"/>
  <c r="AM281" i="13"/>
  <c r="AN278" i="13" s="1"/>
  <c r="AD719" i="17" l="1"/>
  <c r="AD720" i="17" s="1"/>
  <c r="AD731" i="17" s="1"/>
  <c r="AD59" i="38" s="1"/>
  <c r="AD709" i="17"/>
  <c r="AA803" i="17"/>
  <c r="AA923" i="17" s="1"/>
  <c r="AA77" i="38" s="1"/>
  <c r="AA152" i="26"/>
  <c r="AA73" i="38"/>
  <c r="AB770" i="17"/>
  <c r="AB70" i="38" s="1"/>
  <c r="AB58" i="37"/>
  <c r="AB59" i="37" s="1"/>
  <c r="J59" i="37" s="1"/>
  <c r="AB885" i="17"/>
  <c r="AB888" i="17" s="1"/>
  <c r="AB890" i="17" s="1"/>
  <c r="AB766" i="17"/>
  <c r="AB775" i="17" s="1"/>
  <c r="AB777" i="17" s="1"/>
  <c r="AC752" i="17"/>
  <c r="AC92" i="37"/>
  <c r="AD49" i="37"/>
  <c r="AA926" i="17"/>
  <c r="AA80" i="38" s="1"/>
  <c r="AD730" i="17"/>
  <c r="AD732" i="17" s="1"/>
  <c r="AD60" i="38" s="1"/>
  <c r="AE706" i="17"/>
  <c r="AE542" i="17" s="1"/>
  <c r="AE544" i="17" s="1"/>
  <c r="AE559" i="17" s="1"/>
  <c r="AE561" i="17" s="1"/>
  <c r="AE563" i="17" s="1"/>
  <c r="AE568" i="17" s="1"/>
  <c r="AE570" i="17" s="1"/>
  <c r="AF569" i="17" s="1"/>
  <c r="AD722" i="17"/>
  <c r="AD697" i="17"/>
  <c r="AE693" i="17" s="1"/>
  <c r="AE694" i="17" s="1"/>
  <c r="G911" i="17" a="1"/>
  <c r="G911" i="17" s="1"/>
  <c r="AB793" i="17"/>
  <c r="AB795" i="17" s="1"/>
  <c r="AB154" i="26" s="1"/>
  <c r="AB149" i="26"/>
  <c r="AN279" i="13"/>
  <c r="AN280" i="13" s="1"/>
  <c r="AN283" i="13" s="1"/>
  <c r="AN289" i="13" s="1"/>
  <c r="AN290" i="13" s="1"/>
  <c r="AC804" i="17" l="1"/>
  <c r="AC64" i="38"/>
  <c r="AA892" i="17"/>
  <c r="AA925" i="17"/>
  <c r="AA930" i="17" s="1"/>
  <c r="AA806" i="17"/>
  <c r="AA811" i="17" s="1"/>
  <c r="AA812" i="17" s="1"/>
  <c r="AB48" i="38"/>
  <c r="AB772" i="17"/>
  <c r="AB802" i="17" s="1"/>
  <c r="AD805" i="17"/>
  <c r="AD928" i="17"/>
  <c r="AC794" i="17"/>
  <c r="AC758" i="17"/>
  <c r="AC889" i="17"/>
  <c r="AD725" i="17"/>
  <c r="AD789" i="17" s="1"/>
  <c r="AD148" i="26" s="1"/>
  <c r="AD721" i="17"/>
  <c r="AD771" i="17" s="1"/>
  <c r="AE573" i="17"/>
  <c r="AE581" i="17" s="1"/>
  <c r="AE583" i="17" s="1"/>
  <c r="AE880" i="17" s="1"/>
  <c r="AE43" i="38" s="1"/>
  <c r="AD61" i="38"/>
  <c r="D170" i="43"/>
  <c r="AB52" i="38"/>
  <c r="G917" i="17" a="1"/>
  <c r="G917" i="17" s="1"/>
  <c r="AB50" i="38"/>
  <c r="G915" i="17" a="1"/>
  <c r="G915" i="17" s="1"/>
  <c r="AD757" i="17"/>
  <c r="AD756" i="17" s="1"/>
  <c r="AD736" i="17"/>
  <c r="AD750" i="17" s="1"/>
  <c r="AB803" i="17"/>
  <c r="AB923" i="17" s="1"/>
  <c r="AB77" i="38" s="1"/>
  <c r="AB152" i="26"/>
  <c r="AN281" i="13"/>
  <c r="AO278" i="13" s="1"/>
  <c r="AA79" i="38" l="1"/>
  <c r="AB53" i="38"/>
  <c r="AB72" i="38"/>
  <c r="AB73" i="38" s="1"/>
  <c r="AD752" i="17"/>
  <c r="AD92" i="37"/>
  <c r="AB806" i="17"/>
  <c r="AB811" i="17" s="1"/>
  <c r="AB812" i="17" s="1"/>
  <c r="AD884" i="17"/>
  <c r="AD47" i="38" s="1"/>
  <c r="AE785" i="17"/>
  <c r="AE144" i="26" s="1"/>
  <c r="AE598" i="17"/>
  <c r="AE600" i="17" s="1"/>
  <c r="AE602" i="17" s="1"/>
  <c r="AE56" i="38" s="1"/>
  <c r="AE702" i="17"/>
  <c r="AE703" i="17" s="1"/>
  <c r="AE696" i="17"/>
  <c r="D173" i="43"/>
  <c r="D175" i="43"/>
  <c r="G90" i="43"/>
  <c r="G72" i="43"/>
  <c r="G84" i="43"/>
  <c r="AB892" i="17"/>
  <c r="AB925" i="17"/>
  <c r="AC51" i="38"/>
  <c r="AC759" i="17"/>
  <c r="AC760" i="17" s="1"/>
  <c r="AB926" i="17"/>
  <c r="AO279" i="13"/>
  <c r="AO280" i="13" s="1"/>
  <c r="AE719" i="17" l="1"/>
  <c r="AE720" i="17" s="1"/>
  <c r="AE731" i="17" s="1"/>
  <c r="AE59" i="38" s="1"/>
  <c r="AE709" i="17"/>
  <c r="AE722" i="17" s="1"/>
  <c r="AD758" i="17"/>
  <c r="AD804" i="17"/>
  <c r="AD64" i="38"/>
  <c r="AC763" i="17"/>
  <c r="AC885" i="17" s="1"/>
  <c r="AC888" i="17" s="1"/>
  <c r="AC50" i="38" s="1"/>
  <c r="AC765" i="17"/>
  <c r="C102" i="43" a="1"/>
  <c r="C102" i="43" s="1"/>
  <c r="AD889" i="17"/>
  <c r="AD794" i="17"/>
  <c r="AC924" i="17"/>
  <c r="AC78" i="38" s="1"/>
  <c r="AC93" i="37"/>
  <c r="AB79" i="38"/>
  <c r="AE697" i="17"/>
  <c r="AF693" i="17" s="1"/>
  <c r="AF694" i="17" s="1"/>
  <c r="AE49" i="37"/>
  <c r="AE730" i="17"/>
  <c r="AF706" i="17"/>
  <c r="AF542" i="17" s="1"/>
  <c r="AF544" i="17" s="1"/>
  <c r="AF559" i="17" s="1"/>
  <c r="AF561" i="17" s="1"/>
  <c r="AF563" i="17" s="1"/>
  <c r="AF568" i="17" s="1"/>
  <c r="AF570" i="17" s="1"/>
  <c r="AG569" i="17" s="1"/>
  <c r="AB930" i="17"/>
  <c r="AB80" i="38"/>
  <c r="AC153" i="26"/>
  <c r="AC769" i="17"/>
  <c r="AC65" i="38"/>
  <c r="AO281" i="13"/>
  <c r="AP278" i="13" s="1"/>
  <c r="AO283" i="13"/>
  <c r="AO289" i="13" s="1"/>
  <c r="AO290" i="13" s="1"/>
  <c r="AC58" i="37" l="1"/>
  <c r="AC790" i="17"/>
  <c r="AC149" i="26" s="1"/>
  <c r="AC770" i="17"/>
  <c r="AC70" i="38" s="1"/>
  <c r="AC766" i="17"/>
  <c r="AC775" i="17" s="1"/>
  <c r="AC777" i="17" s="1"/>
  <c r="AE805" i="17"/>
  <c r="AE928" i="17"/>
  <c r="AC94" i="37"/>
  <c r="AC69" i="38"/>
  <c r="AC71" i="38"/>
  <c r="AE725" i="17"/>
  <c r="AE789" i="17" s="1"/>
  <c r="AE148" i="26" s="1"/>
  <c r="AE721" i="17"/>
  <c r="AE771" i="17" s="1"/>
  <c r="AF573" i="17"/>
  <c r="AF581" i="17" s="1"/>
  <c r="AF583" i="17" s="1"/>
  <c r="AF785" i="17" s="1"/>
  <c r="AF49" i="37" s="1"/>
  <c r="AD93" i="37"/>
  <c r="AC48" i="38"/>
  <c r="AC890" i="17"/>
  <c r="AC52" i="38" s="1"/>
  <c r="AC66" i="38"/>
  <c r="AD51" i="38"/>
  <c r="AD759" i="17"/>
  <c r="AD65" i="38" s="1"/>
  <c r="AE732" i="17"/>
  <c r="AE60" i="38" s="1"/>
  <c r="AP279" i="13"/>
  <c r="AP280" i="13" s="1"/>
  <c r="AP283" i="13" s="1"/>
  <c r="AP289" i="13" s="1"/>
  <c r="AP290" i="13" s="1"/>
  <c r="AC793" i="17" l="1"/>
  <c r="AC795" i="17" s="1"/>
  <c r="AC154" i="26" s="1"/>
  <c r="AC772" i="17"/>
  <c r="AC72" i="38" s="1"/>
  <c r="AC73" i="38" s="1"/>
  <c r="AE884" i="17"/>
  <c r="AE47" i="38" s="1"/>
  <c r="AF144" i="26"/>
  <c r="AF880" i="17"/>
  <c r="AF43" i="38" s="1"/>
  <c r="AF598" i="17"/>
  <c r="AF600" i="17" s="1"/>
  <c r="AF602" i="17" s="1"/>
  <c r="AF56" i="38" s="1"/>
  <c r="AF702" i="17"/>
  <c r="AF703" i="17" s="1"/>
  <c r="AF696" i="17"/>
  <c r="AF709" i="17" s="1"/>
  <c r="AC53" i="38"/>
  <c r="AE61" i="38"/>
  <c r="AD66" i="38"/>
  <c r="AD153" i="26"/>
  <c r="AD924" i="17"/>
  <c r="AD78" i="38" s="1"/>
  <c r="AD769" i="17"/>
  <c r="AD760" i="17"/>
  <c r="AE736" i="17"/>
  <c r="AE750" i="17" s="1"/>
  <c r="AE757" i="17"/>
  <c r="AE756" i="17" s="1"/>
  <c r="AP281" i="13"/>
  <c r="AQ278" i="13" s="1"/>
  <c r="AC803" i="17" l="1"/>
  <c r="AC923" i="17" s="1"/>
  <c r="AC77" i="38" s="1"/>
  <c r="AC152" i="26"/>
  <c r="AC802" i="17"/>
  <c r="AC926" i="17" s="1"/>
  <c r="AC80" i="38" s="1"/>
  <c r="AD763" i="17"/>
  <c r="AD885" i="17" s="1"/>
  <c r="AD765" i="17"/>
  <c r="AE92" i="37"/>
  <c r="AE752" i="17"/>
  <c r="AD69" i="38"/>
  <c r="AD71" i="38"/>
  <c r="AF697" i="17"/>
  <c r="AG693" i="17" s="1"/>
  <c r="AG694" i="17" s="1"/>
  <c r="AF719" i="17"/>
  <c r="AF720" i="17" s="1"/>
  <c r="AF731" i="17" s="1"/>
  <c r="AF59" i="38" s="1"/>
  <c r="AF730" i="17"/>
  <c r="AG706" i="17"/>
  <c r="AG542" i="17" s="1"/>
  <c r="AG544" i="17" s="1"/>
  <c r="AG559" i="17" s="1"/>
  <c r="AG561" i="17" s="1"/>
  <c r="AG563" i="17" s="1"/>
  <c r="AG568" i="17" s="1"/>
  <c r="AG570" i="17" s="1"/>
  <c r="AH569" i="17" s="1"/>
  <c r="AF722" i="17"/>
  <c r="AQ279" i="13"/>
  <c r="AQ280" i="13" s="1"/>
  <c r="AE804" i="17" l="1"/>
  <c r="AE64" i="38"/>
  <c r="AC925" i="17"/>
  <c r="AC892" i="17"/>
  <c r="AC806" i="17"/>
  <c r="AC811" i="17" s="1"/>
  <c r="AC812" i="17" s="1"/>
  <c r="AD790" i="17"/>
  <c r="AD149" i="26" s="1"/>
  <c r="AD770" i="17"/>
  <c r="AD70" i="38" s="1"/>
  <c r="AD58" i="37"/>
  <c r="AD766" i="17"/>
  <c r="AD775" i="17" s="1"/>
  <c r="AD777" i="17" s="1"/>
  <c r="AF805" i="17"/>
  <c r="AF928" i="17"/>
  <c r="AE794" i="17"/>
  <c r="AE758" i="17"/>
  <c r="AE889" i="17"/>
  <c r="AF725" i="17"/>
  <c r="AF884" i="17" s="1"/>
  <c r="AF47" i="38" s="1"/>
  <c r="AF721" i="17"/>
  <c r="AF771" i="17" s="1"/>
  <c r="AG573" i="17"/>
  <c r="AG581" i="17" s="1"/>
  <c r="AG583" i="17" s="1"/>
  <c r="AG880" i="17" s="1"/>
  <c r="AG43" i="38" s="1"/>
  <c r="AF732" i="17"/>
  <c r="AF60" i="38" s="1"/>
  <c r="AF61" i="38" s="1"/>
  <c r="AD888" i="17"/>
  <c r="AD50" i="38" s="1"/>
  <c r="AD48" i="38"/>
  <c r="AQ281" i="13"/>
  <c r="AR278" i="13" s="1"/>
  <c r="AQ283" i="13"/>
  <c r="AQ289" i="13" s="1"/>
  <c r="AQ290" i="13" s="1"/>
  <c r="AC930" i="17" l="1"/>
  <c r="AC79" i="38"/>
  <c r="AD772" i="17"/>
  <c r="AD802" i="17" s="1"/>
  <c r="AD793" i="17"/>
  <c r="AD803" i="17" s="1"/>
  <c r="AD923" i="17" s="1"/>
  <c r="AD77" i="38" s="1"/>
  <c r="AF789" i="17"/>
  <c r="AF148" i="26" s="1"/>
  <c r="AG785" i="17"/>
  <c r="AG144" i="26" s="1"/>
  <c r="AG598" i="17"/>
  <c r="AG600" i="17" s="1"/>
  <c r="AG602" i="17" s="1"/>
  <c r="AG56" i="38" s="1"/>
  <c r="AF757" i="17"/>
  <c r="AF756" i="17" s="1"/>
  <c r="AF736" i="17"/>
  <c r="AF750" i="17" s="1"/>
  <c r="AG702" i="17"/>
  <c r="AG703" i="17" s="1"/>
  <c r="AG696" i="17"/>
  <c r="AE51" i="38"/>
  <c r="AE93" i="37"/>
  <c r="AD890" i="17"/>
  <c r="AD52" i="38" s="1"/>
  <c r="AD53" i="38" s="1"/>
  <c r="AE153" i="26"/>
  <c r="AE759" i="17"/>
  <c r="AR279" i="13"/>
  <c r="AR280" i="13" s="1"/>
  <c r="AR283" i="13" s="1"/>
  <c r="AR289" i="13" s="1"/>
  <c r="AR290" i="13" s="1"/>
  <c r="AG719" i="17" l="1"/>
  <c r="AG720" i="17" s="1"/>
  <c r="AG731" i="17" s="1"/>
  <c r="AG59" i="38" s="1"/>
  <c r="AG709" i="17"/>
  <c r="AD72" i="38"/>
  <c r="AD73" i="38" s="1"/>
  <c r="AD152" i="26"/>
  <c r="AD795" i="17"/>
  <c r="AD154" i="26" s="1"/>
  <c r="AF752" i="17"/>
  <c r="AF92" i="37"/>
  <c r="AD926" i="17"/>
  <c r="AD80" i="38" s="1"/>
  <c r="AD806" i="17"/>
  <c r="AD811" i="17" s="1"/>
  <c r="AD812" i="17" s="1"/>
  <c r="AG49" i="37"/>
  <c r="AG730" i="17"/>
  <c r="AH706" i="17"/>
  <c r="AH542" i="17" s="1"/>
  <c r="AH544" i="17" s="1"/>
  <c r="AH559" i="17" s="1"/>
  <c r="AH561" i="17" s="1"/>
  <c r="AH563" i="17" s="1"/>
  <c r="AH568" i="17" s="1"/>
  <c r="AH570" i="17" s="1"/>
  <c r="AI569" i="17" s="1"/>
  <c r="AG722" i="17"/>
  <c r="AG697" i="17"/>
  <c r="AD925" i="17"/>
  <c r="AD892" i="17"/>
  <c r="AE769" i="17"/>
  <c r="AE65" i="38"/>
  <c r="AE760" i="17"/>
  <c r="AE924" i="17"/>
  <c r="AE78" i="38" s="1"/>
  <c r="AR281" i="13"/>
  <c r="AS278" i="13" s="1"/>
  <c r="AF804" i="17" l="1"/>
  <c r="AF64" i="38"/>
  <c r="AE763" i="17"/>
  <c r="AE765" i="17"/>
  <c r="AG805" i="17"/>
  <c r="AG928" i="17"/>
  <c r="AE69" i="38"/>
  <c r="AE71" i="38"/>
  <c r="AF794" i="17"/>
  <c r="AF758" i="17"/>
  <c r="AF889" i="17"/>
  <c r="AG725" i="17"/>
  <c r="AG884" i="17" s="1"/>
  <c r="AG47" i="38" s="1"/>
  <c r="AG721" i="17"/>
  <c r="AG771" i="17" s="1"/>
  <c r="AH573" i="17"/>
  <c r="AH581" i="17" s="1"/>
  <c r="AH583" i="17" s="1"/>
  <c r="AH880" i="17" s="1"/>
  <c r="AH43" i="38" s="1"/>
  <c r="AH693" i="17"/>
  <c r="AH694" i="17" s="1"/>
  <c r="AG732" i="17"/>
  <c r="AG60" i="38" s="1"/>
  <c r="AG61" i="38" s="1"/>
  <c r="AD930" i="17"/>
  <c r="AD79" i="38"/>
  <c r="AE66" i="38"/>
  <c r="AS279" i="13"/>
  <c r="AS280" i="13" s="1"/>
  <c r="AS283" i="13" s="1"/>
  <c r="AS289" i="13" s="1"/>
  <c r="AS290" i="13" s="1"/>
  <c r="AE766" i="17" l="1"/>
  <c r="AE775" i="17" s="1"/>
  <c r="AE777" i="17" s="1"/>
  <c r="AE770" i="17"/>
  <c r="AE772" i="17" s="1"/>
  <c r="AE802" i="17" s="1"/>
  <c r="AE885" i="17"/>
  <c r="AE48" i="38" s="1"/>
  <c r="AE58" i="37"/>
  <c r="AE790" i="17"/>
  <c r="AE149" i="26" s="1"/>
  <c r="AG789" i="17"/>
  <c r="AG148" i="26" s="1"/>
  <c r="AH785" i="17"/>
  <c r="AH144" i="26" s="1"/>
  <c r="AH598" i="17"/>
  <c r="AH600" i="17" s="1"/>
  <c r="AH602" i="17" s="1"/>
  <c r="AH56" i="38" s="1"/>
  <c r="AG757" i="17"/>
  <c r="AG756" i="17" s="1"/>
  <c r="AG736" i="17"/>
  <c r="AG750" i="17" s="1"/>
  <c r="AF153" i="26"/>
  <c r="AF51" i="38"/>
  <c r="AF759" i="17"/>
  <c r="AF760" i="17" s="1"/>
  <c r="AS281" i="13"/>
  <c r="AT278" i="13" s="1"/>
  <c r="AE70" i="38" l="1"/>
  <c r="AE888" i="17"/>
  <c r="AE50" i="38" s="1"/>
  <c r="AE72" i="38"/>
  <c r="AE793" i="17"/>
  <c r="AE795" i="17" s="1"/>
  <c r="AE154" i="26" s="1"/>
  <c r="AF763" i="17"/>
  <c r="AF58" i="37" s="1"/>
  <c r="AF765" i="17"/>
  <c r="AG752" i="17"/>
  <c r="AG92" i="37"/>
  <c r="AF93" i="37"/>
  <c r="AE926" i="17"/>
  <c r="AE80" i="38" s="1"/>
  <c r="AH730" i="17"/>
  <c r="AH49" i="37"/>
  <c r="AH702" i="17"/>
  <c r="AH703" i="17" s="1"/>
  <c r="AH696" i="17"/>
  <c r="AF65" i="38"/>
  <c r="AF924" i="17"/>
  <c r="AF78" i="38" s="1"/>
  <c r="AF769" i="17"/>
  <c r="AT279" i="13"/>
  <c r="AT280" i="13" s="1"/>
  <c r="AT283" i="13" s="1"/>
  <c r="AT289" i="13" s="1"/>
  <c r="AT290" i="13" s="1"/>
  <c r="AH719" i="17" l="1"/>
  <c r="AH720" i="17" s="1"/>
  <c r="AH731" i="17" s="1"/>
  <c r="AH59" i="38" s="1"/>
  <c r="AH709" i="17"/>
  <c r="AH722" i="17" s="1"/>
  <c r="AG794" i="17"/>
  <c r="AG804" i="17"/>
  <c r="AG64" i="38"/>
  <c r="AE73" i="38"/>
  <c r="AE890" i="17"/>
  <c r="AE52" i="38" s="1"/>
  <c r="AE53" i="38" s="1"/>
  <c r="AE803" i="17"/>
  <c r="AE923" i="17" s="1"/>
  <c r="AE892" i="17" s="1"/>
  <c r="AF770" i="17"/>
  <c r="AF70" i="38" s="1"/>
  <c r="AF790" i="17"/>
  <c r="AF149" i="26" s="1"/>
  <c r="AE152" i="26"/>
  <c r="AF766" i="17"/>
  <c r="AF775" i="17" s="1"/>
  <c r="AF777" i="17" s="1"/>
  <c r="AF885" i="17"/>
  <c r="AF888" i="17" s="1"/>
  <c r="AF50" i="38" s="1"/>
  <c r="AG758" i="17"/>
  <c r="AG889" i="17"/>
  <c r="AF66" i="38"/>
  <c r="AF69" i="38"/>
  <c r="AF71" i="38"/>
  <c r="AI706" i="17"/>
  <c r="AI542" i="17" s="1"/>
  <c r="AI544" i="17" s="1"/>
  <c r="AI559" i="17" s="1"/>
  <c r="AI561" i="17" s="1"/>
  <c r="AI563" i="17" s="1"/>
  <c r="AI568" i="17" s="1"/>
  <c r="AI570" i="17" s="1"/>
  <c r="AI573" i="17" s="1"/>
  <c r="AI581" i="17" s="1"/>
  <c r="AI583" i="17" s="1"/>
  <c r="AH697" i="17"/>
  <c r="AI693" i="17" s="1"/>
  <c r="AI694" i="17" s="1"/>
  <c r="AT281" i="13"/>
  <c r="AU278" i="13" s="1"/>
  <c r="AH732" i="17" l="1"/>
  <c r="AH60" i="38" s="1"/>
  <c r="AH61" i="38" s="1"/>
  <c r="AE77" i="38"/>
  <c r="AF793" i="17"/>
  <c r="AF803" i="17" s="1"/>
  <c r="AF923" i="17" s="1"/>
  <c r="AF77" i="38" s="1"/>
  <c r="AE925" i="17"/>
  <c r="AE806" i="17"/>
  <c r="AE811" i="17" s="1"/>
  <c r="AE812" i="17" s="1"/>
  <c r="AF772" i="17"/>
  <c r="AF802" i="17" s="1"/>
  <c r="AF890" i="17"/>
  <c r="AF52" i="38" s="1"/>
  <c r="AF48" i="38"/>
  <c r="AH805" i="17"/>
  <c r="AH928" i="17"/>
  <c r="AG51" i="38"/>
  <c r="AH725" i="17"/>
  <c r="AH884" i="17" s="1"/>
  <c r="AH47" i="38" s="1"/>
  <c r="AH721" i="17"/>
  <c r="AH771" i="17" s="1"/>
  <c r="AJ569" i="17"/>
  <c r="AG93" i="37"/>
  <c r="AG924" i="17"/>
  <c r="AG78" i="38" s="1"/>
  <c r="AG759" i="17"/>
  <c r="AG760" i="17" s="1"/>
  <c r="AI880" i="17"/>
  <c r="AI43" i="38" s="1"/>
  <c r="AI785" i="17"/>
  <c r="AI49" i="37" s="1"/>
  <c r="AI598" i="17"/>
  <c r="AI600" i="17" s="1"/>
  <c r="AI602" i="17" s="1"/>
  <c r="AI56" i="38" s="1"/>
  <c r="AU279" i="13"/>
  <c r="AU280" i="13" s="1"/>
  <c r="AU283" i="13" s="1"/>
  <c r="AU289" i="13" s="1"/>
  <c r="AU290" i="13" s="1"/>
  <c r="AH757" i="17" l="1"/>
  <c r="AH756" i="17" s="1"/>
  <c r="AH736" i="17"/>
  <c r="AH750" i="17" s="1"/>
  <c r="AH752" i="17" s="1"/>
  <c r="AF795" i="17"/>
  <c r="AF154" i="26" s="1"/>
  <c r="AF152" i="26"/>
  <c r="AF806" i="17"/>
  <c r="AF811" i="17" s="1"/>
  <c r="AF812" i="17" s="1"/>
  <c r="AF892" i="17"/>
  <c r="AF72" i="38"/>
  <c r="AF73" i="38" s="1"/>
  <c r="AF925" i="17"/>
  <c r="AF79" i="38" s="1"/>
  <c r="AE79" i="38"/>
  <c r="AE930" i="17"/>
  <c r="AF53" i="38"/>
  <c r="AG763" i="17"/>
  <c r="AG885" i="17" s="1"/>
  <c r="AG888" i="17" s="1"/>
  <c r="AG50" i="38" s="1"/>
  <c r="AG765" i="17"/>
  <c r="AH789" i="17"/>
  <c r="AH148" i="26" s="1"/>
  <c r="AI702" i="17"/>
  <c r="AI703" i="17" s="1"/>
  <c r="AI696" i="17"/>
  <c r="AI709" i="17" s="1"/>
  <c r="AG153" i="26"/>
  <c r="AG65" i="38"/>
  <c r="AG66" i="38" s="1"/>
  <c r="AG769" i="17"/>
  <c r="AI730" i="17"/>
  <c r="AI144" i="26"/>
  <c r="AF926" i="17"/>
  <c r="AU281" i="13"/>
  <c r="AV278" i="13" s="1"/>
  <c r="AH92" i="37" l="1"/>
  <c r="AH804" i="17"/>
  <c r="AH64" i="38"/>
  <c r="AG770" i="17"/>
  <c r="AG70" i="38" s="1"/>
  <c r="AG790" i="17"/>
  <c r="AG149" i="26" s="1"/>
  <c r="AG58" i="37"/>
  <c r="AG766" i="17"/>
  <c r="AG775" i="17" s="1"/>
  <c r="AG777" i="17" s="1"/>
  <c r="AG69" i="38"/>
  <c r="AG71" i="38"/>
  <c r="AH794" i="17"/>
  <c r="AH758" i="17"/>
  <c r="AH889" i="17"/>
  <c r="AI697" i="17"/>
  <c r="AJ693" i="17" s="1"/>
  <c r="AJ694" i="17" s="1"/>
  <c r="AI719" i="17"/>
  <c r="AI720" i="17" s="1"/>
  <c r="AI731" i="17" s="1"/>
  <c r="AI59" i="38" s="1"/>
  <c r="AJ706" i="17"/>
  <c r="AJ542" i="17" s="1"/>
  <c r="AJ544" i="17" s="1"/>
  <c r="AJ559" i="17" s="1"/>
  <c r="AJ561" i="17" s="1"/>
  <c r="AJ563" i="17" s="1"/>
  <c r="AJ568" i="17" s="1"/>
  <c r="AJ570" i="17" s="1"/>
  <c r="AJ573" i="17" s="1"/>
  <c r="AJ581" i="17" s="1"/>
  <c r="AJ583" i="17" s="1"/>
  <c r="AJ598" i="17" s="1"/>
  <c r="AJ600" i="17" s="1"/>
  <c r="AJ602" i="17" s="1"/>
  <c r="AJ56" i="38" s="1"/>
  <c r="AI722" i="17"/>
  <c r="AG48" i="38"/>
  <c r="AG890" i="17"/>
  <c r="AG52" i="38" s="1"/>
  <c r="AF930" i="17"/>
  <c r="AF80" i="38"/>
  <c r="AV279" i="13"/>
  <c r="J279" i="13" s="1"/>
  <c r="AG793" i="17" l="1"/>
  <c r="AG795" i="17" s="1"/>
  <c r="AG154" i="26" s="1"/>
  <c r="AG772" i="17"/>
  <c r="AG72" i="38" s="1"/>
  <c r="AG73" i="38" s="1"/>
  <c r="AI805" i="17"/>
  <c r="AI928" i="17"/>
  <c r="AI725" i="17"/>
  <c r="AI721" i="17"/>
  <c r="AI771" i="17" s="1"/>
  <c r="AJ880" i="17"/>
  <c r="AJ43" i="38" s="1"/>
  <c r="AJ785" i="17"/>
  <c r="AJ49" i="37" s="1"/>
  <c r="AK569" i="17"/>
  <c r="AG53" i="38"/>
  <c r="AH153" i="26"/>
  <c r="AH759" i="17"/>
  <c r="AH760" i="17" s="1"/>
  <c r="AI732" i="17"/>
  <c r="AI60" i="38" s="1"/>
  <c r="AI61" i="38" s="1"/>
  <c r="AJ730" i="17"/>
  <c r="AV280" i="13"/>
  <c r="AV283" i="13" s="1"/>
  <c r="AG802" i="17" l="1"/>
  <c r="AG926" i="17" s="1"/>
  <c r="AG80" i="38" s="1"/>
  <c r="AG803" i="17"/>
  <c r="AG923" i="17" s="1"/>
  <c r="AG77" i="38" s="1"/>
  <c r="AG152" i="26"/>
  <c r="AH763" i="17"/>
  <c r="AH765" i="17"/>
  <c r="AH51" i="38"/>
  <c r="AH93" i="37"/>
  <c r="AJ144" i="26"/>
  <c r="AJ702" i="17"/>
  <c r="AJ703" i="17" s="1"/>
  <c r="AJ696" i="17"/>
  <c r="AJ709" i="17" s="1"/>
  <c r="AH924" i="17"/>
  <c r="AH78" i="38" s="1"/>
  <c r="AH65" i="38"/>
  <c r="AH769" i="17"/>
  <c r="AI789" i="17"/>
  <c r="AI148" i="26" s="1"/>
  <c r="AI884" i="17"/>
  <c r="AI47" i="38" s="1"/>
  <c r="AI736" i="17"/>
  <c r="AI750" i="17" s="1"/>
  <c r="AI757" i="17"/>
  <c r="AI756" i="17" s="1"/>
  <c r="J280" i="13"/>
  <c r="AV281" i="13"/>
  <c r="J283" i="13"/>
  <c r="J289" i="13" s="1"/>
  <c r="AV289" i="13"/>
  <c r="AV290" i="13" s="1"/>
  <c r="F304" i="13" s="1"/>
  <c r="G307" i="13" s="1"/>
  <c r="AG925" i="17" l="1"/>
  <c r="AG930" i="17" s="1"/>
  <c r="AG892" i="17"/>
  <c r="AG806" i="17"/>
  <c r="AG811" i="17" s="1"/>
  <c r="AG812" i="17" s="1"/>
  <c r="AH58" i="37"/>
  <c r="AH766" i="17"/>
  <c r="AH775" i="17" s="1"/>
  <c r="AH777" i="17" s="1"/>
  <c r="AH770" i="17"/>
  <c r="AH70" i="38" s="1"/>
  <c r="AH790" i="17"/>
  <c r="AH793" i="17" s="1"/>
  <c r="AH795" i="17" s="1"/>
  <c r="AH154" i="26" s="1"/>
  <c r="AH885" i="17"/>
  <c r="AH48" i="38" s="1"/>
  <c r="AI752" i="17"/>
  <c r="AI92" i="37"/>
  <c r="AH66" i="38"/>
  <c r="AH69" i="38"/>
  <c r="AH71" i="38"/>
  <c r="AJ697" i="17"/>
  <c r="AK693" i="17" s="1"/>
  <c r="AK694" i="17" s="1"/>
  <c r="AJ719" i="17"/>
  <c r="AJ720" i="17" s="1"/>
  <c r="AJ731" i="17" s="1"/>
  <c r="AJ59" i="38" s="1"/>
  <c r="AK706" i="17"/>
  <c r="AK542" i="17" s="1"/>
  <c r="AK544" i="17" s="1"/>
  <c r="AK559" i="17" s="1"/>
  <c r="AK561" i="17" s="1"/>
  <c r="AK563" i="17" s="1"/>
  <c r="AK568" i="17" s="1"/>
  <c r="AK570" i="17" s="1"/>
  <c r="AK573" i="17" s="1"/>
  <c r="AK581" i="17" s="1"/>
  <c r="AK583" i="17" s="1"/>
  <c r="AJ722" i="17"/>
  <c r="J290" i="13"/>
  <c r="F303" i="13"/>
  <c r="AI794" i="17" l="1"/>
  <c r="AI153" i="26" s="1"/>
  <c r="AI64" i="38"/>
  <c r="AI804" i="17"/>
  <c r="AG79" i="38"/>
  <c r="AH152" i="26"/>
  <c r="AH149" i="26"/>
  <c r="AH803" i="17"/>
  <c r="AH923" i="17" s="1"/>
  <c r="AH77" i="38" s="1"/>
  <c r="AH888" i="17"/>
  <c r="AH50" i="38" s="1"/>
  <c r="AH772" i="17"/>
  <c r="AH72" i="38" s="1"/>
  <c r="AH73" i="38" s="1"/>
  <c r="AJ805" i="17"/>
  <c r="AJ928" i="17"/>
  <c r="AI889" i="17"/>
  <c r="AI758" i="17"/>
  <c r="AI759" i="17" s="1"/>
  <c r="AI760" i="17" s="1"/>
  <c r="AK696" i="17"/>
  <c r="AJ725" i="17"/>
  <c r="AJ789" i="17" s="1"/>
  <c r="AJ148" i="26" s="1"/>
  <c r="AJ721" i="17"/>
  <c r="AJ771" i="17" s="1"/>
  <c r="AL569" i="17"/>
  <c r="AK702" i="17"/>
  <c r="AK703" i="17" s="1"/>
  <c r="AJ732" i="17"/>
  <c r="AJ60" i="38" s="1"/>
  <c r="AJ61" i="38" s="1"/>
  <c r="AK785" i="17"/>
  <c r="AK880" i="17"/>
  <c r="AK43" i="38" s="1"/>
  <c r="AK598" i="17"/>
  <c r="AK600" i="17" s="1"/>
  <c r="AK602" i="17" s="1"/>
  <c r="AK719" i="17" l="1"/>
  <c r="AK720" i="17" s="1"/>
  <c r="AK731" i="17" s="1"/>
  <c r="AK59" i="38" s="1"/>
  <c r="AK709" i="17"/>
  <c r="AH925" i="17"/>
  <c r="AH79" i="38" s="1"/>
  <c r="AH892" i="17"/>
  <c r="AH890" i="17"/>
  <c r="AH52" i="38" s="1"/>
  <c r="AH53" i="38" s="1"/>
  <c r="AH802" i="17"/>
  <c r="AH926" i="17" s="1"/>
  <c r="AH80" i="38" s="1"/>
  <c r="AI763" i="17"/>
  <c r="AI885" i="17" s="1"/>
  <c r="AI888" i="17" s="1"/>
  <c r="AI50" i="38" s="1"/>
  <c r="AI765" i="17"/>
  <c r="AI51" i="38"/>
  <c r="AJ884" i="17"/>
  <c r="AJ47" i="38" s="1"/>
  <c r="AI93" i="37"/>
  <c r="AL706" i="17"/>
  <c r="AL542" i="17" s="1"/>
  <c r="AL544" i="17" s="1"/>
  <c r="AL559" i="17" s="1"/>
  <c r="AL561" i="17" s="1"/>
  <c r="AL563" i="17" s="1"/>
  <c r="AL568" i="17" s="1"/>
  <c r="AL570" i="17" s="1"/>
  <c r="AL573" i="17" s="1"/>
  <c r="AL581" i="17" s="1"/>
  <c r="AL583" i="17" s="1"/>
  <c r="AL598" i="17" s="1"/>
  <c r="AL600" i="17" s="1"/>
  <c r="AL602" i="17" s="1"/>
  <c r="AL56" i="38" s="1"/>
  <c r="AK722" i="17"/>
  <c r="AJ757" i="17"/>
  <c r="AJ756" i="17" s="1"/>
  <c r="AJ736" i="17"/>
  <c r="AJ750" i="17" s="1"/>
  <c r="AI924" i="17"/>
  <c r="AI78" i="38" s="1"/>
  <c r="AI65" i="38"/>
  <c r="AI769" i="17"/>
  <c r="AK56" i="38"/>
  <c r="AK730" i="17"/>
  <c r="AK49" i="37"/>
  <c r="AK144" i="26"/>
  <c r="AH806" i="17" l="1"/>
  <c r="AH811" i="17" s="1"/>
  <c r="AH812" i="17" s="1"/>
  <c r="AI790" i="17"/>
  <c r="AI149" i="26" s="1"/>
  <c r="AI58" i="37"/>
  <c r="AI770" i="17"/>
  <c r="AI70" i="38" s="1"/>
  <c r="AI766" i="17"/>
  <c r="AI775" i="17" s="1"/>
  <c r="AI777" i="17" s="1"/>
  <c r="AJ752" i="17"/>
  <c r="AK805" i="17"/>
  <c r="AK928" i="17"/>
  <c r="AJ92" i="37"/>
  <c r="AH930" i="17"/>
  <c r="AI66" i="38"/>
  <c r="AM569" i="17"/>
  <c r="AI69" i="38"/>
  <c r="AI71" i="38"/>
  <c r="AK725" i="17"/>
  <c r="AK721" i="17"/>
  <c r="AK771" i="17" s="1"/>
  <c r="AL880" i="17"/>
  <c r="AL43" i="38" s="1"/>
  <c r="AL785" i="17"/>
  <c r="AL49" i="37" s="1"/>
  <c r="AI48" i="38"/>
  <c r="AL730" i="17"/>
  <c r="AI890" i="17"/>
  <c r="AI52" i="38" s="1"/>
  <c r="AJ64" i="38" l="1"/>
  <c r="AJ804" i="17"/>
  <c r="AI793" i="17"/>
  <c r="AI795" i="17" s="1"/>
  <c r="AI154" i="26" s="1"/>
  <c r="AI772" i="17"/>
  <c r="AI802" i="17" s="1"/>
  <c r="AI926" i="17" s="1"/>
  <c r="AI80" i="38" s="1"/>
  <c r="AJ794" i="17"/>
  <c r="AJ758" i="17"/>
  <c r="AJ889" i="17"/>
  <c r="AL144" i="26"/>
  <c r="AI53" i="38"/>
  <c r="AI803" i="17" l="1"/>
  <c r="AI923" i="17" s="1"/>
  <c r="AI77" i="38" s="1"/>
  <c r="AI152" i="26"/>
  <c r="AI72" i="38"/>
  <c r="AI73" i="38" s="1"/>
  <c r="AJ759" i="17"/>
  <c r="AJ760" i="17" s="1"/>
  <c r="AK732" i="17"/>
  <c r="AK60" i="38" s="1"/>
  <c r="AK697" i="17"/>
  <c r="AI925" i="17" l="1"/>
  <c r="AI79" i="38" s="1"/>
  <c r="AI892" i="17"/>
  <c r="AI806" i="17"/>
  <c r="AI811" i="17" s="1"/>
  <c r="AI812" i="17" s="1"/>
  <c r="AJ763" i="17"/>
  <c r="AJ885" i="17" s="1"/>
  <c r="AJ48" i="38" s="1"/>
  <c r="AJ765" i="17"/>
  <c r="AJ51" i="38"/>
  <c r="AJ924" i="17"/>
  <c r="AJ78" i="38" s="1"/>
  <c r="AJ93" i="37"/>
  <c r="AJ153" i="26"/>
  <c r="AJ65" i="38"/>
  <c r="AJ769" i="17"/>
  <c r="AL693" i="17"/>
  <c r="AL694" i="17" s="1"/>
  <c r="AK61" i="38"/>
  <c r="AK736" i="17"/>
  <c r="AK750" i="17" s="1"/>
  <c r="AK757" i="17"/>
  <c r="AK756" i="17" s="1"/>
  <c r="AI930" i="17" l="1"/>
  <c r="AJ58" i="37"/>
  <c r="AJ790" i="17"/>
  <c r="AJ793" i="17" s="1"/>
  <c r="AJ795" i="17" s="1"/>
  <c r="AJ154" i="26" s="1"/>
  <c r="AJ770" i="17"/>
  <c r="AJ70" i="38" s="1"/>
  <c r="AJ766" i="17"/>
  <c r="AJ775" i="17" s="1"/>
  <c r="AJ777" i="17" s="1"/>
  <c r="AK752" i="17"/>
  <c r="AK92" i="37"/>
  <c r="AJ66" i="38"/>
  <c r="AJ69" i="38"/>
  <c r="AJ71" i="38"/>
  <c r="AJ888" i="17"/>
  <c r="AJ50" i="38" s="1"/>
  <c r="AK884" i="17"/>
  <c r="AK47" i="38" s="1"/>
  <c r="AK789" i="17"/>
  <c r="AK148" i="26" s="1"/>
  <c r="AK758" i="17" l="1"/>
  <c r="AK759" i="17" s="1"/>
  <c r="AK760" i="17" s="1"/>
  <c r="AK804" i="17"/>
  <c r="AK64" i="38"/>
  <c r="AJ149" i="26"/>
  <c r="AJ803" i="17"/>
  <c r="AJ923" i="17" s="1"/>
  <c r="AJ925" i="17" s="1"/>
  <c r="AJ79" i="38" s="1"/>
  <c r="AJ152" i="26"/>
  <c r="AJ772" i="17"/>
  <c r="AJ802" i="17" s="1"/>
  <c r="AK794" i="17"/>
  <c r="AK889" i="17"/>
  <c r="AK51" i="38" s="1"/>
  <c r="AJ890" i="17"/>
  <c r="AJ52" i="38" s="1"/>
  <c r="AJ53" i="38" s="1"/>
  <c r="AL696" i="17"/>
  <c r="AL702" i="17"/>
  <c r="AL703" i="17" s="1"/>
  <c r="AL719" i="17" l="1"/>
  <c r="AL720" i="17" s="1"/>
  <c r="AL731" i="17" s="1"/>
  <c r="AL59" i="38" s="1"/>
  <c r="AL709" i="17"/>
  <c r="AJ72" i="38"/>
  <c r="AJ73" i="38" s="1"/>
  <c r="AJ892" i="17"/>
  <c r="AJ806" i="17"/>
  <c r="AJ811" i="17" s="1"/>
  <c r="AJ812" i="17" s="1"/>
  <c r="AJ77" i="38"/>
  <c r="AJ926" i="17"/>
  <c r="AJ80" i="38" s="1"/>
  <c r="AK763" i="17"/>
  <c r="AK765" i="17"/>
  <c r="AK93" i="37"/>
  <c r="AM706" i="17"/>
  <c r="AM542" i="17" s="1"/>
  <c r="AM544" i="17" s="1"/>
  <c r="AM559" i="17" s="1"/>
  <c r="AM561" i="17" s="1"/>
  <c r="AM563" i="17" s="1"/>
  <c r="AM568" i="17" s="1"/>
  <c r="AM570" i="17" s="1"/>
  <c r="AL722" i="17"/>
  <c r="AL697" i="17"/>
  <c r="AM693" i="17" s="1"/>
  <c r="AM694" i="17" s="1"/>
  <c r="AL732" i="17"/>
  <c r="AL60" i="38" s="1"/>
  <c r="AK153" i="26"/>
  <c r="AK924" i="17"/>
  <c r="AK78" i="38" s="1"/>
  <c r="AK769" i="17"/>
  <c r="AK65" i="38"/>
  <c r="AJ930" i="17" l="1"/>
  <c r="AK766" i="17"/>
  <c r="AK775" i="17" s="1"/>
  <c r="AK777" i="17" s="1"/>
  <c r="AK790" i="17"/>
  <c r="AK149" i="26" s="1"/>
  <c r="AK770" i="17"/>
  <c r="AK70" i="38" s="1"/>
  <c r="AK885" i="17"/>
  <c r="AK888" i="17" s="1"/>
  <c r="AK50" i="38" s="1"/>
  <c r="AK58" i="37"/>
  <c r="AL805" i="17"/>
  <c r="AL928" i="17"/>
  <c r="AK69" i="38"/>
  <c r="AK71" i="38"/>
  <c r="AL725" i="17"/>
  <c r="AL789" i="17" s="1"/>
  <c r="AL148" i="26" s="1"/>
  <c r="AL721" i="17"/>
  <c r="AL771" i="17" s="1"/>
  <c r="AL61" i="38"/>
  <c r="AL736" i="17"/>
  <c r="AL750" i="17" s="1"/>
  <c r="AL757" i="17"/>
  <c r="AL756" i="17" s="1"/>
  <c r="AM573" i="17"/>
  <c r="AM581" i="17" s="1"/>
  <c r="AM583" i="17" s="1"/>
  <c r="AN569" i="17"/>
  <c r="AK66" i="38"/>
  <c r="AK772" i="17" l="1"/>
  <c r="AK802" i="17" s="1"/>
  <c r="AK48" i="38"/>
  <c r="AK793" i="17"/>
  <c r="AK803" i="17" s="1"/>
  <c r="AK923" i="17" s="1"/>
  <c r="AK925" i="17" s="1"/>
  <c r="AL752" i="17"/>
  <c r="AL884" i="17"/>
  <c r="AL47" i="38" s="1"/>
  <c r="AL92" i="37"/>
  <c r="AM696" i="17"/>
  <c r="AM702" i="17"/>
  <c r="AM703" i="17" s="1"/>
  <c r="AM598" i="17"/>
  <c r="AM600" i="17" s="1"/>
  <c r="AM602" i="17" s="1"/>
  <c r="AM56" i="38" s="1"/>
  <c r="AM785" i="17"/>
  <c r="AM880" i="17"/>
  <c r="AM43" i="38" s="1"/>
  <c r="AK890" i="17"/>
  <c r="AK52" i="38" s="1"/>
  <c r="AM719" i="17" l="1"/>
  <c r="AM720" i="17" s="1"/>
  <c r="AM731" i="17" s="1"/>
  <c r="AM59" i="38" s="1"/>
  <c r="AM709" i="17"/>
  <c r="AL804" i="17"/>
  <c r="AL64" i="38"/>
  <c r="AK72" i="38"/>
  <c r="AK73" i="38" s="1"/>
  <c r="AK53" i="38"/>
  <c r="AK77" i="38"/>
  <c r="AK892" i="17"/>
  <c r="AK152" i="26"/>
  <c r="AK795" i="17"/>
  <c r="AK154" i="26" s="1"/>
  <c r="AL889" i="17"/>
  <c r="AL51" i="38" s="1"/>
  <c r="AL758" i="17"/>
  <c r="AL759" i="17" s="1"/>
  <c r="AL65" i="38" s="1"/>
  <c r="AL794" i="17"/>
  <c r="AL153" i="26" s="1"/>
  <c r="AK79" i="38"/>
  <c r="AK926" i="17"/>
  <c r="AK806" i="17"/>
  <c r="AK811" i="17" s="1"/>
  <c r="AK812" i="17" s="1"/>
  <c r="AN706" i="17"/>
  <c r="AN542" i="17" s="1"/>
  <c r="AN544" i="17" s="1"/>
  <c r="AN559" i="17" s="1"/>
  <c r="AN561" i="17" s="1"/>
  <c r="AN563" i="17" s="1"/>
  <c r="AN568" i="17" s="1"/>
  <c r="AN570" i="17" s="1"/>
  <c r="AN573" i="17" s="1"/>
  <c r="AN581" i="17" s="1"/>
  <c r="AN583" i="17" s="1"/>
  <c r="AM722" i="17"/>
  <c r="AM730" i="17"/>
  <c r="AM144" i="26"/>
  <c r="AM49" i="37"/>
  <c r="AM805" i="17" l="1"/>
  <c r="AM928" i="17"/>
  <c r="AL93" i="37"/>
  <c r="AL66" i="38"/>
  <c r="AK80" i="38"/>
  <c r="AK930" i="17"/>
  <c r="AM725" i="17"/>
  <c r="AM721" i="17"/>
  <c r="AM771" i="17" s="1"/>
  <c r="AO569" i="17"/>
  <c r="AN880" i="17"/>
  <c r="AN43" i="38" s="1"/>
  <c r="AN785" i="17"/>
  <c r="AN49" i="37" s="1"/>
  <c r="AN598" i="17"/>
  <c r="AN600" i="17" s="1"/>
  <c r="AN602" i="17" s="1"/>
  <c r="AN56" i="38" s="1"/>
  <c r="AL760" i="17"/>
  <c r="AL769" i="17"/>
  <c r="AL924" i="17"/>
  <c r="AL78" i="38" s="1"/>
  <c r="AL763" i="17" l="1"/>
  <c r="AL885" i="17" s="1"/>
  <c r="AL765" i="17"/>
  <c r="AL69" i="38"/>
  <c r="AL71" i="38"/>
  <c r="AN144" i="26"/>
  <c r="AN730" i="17"/>
  <c r="AM697" i="17"/>
  <c r="AL770" i="17" l="1"/>
  <c r="AL772" i="17" s="1"/>
  <c r="AL72" i="38" s="1"/>
  <c r="AL790" i="17"/>
  <c r="AL793" i="17" s="1"/>
  <c r="AL795" i="17" s="1"/>
  <c r="AL154" i="26" s="1"/>
  <c r="AL58" i="37"/>
  <c r="AL766" i="17"/>
  <c r="AL775" i="17" s="1"/>
  <c r="AL777" i="17" s="1"/>
  <c r="AN693" i="17"/>
  <c r="AN694" i="17" s="1"/>
  <c r="AL888" i="17"/>
  <c r="AL48" i="38"/>
  <c r="AL149" i="26" l="1"/>
  <c r="AL70" i="38"/>
  <c r="AL73" i="38" s="1"/>
  <c r="AL802" i="17"/>
  <c r="AL926" i="17" s="1"/>
  <c r="AL80" i="38" s="1"/>
  <c r="AL152" i="26"/>
  <c r="AL803" i="17"/>
  <c r="AL923" i="17" s="1"/>
  <c r="AL925" i="17" s="1"/>
  <c r="AL890" i="17"/>
  <c r="AL52" i="38" s="1"/>
  <c r="AL53" i="38" s="1"/>
  <c r="AL50" i="38"/>
  <c r="AM732" i="17"/>
  <c r="AM60" i="38" s="1"/>
  <c r="AL79" i="38" l="1"/>
  <c r="AL806" i="17"/>
  <c r="AL811" i="17" s="1"/>
  <c r="AL812" i="17" s="1"/>
  <c r="AN702" i="17"/>
  <c r="AN703" i="17" s="1"/>
  <c r="AN696" i="17"/>
  <c r="AN709" i="17" s="1"/>
  <c r="AM884" i="17"/>
  <c r="AM47" i="38" s="1"/>
  <c r="AL892" i="17"/>
  <c r="AL77" i="38"/>
  <c r="AL930" i="17"/>
  <c r="AM61" i="38"/>
  <c r="AM757" i="17"/>
  <c r="AM756" i="17" s="1"/>
  <c r="AM736" i="17"/>
  <c r="AM750" i="17" s="1"/>
  <c r="AM789" i="17"/>
  <c r="AM148" i="26" s="1"/>
  <c r="AM752" i="17" l="1"/>
  <c r="AM92" i="37"/>
  <c r="AN697" i="17"/>
  <c r="AO693" i="17" s="1"/>
  <c r="AO694" i="17" s="1"/>
  <c r="AN719" i="17"/>
  <c r="AN720" i="17" s="1"/>
  <c r="AN731" i="17" s="1"/>
  <c r="AN59" i="38" s="1"/>
  <c r="AO706" i="17"/>
  <c r="AO542" i="17" s="1"/>
  <c r="AO544" i="17" s="1"/>
  <c r="AO559" i="17" s="1"/>
  <c r="AO561" i="17" s="1"/>
  <c r="AO563" i="17" s="1"/>
  <c r="AO568" i="17" s="1"/>
  <c r="AO570" i="17" s="1"/>
  <c r="AO573" i="17" s="1"/>
  <c r="AO581" i="17" s="1"/>
  <c r="AO583" i="17" s="1"/>
  <c r="AN722" i="17"/>
  <c r="AM804" i="17" l="1"/>
  <c r="AM64" i="38"/>
  <c r="AN732" i="17"/>
  <c r="AN60" i="38" s="1"/>
  <c r="AN61" i="38" s="1"/>
  <c r="AN805" i="17"/>
  <c r="AN928" i="17"/>
  <c r="AM794" i="17"/>
  <c r="AM758" i="17"/>
  <c r="AM889" i="17"/>
  <c r="AN725" i="17"/>
  <c r="AN789" i="17" s="1"/>
  <c r="AN148" i="26" s="1"/>
  <c r="AN721" i="17"/>
  <c r="AN771" i="17" s="1"/>
  <c r="AP569" i="17"/>
  <c r="AO702" i="17"/>
  <c r="AO703" i="17" s="1"/>
  <c r="AO696" i="17"/>
  <c r="AO880" i="17"/>
  <c r="AO43" i="38" s="1"/>
  <c r="AO598" i="17"/>
  <c r="AO600" i="17" s="1"/>
  <c r="AO602" i="17" s="1"/>
  <c r="AO56" i="38" s="1"/>
  <c r="AO785" i="17"/>
  <c r="AO49" i="37" s="1"/>
  <c r="AO719" i="17" l="1"/>
  <c r="AO720" i="17" s="1"/>
  <c r="AO731" i="17" s="1"/>
  <c r="AO59" i="38" s="1"/>
  <c r="AO709" i="17"/>
  <c r="AO722" i="17" s="1"/>
  <c r="AN757" i="17"/>
  <c r="AN756" i="17" s="1"/>
  <c r="AN736" i="17"/>
  <c r="AN884" i="17"/>
  <c r="AN47" i="38" s="1"/>
  <c r="AP706" i="17"/>
  <c r="AP542" i="17" s="1"/>
  <c r="AP544" i="17" s="1"/>
  <c r="AP559" i="17" s="1"/>
  <c r="AP561" i="17" s="1"/>
  <c r="AP563" i="17" s="1"/>
  <c r="AP568" i="17" s="1"/>
  <c r="AP570" i="17" s="1"/>
  <c r="AP573" i="17" s="1"/>
  <c r="AP581" i="17" s="1"/>
  <c r="AP583" i="17" s="1"/>
  <c r="AO730" i="17"/>
  <c r="AO144" i="26"/>
  <c r="AM51" i="38"/>
  <c r="AM759" i="17"/>
  <c r="AM153" i="26"/>
  <c r="AN750" i="17" l="1"/>
  <c r="AO805" i="17"/>
  <c r="AO928" i="17"/>
  <c r="AM93" i="37"/>
  <c r="AO725" i="17"/>
  <c r="AO721" i="17"/>
  <c r="AO771" i="17" s="1"/>
  <c r="AQ569" i="17"/>
  <c r="AP785" i="17"/>
  <c r="AP49" i="37" s="1"/>
  <c r="AP880" i="17"/>
  <c r="AP43" i="38" s="1"/>
  <c r="AP598" i="17"/>
  <c r="AP600" i="17" s="1"/>
  <c r="AP602" i="17" s="1"/>
  <c r="AP56" i="38" s="1"/>
  <c r="AM924" i="17"/>
  <c r="AM78" i="38" s="1"/>
  <c r="AM65" i="38"/>
  <c r="AM760" i="17"/>
  <c r="AM769" i="17"/>
  <c r="AM763" i="17" l="1"/>
  <c r="AM885" i="17" s="1"/>
  <c r="AM888" i="17" s="1"/>
  <c r="AM50" i="38" s="1"/>
  <c r="AM765" i="17"/>
  <c r="AN752" i="17"/>
  <c r="AN92" i="37"/>
  <c r="AN93" i="37" s="1"/>
  <c r="AM69" i="38"/>
  <c r="AM71" i="38"/>
  <c r="AP144" i="26"/>
  <c r="AP730" i="17"/>
  <c r="AM66" i="38"/>
  <c r="AN889" i="17" l="1"/>
  <c r="AN51" i="38" s="1"/>
  <c r="AN804" i="17"/>
  <c r="AN924" i="17" s="1"/>
  <c r="AN78" i="38" s="1"/>
  <c r="AN64" i="38"/>
  <c r="AM790" i="17"/>
  <c r="AM149" i="26" s="1"/>
  <c r="AM770" i="17"/>
  <c r="AM772" i="17" s="1"/>
  <c r="AM58" i="37"/>
  <c r="AM766" i="17"/>
  <c r="AM775" i="17" s="1"/>
  <c r="AM777" i="17" s="1"/>
  <c r="AN794" i="17"/>
  <c r="AN153" i="26" s="1"/>
  <c r="AN758" i="17"/>
  <c r="AN759" i="17" s="1"/>
  <c r="AN769" i="17" s="1"/>
  <c r="AN69" i="38" s="1"/>
  <c r="AN71" i="38"/>
  <c r="AM48" i="38"/>
  <c r="AM890" i="17"/>
  <c r="AM52" i="38" s="1"/>
  <c r="AM70" i="38" l="1"/>
  <c r="AM793" i="17"/>
  <c r="AM795" i="17" s="1"/>
  <c r="AM154" i="26" s="1"/>
  <c r="AN760" i="17"/>
  <c r="AN65" i="38"/>
  <c r="AN66" i="38" s="1"/>
  <c r="AM53" i="38"/>
  <c r="AM802" i="17"/>
  <c r="AM72" i="38"/>
  <c r="AM803" i="17" l="1"/>
  <c r="AM923" i="17" s="1"/>
  <c r="AM77" i="38" s="1"/>
  <c r="AM152" i="26"/>
  <c r="AM73" i="38"/>
  <c r="AN763" i="17"/>
  <c r="AN790" i="17" s="1"/>
  <c r="AN149" i="26" s="1"/>
  <c r="AN765" i="17"/>
  <c r="AM926" i="17"/>
  <c r="AM892" i="17" l="1"/>
  <c r="AM925" i="17"/>
  <c r="AM930" i="17" s="1"/>
  <c r="AM806" i="17"/>
  <c r="AM811" i="17" s="1"/>
  <c r="AM812" i="17" s="1"/>
  <c r="AN58" i="37"/>
  <c r="AN885" i="17"/>
  <c r="AN48" i="38" s="1"/>
  <c r="AN770" i="17"/>
  <c r="AN766" i="17"/>
  <c r="AN775" i="17" s="1"/>
  <c r="AN777" i="17" s="1"/>
  <c r="AN793" i="17"/>
  <c r="AN803" i="17" s="1"/>
  <c r="AN923" i="17" s="1"/>
  <c r="AN77" i="38" s="1"/>
  <c r="AM80" i="38"/>
  <c r="AM79" i="38" l="1"/>
  <c r="AN888" i="17"/>
  <c r="AN50" i="38" s="1"/>
  <c r="AN772" i="17"/>
  <c r="AN70" i="38"/>
  <c r="AN152" i="26"/>
  <c r="AN795" i="17"/>
  <c r="AN154" i="26" s="1"/>
  <c r="AN925" i="17"/>
  <c r="AN79" i="38" s="1"/>
  <c r="AN890" i="17" l="1"/>
  <c r="AN52" i="38" s="1"/>
  <c r="AN53" i="38" s="1"/>
  <c r="AN892" i="17"/>
  <c r="AN802" i="17"/>
  <c r="AN72" i="38"/>
  <c r="AN73" i="38" s="1"/>
  <c r="AO732" i="17"/>
  <c r="AO60" i="38" s="1"/>
  <c r="AO697" i="17"/>
  <c r="AN926" i="17" l="1"/>
  <c r="AN806" i="17"/>
  <c r="AN811" i="17" s="1"/>
  <c r="AN812" i="17" s="1"/>
  <c r="AP693" i="17"/>
  <c r="AP694" i="17" s="1"/>
  <c r="AO61" i="38"/>
  <c r="AO757" i="17"/>
  <c r="AO756" i="17" s="1"/>
  <c r="AO736" i="17"/>
  <c r="AO750" i="17" s="1"/>
  <c r="AN80" i="38" l="1"/>
  <c r="AN930" i="17"/>
  <c r="AO92" i="37"/>
  <c r="AO752" i="17"/>
  <c r="AO884" i="17"/>
  <c r="AO47" i="38" s="1"/>
  <c r="AO789" i="17"/>
  <c r="AO148" i="26" s="1"/>
  <c r="AO758" i="17" l="1"/>
  <c r="AO804" i="17"/>
  <c r="AO64" i="38"/>
  <c r="AO889" i="17"/>
  <c r="AO794" i="17"/>
  <c r="AP696" i="17"/>
  <c r="AP702" i="17"/>
  <c r="AP703" i="17" s="1"/>
  <c r="AP719" i="17" l="1"/>
  <c r="AP720" i="17" s="1"/>
  <c r="AP731" i="17" s="1"/>
  <c r="AP59" i="38" s="1"/>
  <c r="AP709" i="17"/>
  <c r="AP722" i="17" s="1"/>
  <c r="AQ706" i="17"/>
  <c r="AQ542" i="17" s="1"/>
  <c r="AQ544" i="17" s="1"/>
  <c r="AQ559" i="17" s="1"/>
  <c r="AQ561" i="17" s="1"/>
  <c r="AP697" i="17"/>
  <c r="AQ693" i="17" s="1"/>
  <c r="AQ694" i="17" s="1"/>
  <c r="AO93" i="37"/>
  <c r="AO51" i="38"/>
  <c r="AO759" i="17"/>
  <c r="AP732" i="17" l="1"/>
  <c r="AP60" i="38" s="1"/>
  <c r="AP61" i="38" s="1"/>
  <c r="AP805" i="17"/>
  <c r="AP928" i="17"/>
  <c r="AP725" i="17"/>
  <c r="AP789" i="17" s="1"/>
  <c r="AP148" i="26" s="1"/>
  <c r="AP721" i="17"/>
  <c r="AP771" i="17" s="1"/>
  <c r="AQ696" i="17"/>
  <c r="AQ702" i="17"/>
  <c r="AQ703" i="17" s="1"/>
  <c r="AO924" i="17"/>
  <c r="AO78" i="38" s="1"/>
  <c r="AO769" i="17"/>
  <c r="AO65" i="38"/>
  <c r="AO153" i="26"/>
  <c r="AO760" i="17"/>
  <c r="AQ563" i="17"/>
  <c r="AP736" i="17" l="1"/>
  <c r="AP750" i="17" s="1"/>
  <c r="AP752" i="17" s="1"/>
  <c r="AP757" i="17"/>
  <c r="AQ719" i="17"/>
  <c r="AQ720" i="17" s="1"/>
  <c r="AQ731" i="17" s="1"/>
  <c r="AQ59" i="38" s="1"/>
  <c r="AQ709" i="17"/>
  <c r="AQ722" i="17" s="1"/>
  <c r="AO763" i="17"/>
  <c r="AO58" i="37" s="1"/>
  <c r="AO765" i="17"/>
  <c r="AP884" i="17"/>
  <c r="AP47" i="38" s="1"/>
  <c r="AO69" i="38"/>
  <c r="AO71" i="38"/>
  <c r="AR706" i="17"/>
  <c r="AR542" i="17" s="1"/>
  <c r="AR544" i="17" s="1"/>
  <c r="AR559" i="17" s="1"/>
  <c r="AR561" i="17" s="1"/>
  <c r="AO66" i="38"/>
  <c r="AQ568" i="17"/>
  <c r="AQ570" i="17" s="1"/>
  <c r="AQ573" i="17" s="1"/>
  <c r="AQ581" i="17" s="1"/>
  <c r="AQ583" i="17" s="1"/>
  <c r="AP92" i="37" l="1"/>
  <c r="AP804" i="17"/>
  <c r="AP64" i="38"/>
  <c r="AO790" i="17"/>
  <c r="AO793" i="17" s="1"/>
  <c r="AO795" i="17" s="1"/>
  <c r="AO770" i="17"/>
  <c r="AO772" i="17" s="1"/>
  <c r="AO885" i="17"/>
  <c r="AO888" i="17" s="1"/>
  <c r="AO50" i="38" s="1"/>
  <c r="AO766" i="17"/>
  <c r="AO775" i="17" s="1"/>
  <c r="AO777" i="17" s="1"/>
  <c r="AQ805" i="17"/>
  <c r="AQ928" i="17"/>
  <c r="AP794" i="17"/>
  <c r="AP758" i="17"/>
  <c r="AP889" i="17"/>
  <c r="AP51" i="38" s="1"/>
  <c r="AQ725" i="17"/>
  <c r="AQ721" i="17"/>
  <c r="AQ771" i="17" s="1"/>
  <c r="AQ880" i="17"/>
  <c r="AQ43" i="38" s="1"/>
  <c r="AR569" i="17"/>
  <c r="AR563" i="17"/>
  <c r="AO149" i="26" l="1"/>
  <c r="AO48" i="38"/>
  <c r="AO70" i="38"/>
  <c r="AP93" i="37"/>
  <c r="AO803" i="17"/>
  <c r="AO923" i="17" s="1"/>
  <c r="AO77" i="38" s="1"/>
  <c r="AO152" i="26"/>
  <c r="AO890" i="17"/>
  <c r="AO52" i="38" s="1"/>
  <c r="AO154" i="26"/>
  <c r="AO802" i="17"/>
  <c r="AO72" i="38"/>
  <c r="AP759" i="17"/>
  <c r="AR568" i="17"/>
  <c r="AR570" i="17" s="1"/>
  <c r="AR573" i="17" s="1"/>
  <c r="AR581" i="17" s="1"/>
  <c r="AR583" i="17" s="1"/>
  <c r="AQ598" i="17"/>
  <c r="AQ600" i="17" s="1"/>
  <c r="AQ785" i="17"/>
  <c r="AO73" i="38" l="1"/>
  <c r="AO53" i="38"/>
  <c r="AO926" i="17"/>
  <c r="AO80" i="38" s="1"/>
  <c r="AO806" i="17"/>
  <c r="AO811" i="17" s="1"/>
  <c r="AO812" i="17" s="1"/>
  <c r="AO925" i="17"/>
  <c r="AO892" i="17"/>
  <c r="AP924" i="17"/>
  <c r="AP78" i="38" s="1"/>
  <c r="AP769" i="17"/>
  <c r="AP65" i="38"/>
  <c r="AR880" i="17"/>
  <c r="AR43" i="38" s="1"/>
  <c r="AS569" i="17"/>
  <c r="AQ602" i="17"/>
  <c r="AQ56" i="38" s="1"/>
  <c r="AQ49" i="37"/>
  <c r="AQ144" i="26"/>
  <c r="AP153" i="26"/>
  <c r="AP760" i="17"/>
  <c r="AP763" i="17" l="1"/>
  <c r="AP885" i="17" s="1"/>
  <c r="AP765" i="17"/>
  <c r="AP69" i="38"/>
  <c r="AP71" i="38"/>
  <c r="AO930" i="17"/>
  <c r="AO79" i="38"/>
  <c r="AP66" i="38"/>
  <c r="AQ730" i="17"/>
  <c r="AR785" i="17"/>
  <c r="AR598" i="17"/>
  <c r="AR600" i="17" s="1"/>
  <c r="AP790" i="17" l="1"/>
  <c r="AP793" i="17" s="1"/>
  <c r="AP152" i="26" s="1"/>
  <c r="AP58" i="37"/>
  <c r="AP770" i="17"/>
  <c r="AP772" i="17" s="1"/>
  <c r="AP766" i="17"/>
  <c r="AP775" i="17" s="1"/>
  <c r="AP777" i="17" s="1"/>
  <c r="AP888" i="17"/>
  <c r="AP50" i="38" s="1"/>
  <c r="AP48" i="38"/>
  <c r="AR602" i="17"/>
  <c r="AR56" i="38" s="1"/>
  <c r="AR49" i="37"/>
  <c r="AR144" i="26"/>
  <c r="AP149" i="26" l="1"/>
  <c r="AP70" i="38"/>
  <c r="AP795" i="17"/>
  <c r="AP154" i="26" s="1"/>
  <c r="AP803" i="17"/>
  <c r="AP923" i="17" s="1"/>
  <c r="AP77" i="38" s="1"/>
  <c r="AP890" i="17"/>
  <c r="AP52" i="38" s="1"/>
  <c r="AP53" i="38" s="1"/>
  <c r="AP802" i="17"/>
  <c r="AP72" i="38"/>
  <c r="AR730" i="17"/>
  <c r="AP73" i="38" l="1"/>
  <c r="AP926" i="17"/>
  <c r="AP80" i="38" s="1"/>
  <c r="AP806" i="17"/>
  <c r="AP811" i="17" s="1"/>
  <c r="AP812" i="17" s="1"/>
  <c r="AP925" i="17"/>
  <c r="AP892" i="17"/>
  <c r="AP930" i="17" l="1"/>
  <c r="AP79" i="38"/>
  <c r="AQ697" i="17"/>
  <c r="AR693" i="17" l="1"/>
  <c r="AR694" i="17" s="1"/>
  <c r="AQ732" i="17"/>
  <c r="AQ60" i="38" s="1"/>
  <c r="AQ884" i="17" l="1"/>
  <c r="AQ47" i="38" s="1"/>
  <c r="AQ61" i="38"/>
  <c r="AQ789" i="17"/>
  <c r="AQ148" i="26" s="1"/>
  <c r="AQ736" i="17"/>
  <c r="AQ750" i="17" s="1"/>
  <c r="AQ757" i="17"/>
  <c r="AQ92" i="37" l="1"/>
  <c r="AQ752" i="17"/>
  <c r="AR696" i="17"/>
  <c r="AR709" i="17" s="1"/>
  <c r="AR702" i="17"/>
  <c r="AR703" i="17" s="1"/>
  <c r="AQ758" i="17" l="1"/>
  <c r="AQ64" i="38"/>
  <c r="AQ804" i="17"/>
  <c r="AQ889" i="17"/>
  <c r="AQ794" i="17"/>
  <c r="AR697" i="17"/>
  <c r="AS693" i="17" s="1"/>
  <c r="AS694" i="17" s="1"/>
  <c r="AR719" i="17"/>
  <c r="AR720" i="17" s="1"/>
  <c r="AR731" i="17" s="1"/>
  <c r="AR59" i="38" s="1"/>
  <c r="AS706" i="17"/>
  <c r="AS542" i="17" s="1"/>
  <c r="AS544" i="17" s="1"/>
  <c r="AS559" i="17" s="1"/>
  <c r="AS561" i="17" s="1"/>
  <c r="AR722" i="17"/>
  <c r="AR805" i="17" l="1"/>
  <c r="AR928" i="17"/>
  <c r="AR725" i="17"/>
  <c r="AR884" i="17" s="1"/>
  <c r="AR47" i="38" s="1"/>
  <c r="AR721" i="17"/>
  <c r="AR771" i="17" s="1"/>
  <c r="AR732" i="17"/>
  <c r="AS696" i="17"/>
  <c r="AS702" i="17"/>
  <c r="AS703" i="17" s="1"/>
  <c r="AQ93" i="37"/>
  <c r="AQ51" i="38"/>
  <c r="AS563" i="17"/>
  <c r="AS719" i="17" l="1"/>
  <c r="AS720" i="17" s="1"/>
  <c r="AS731" i="17" s="1"/>
  <c r="AS59" i="38" s="1"/>
  <c r="AS709" i="17"/>
  <c r="AS722" i="17" s="1"/>
  <c r="AR789" i="17"/>
  <c r="AR148" i="26" s="1"/>
  <c r="AT706" i="17"/>
  <c r="AT542" i="17" s="1"/>
  <c r="AT544" i="17" s="1"/>
  <c r="AT559" i="17" s="1"/>
  <c r="AT561" i="17" s="1"/>
  <c r="AR60" i="38"/>
  <c r="AR61" i="38" s="1"/>
  <c r="AR736" i="17"/>
  <c r="AR750" i="17" s="1"/>
  <c r="AR757" i="17"/>
  <c r="AS568" i="17"/>
  <c r="AS570" i="17" s="1"/>
  <c r="AS573" i="17" s="1"/>
  <c r="AS581" i="17" s="1"/>
  <c r="AS583" i="17" s="1"/>
  <c r="AQ759" i="17"/>
  <c r="AR92" i="37" l="1"/>
  <c r="AR752" i="17"/>
  <c r="AS805" i="17"/>
  <c r="AS928" i="17"/>
  <c r="AS725" i="17"/>
  <c r="AS721" i="17"/>
  <c r="AS771" i="17" s="1"/>
  <c r="AQ769" i="17"/>
  <c r="AQ65" i="38"/>
  <c r="AQ924" i="17"/>
  <c r="AQ78" i="38" s="1"/>
  <c r="AT563" i="17"/>
  <c r="AQ153" i="26"/>
  <c r="AT569" i="17"/>
  <c r="AS880" i="17"/>
  <c r="AS43" i="38" s="1"/>
  <c r="AQ760" i="17"/>
  <c r="AR64" i="38" l="1"/>
  <c r="AR804" i="17"/>
  <c r="AQ763" i="17"/>
  <c r="AQ885" i="17" s="1"/>
  <c r="AQ765" i="17"/>
  <c r="AQ69" i="38"/>
  <c r="AQ71" i="38"/>
  <c r="AR794" i="17"/>
  <c r="AR758" i="17"/>
  <c r="AR889" i="17"/>
  <c r="AQ66" i="38"/>
  <c r="AT568" i="17"/>
  <c r="AT570" i="17" s="1"/>
  <c r="AT573" i="17" s="1"/>
  <c r="AT581" i="17" s="1"/>
  <c r="AT583" i="17" s="1"/>
  <c r="AS785" i="17"/>
  <c r="AS598" i="17"/>
  <c r="AS600" i="17" s="1"/>
  <c r="AQ58" i="37" l="1"/>
  <c r="AQ770" i="17"/>
  <c r="AQ772" i="17" s="1"/>
  <c r="AQ790" i="17"/>
  <c r="AQ793" i="17" s="1"/>
  <c r="AQ803" i="17" s="1"/>
  <c r="AQ766" i="17"/>
  <c r="AQ775" i="17" s="1"/>
  <c r="AQ777" i="17" s="1"/>
  <c r="AR93" i="37"/>
  <c r="AR153" i="26"/>
  <c r="AR759" i="17"/>
  <c r="AR65" i="38" s="1"/>
  <c r="AR51" i="38"/>
  <c r="AQ888" i="17"/>
  <c r="AQ50" i="38" s="1"/>
  <c r="AQ48" i="38"/>
  <c r="AS602" i="17"/>
  <c r="AS56" i="38" s="1"/>
  <c r="AS144" i="26"/>
  <c r="AS49" i="37"/>
  <c r="AT880" i="17"/>
  <c r="AU569" i="17"/>
  <c r="AQ70" i="38" l="1"/>
  <c r="AQ149" i="26"/>
  <c r="AT43" i="38"/>
  <c r="F906" i="17"/>
  <c r="C165" i="43" s="1"/>
  <c r="AR924" i="17"/>
  <c r="AR78" i="38" s="1"/>
  <c r="AR66" i="38"/>
  <c r="AR769" i="17"/>
  <c r="AR760" i="17"/>
  <c r="AQ795" i="17"/>
  <c r="AQ154" i="26" s="1"/>
  <c r="AQ152" i="26"/>
  <c r="AQ890" i="17"/>
  <c r="AQ52" i="38" s="1"/>
  <c r="AQ53" i="38" s="1"/>
  <c r="AQ802" i="17"/>
  <c r="AQ72" i="38"/>
  <c r="AQ923" i="17"/>
  <c r="AQ77" i="38" s="1"/>
  <c r="AS730" i="17"/>
  <c r="AT785" i="17"/>
  <c r="AT598" i="17"/>
  <c r="AT600" i="17" s="1"/>
  <c r="AQ73" i="38" l="1"/>
  <c r="AR763" i="17"/>
  <c r="AR770" i="17" s="1"/>
  <c r="AR70" i="38" s="1"/>
  <c r="AR765" i="17"/>
  <c r="AQ926" i="17"/>
  <c r="AQ80" i="38" s="1"/>
  <c r="AQ806" i="17"/>
  <c r="AQ811" i="17" s="1"/>
  <c r="AQ812" i="17" s="1"/>
  <c r="AR69" i="38"/>
  <c r="AR71" i="38"/>
  <c r="AQ925" i="17"/>
  <c r="AQ892" i="17"/>
  <c r="AT602" i="17"/>
  <c r="AT56" i="38" s="1"/>
  <c r="AT144" i="26"/>
  <c r="AT49" i="37"/>
  <c r="AR885" i="17" l="1"/>
  <c r="AR888" i="17" s="1"/>
  <c r="AR50" i="38" s="1"/>
  <c r="AR790" i="17"/>
  <c r="AR149" i="26" s="1"/>
  <c r="AR58" i="37"/>
  <c r="AR766" i="17"/>
  <c r="AR775" i="17" s="1"/>
  <c r="AR777" i="17" s="1"/>
  <c r="AR772" i="17"/>
  <c r="AR802" i="17" s="1"/>
  <c r="AQ930" i="17"/>
  <c r="AQ79" i="38"/>
  <c r="AT730" i="17"/>
  <c r="AR793" i="17" l="1"/>
  <c r="AR803" i="17" s="1"/>
  <c r="AR923" i="17" s="1"/>
  <c r="AR77" i="38" s="1"/>
  <c r="AR890" i="17"/>
  <c r="AR52" i="38" s="1"/>
  <c r="AR48" i="38"/>
  <c r="AR926" i="17"/>
  <c r="AR80" i="38" s="1"/>
  <c r="AR72" i="38"/>
  <c r="AR73" i="38" s="1"/>
  <c r="AR925" i="17" l="1"/>
  <c r="AR930" i="17" s="1"/>
  <c r="AR795" i="17"/>
  <c r="AR154" i="26" s="1"/>
  <c r="AR152" i="26"/>
  <c r="AR806" i="17"/>
  <c r="AR811" i="17" s="1"/>
  <c r="AR812" i="17" s="1"/>
  <c r="AR892" i="17"/>
  <c r="AR53" i="38"/>
  <c r="AS697" i="17"/>
  <c r="AR79" i="38" l="1"/>
  <c r="AT693" i="17"/>
  <c r="AT694" i="17" s="1"/>
  <c r="AS732" i="17"/>
  <c r="AS60" i="38" s="1"/>
  <c r="AS884" i="17" l="1"/>
  <c r="AS47" i="38" s="1"/>
  <c r="AS61" i="38"/>
  <c r="AS789" i="17"/>
  <c r="AS148" i="26" s="1"/>
  <c r="AS736" i="17"/>
  <c r="AS750" i="17" s="1"/>
  <c r="AS757" i="17"/>
  <c r="AS92" i="37" l="1"/>
  <c r="AS752" i="17"/>
  <c r="AT696" i="17"/>
  <c r="AT702" i="17"/>
  <c r="AT703" i="17" s="1"/>
  <c r="AT719" i="17" l="1"/>
  <c r="AT720" i="17" s="1"/>
  <c r="AT731" i="17" s="1"/>
  <c r="AT59" i="38" s="1"/>
  <c r="AT709" i="17"/>
  <c r="AT722" i="17" s="1"/>
  <c r="AS804" i="17"/>
  <c r="AS64" i="38"/>
  <c r="AS794" i="17"/>
  <c r="AS758" i="17"/>
  <c r="AS889" i="17"/>
  <c r="AU706" i="17"/>
  <c r="AU542" i="17" s="1"/>
  <c r="AU544" i="17" s="1"/>
  <c r="AU559" i="17" s="1"/>
  <c r="AU561" i="17" s="1"/>
  <c r="AT697" i="17"/>
  <c r="AU693" i="17" s="1"/>
  <c r="AU694" i="17" s="1"/>
  <c r="AT732" i="17"/>
  <c r="AT60" i="38" s="1"/>
  <c r="AT805" i="17" l="1"/>
  <c r="AT928" i="17"/>
  <c r="AT725" i="17"/>
  <c r="AT721" i="17"/>
  <c r="AT771" i="17" s="1"/>
  <c r="AS93" i="37"/>
  <c r="AT61" i="38"/>
  <c r="AS51" i="38"/>
  <c r="AS759" i="17"/>
  <c r="AU563" i="17"/>
  <c r="AT736" i="17"/>
  <c r="AT750" i="17" s="1"/>
  <c r="AT757" i="17"/>
  <c r="AT92" i="37" l="1"/>
  <c r="AT752" i="17"/>
  <c r="AT789" i="17"/>
  <c r="AT148" i="26" s="1"/>
  <c r="AT884" i="17"/>
  <c r="AU702" i="17"/>
  <c r="AU703" i="17" s="1"/>
  <c r="AU696" i="17"/>
  <c r="AS153" i="26"/>
  <c r="AS769" i="17"/>
  <c r="AS65" i="38"/>
  <c r="AS760" i="17"/>
  <c r="AS924" i="17"/>
  <c r="AS78" i="38" s="1"/>
  <c r="AU568" i="17"/>
  <c r="AU570" i="17" s="1"/>
  <c r="AU573" i="17" s="1"/>
  <c r="AU581" i="17" s="1"/>
  <c r="AU583" i="17" s="1"/>
  <c r="AU719" i="17" l="1"/>
  <c r="AU720" i="17" s="1"/>
  <c r="AU731" i="17" s="1"/>
  <c r="AU59" i="38" s="1"/>
  <c r="AU709" i="17"/>
  <c r="AT804" i="17"/>
  <c r="AT64" i="38"/>
  <c r="AS763" i="17"/>
  <c r="AS885" i="17" s="1"/>
  <c r="AS888" i="17" s="1"/>
  <c r="AS50" i="38" s="1"/>
  <c r="AS765" i="17"/>
  <c r="AT47" i="38"/>
  <c r="F910" i="17"/>
  <c r="C169" i="43" s="1"/>
  <c r="AS69" i="38"/>
  <c r="AS71" i="38"/>
  <c r="AT794" i="17"/>
  <c r="AT758" i="17"/>
  <c r="AT889" i="17"/>
  <c r="F916" i="17" s="1"/>
  <c r="C174" i="43" s="1"/>
  <c r="AV706" i="17"/>
  <c r="J706" i="17" s="1"/>
  <c r="J542" i="17" s="1"/>
  <c r="AU722" i="17"/>
  <c r="AS66" i="38"/>
  <c r="AU880" i="17"/>
  <c r="AU43" i="38" s="1"/>
  <c r="AV569" i="17"/>
  <c r="AS770" i="17" l="1"/>
  <c r="AS772" i="17" s="1"/>
  <c r="AS790" i="17"/>
  <c r="AS149" i="26" s="1"/>
  <c r="AS58" i="37"/>
  <c r="AS766" i="17"/>
  <c r="AS775" i="17" s="1"/>
  <c r="AS777" i="17" s="1"/>
  <c r="AU805" i="17"/>
  <c r="AU928" i="17"/>
  <c r="L1000" i="17" s="1"/>
  <c r="AV542" i="17"/>
  <c r="AV544" i="17" s="1"/>
  <c r="AV559" i="17" s="1"/>
  <c r="AV561" i="17" s="1"/>
  <c r="AU725" i="17"/>
  <c r="AU721" i="17"/>
  <c r="AU771" i="17" s="1"/>
  <c r="AT93" i="37"/>
  <c r="AS48" i="38"/>
  <c r="AS890" i="17"/>
  <c r="AS52" i="38" s="1"/>
  <c r="AT51" i="38"/>
  <c r="AT759" i="17"/>
  <c r="AU598" i="17"/>
  <c r="AU600" i="17" s="1"/>
  <c r="AU785" i="17"/>
  <c r="AS70" i="38" l="1"/>
  <c r="AS793" i="17"/>
  <c r="AS795" i="17" s="1"/>
  <c r="AS154" i="26" s="1"/>
  <c r="J544" i="17"/>
  <c r="J559" i="17" s="1"/>
  <c r="AV563" i="17"/>
  <c r="J561" i="17"/>
  <c r="AS53" i="38"/>
  <c r="AT924" i="17"/>
  <c r="AT78" i="38" s="1"/>
  <c r="AS802" i="17"/>
  <c r="AS72" i="38"/>
  <c r="AT769" i="17"/>
  <c r="AT65" i="38"/>
  <c r="AU144" i="26"/>
  <c r="AU49" i="37"/>
  <c r="AU602" i="17"/>
  <c r="AU56" i="38" s="1"/>
  <c r="AT760" i="17"/>
  <c r="AT153" i="26"/>
  <c r="AS73" i="38" l="1"/>
  <c r="AS152" i="26"/>
  <c r="AS803" i="17"/>
  <c r="AS923" i="17" s="1"/>
  <c r="AS77" i="38" s="1"/>
  <c r="AT763" i="17"/>
  <c r="AT885" i="17" s="1"/>
  <c r="F911" i="17" s="1"/>
  <c r="C170" i="43" s="1"/>
  <c r="AT765" i="17"/>
  <c r="AT69" i="38"/>
  <c r="AT71" i="38"/>
  <c r="J563" i="17"/>
  <c r="J568" i="17" s="1"/>
  <c r="AV568" i="17"/>
  <c r="AV570" i="17" s="1"/>
  <c r="AV573" i="17" s="1"/>
  <c r="J573" i="17" s="1"/>
  <c r="J581" i="17" s="1"/>
  <c r="AT66" i="38"/>
  <c r="AS926" i="17"/>
  <c r="AU730" i="17"/>
  <c r="AS806" i="17" l="1"/>
  <c r="AS811" i="17" s="1"/>
  <c r="AS812" i="17" s="1"/>
  <c r="AS925" i="17"/>
  <c r="AS892" i="17"/>
  <c r="AT770" i="17"/>
  <c r="AT70" i="38" s="1"/>
  <c r="AT58" i="37"/>
  <c r="AT790" i="17"/>
  <c r="AT149" i="26" s="1"/>
  <c r="AT766" i="17"/>
  <c r="AT775" i="17" s="1"/>
  <c r="AT777" i="17" s="1"/>
  <c r="F919" i="17" s="1"/>
  <c r="C176" i="43" s="1"/>
  <c r="AV581" i="17"/>
  <c r="AV583" i="17" s="1"/>
  <c r="AV598" i="17" s="1"/>
  <c r="AV600" i="17" s="1"/>
  <c r="AT888" i="17"/>
  <c r="AT48" i="38"/>
  <c r="AS80" i="38"/>
  <c r="AS79" i="38" l="1"/>
  <c r="AS930" i="17"/>
  <c r="AT793" i="17"/>
  <c r="AT803" i="17" s="1"/>
  <c r="AT923" i="17" s="1"/>
  <c r="AT77" i="38" s="1"/>
  <c r="AT772" i="17"/>
  <c r="AT802" i="17" s="1"/>
  <c r="C126" i="43" a="1"/>
  <c r="C126" i="43" s="1"/>
  <c r="H126" i="43" s="1"/>
  <c r="AT50" i="38"/>
  <c r="F915" i="17"/>
  <c r="C173" i="43" s="1"/>
  <c r="AV880" i="17"/>
  <c r="H906" i="17" s="1"/>
  <c r="E165" i="43" s="1"/>
  <c r="F584" i="17"/>
  <c r="J583" i="17"/>
  <c r="J880" i="17" s="1"/>
  <c r="AV785" i="17"/>
  <c r="AV49" i="37" s="1"/>
  <c r="J50" i="37" s="1"/>
  <c r="AV602" i="17"/>
  <c r="J600" i="17"/>
  <c r="AT890" i="17"/>
  <c r="J43" i="38" l="1"/>
  <c r="AT892" i="17"/>
  <c r="AT925" i="17"/>
  <c r="AT79" i="38" s="1"/>
  <c r="AT795" i="17"/>
  <c r="AT154" i="26" s="1"/>
  <c r="AT152" i="26"/>
  <c r="AT72" i="38"/>
  <c r="AT73" i="38" s="1"/>
  <c r="G126" i="43"/>
  <c r="AT52" i="38"/>
  <c r="AT53" i="38" s="1"/>
  <c r="F917" i="17"/>
  <c r="C175" i="43" s="1"/>
  <c r="AT926" i="17"/>
  <c r="AT806" i="17"/>
  <c r="AT811" i="17" s="1"/>
  <c r="AT812" i="17" s="1"/>
  <c r="L978" i="17"/>
  <c r="M978" i="17" a="1"/>
  <c r="M978" i="17" s="1"/>
  <c r="AV43" i="38"/>
  <c r="N978" i="17" a="1"/>
  <c r="N978" i="17" s="1"/>
  <c r="O978" i="17" a="1"/>
  <c r="O978" i="17" s="1"/>
  <c r="D50" i="25" s="1"/>
  <c r="F65" i="42" s="1"/>
  <c r="J65" i="42" s="1"/>
  <c r="I65" i="42" s="1"/>
  <c r="AV144" i="26"/>
  <c r="J598" i="17"/>
  <c r="J785" i="17"/>
  <c r="J49" i="37" s="1"/>
  <c r="AV56" i="38"/>
  <c r="AV730" i="17"/>
  <c r="J602" i="17"/>
  <c r="AT930" i="17" l="1"/>
  <c r="C120" i="43" a="1"/>
  <c r="C120" i="43" s="1"/>
  <c r="G120" i="43" s="1"/>
  <c r="C131" i="43" a="1"/>
  <c r="C131" i="43" s="1"/>
  <c r="G131" i="43" s="1"/>
  <c r="C108" i="43" a="1"/>
  <c r="C108" i="43" s="1"/>
  <c r="G108" i="43" s="1"/>
  <c r="C114" i="43" a="1"/>
  <c r="C114" i="43" s="1"/>
  <c r="G114" i="43" s="1"/>
  <c r="G102" i="43"/>
  <c r="AT80" i="38"/>
  <c r="J144" i="26"/>
  <c r="J56" i="38"/>
  <c r="J730" i="17"/>
  <c r="AU697" i="17"/>
  <c r="H120" i="43" l="1"/>
  <c r="AV693" i="17"/>
  <c r="AV694" i="17" s="1"/>
  <c r="AU789" i="17"/>
  <c r="AU148" i="26" s="1"/>
  <c r="AU884" i="17"/>
  <c r="AU47" i="38" s="1"/>
  <c r="AU732" i="17"/>
  <c r="AU60" i="38" s="1"/>
  <c r="O23" i="44" l="1"/>
  <c r="J23" i="44" s="1"/>
  <c r="AU61" i="38"/>
  <c r="AU736" i="17"/>
  <c r="AU750" i="17" s="1"/>
  <c r="AU757" i="17"/>
  <c r="AU92" i="37" l="1"/>
  <c r="AU752" i="17"/>
  <c r="AV696" i="17"/>
  <c r="AV702" i="17"/>
  <c r="AV703" i="17" s="1"/>
  <c r="J694" i="17"/>
  <c r="J702" i="17" s="1"/>
  <c r="F694" i="17"/>
  <c r="AV719" i="17" l="1"/>
  <c r="AV720" i="17" s="1"/>
  <c r="J720" i="17" s="1"/>
  <c r="J731" i="17" s="1"/>
  <c r="J59" i="38" s="1"/>
  <c r="AV709" i="17"/>
  <c r="AU804" i="17"/>
  <c r="AU64" i="38"/>
  <c r="J696" i="17"/>
  <c r="F698" i="17" s="1"/>
  <c r="AV697" i="17"/>
  <c r="AU794" i="17"/>
  <c r="AU758" i="17"/>
  <c r="AU889" i="17"/>
  <c r="AV731" i="17"/>
  <c r="J703" i="17"/>
  <c r="AV722" i="17"/>
  <c r="AV928" i="17" s="1"/>
  <c r="F702" i="17"/>
  <c r="J719" i="17" l="1"/>
  <c r="AV732" i="17"/>
  <c r="AV60" i="38" s="1"/>
  <c r="AV59" i="38"/>
  <c r="O1000" i="17" a="1"/>
  <c r="O1000" i="17" s="1"/>
  <c r="N1000" i="17" a="1"/>
  <c r="N1000" i="17" s="1"/>
  <c r="O1014" i="17"/>
  <c r="N1014" i="17"/>
  <c r="M1000" i="17" a="1"/>
  <c r="M1000" i="17" s="1"/>
  <c r="H1014" i="17"/>
  <c r="H1000" i="17" a="1"/>
  <c r="H1000" i="17" s="1"/>
  <c r="M1014" i="17"/>
  <c r="AV805" i="17"/>
  <c r="J722" i="17"/>
  <c r="AV721" i="17"/>
  <c r="AV725" i="17"/>
  <c r="AV884" i="17" s="1"/>
  <c r="H910" i="17" s="1"/>
  <c r="E169" i="43" s="1"/>
  <c r="J709" i="17"/>
  <c r="AU93" i="37"/>
  <c r="AU924" i="17"/>
  <c r="AU759" i="17"/>
  <c r="AU65" i="38" s="1"/>
  <c r="AU51" i="38"/>
  <c r="J732" i="17" l="1"/>
  <c r="J60" i="38" s="1"/>
  <c r="AV736" i="17"/>
  <c r="AV757" i="17"/>
  <c r="AV61" i="38"/>
  <c r="F61" i="38" s="1"/>
  <c r="F90" i="38" s="1"/>
  <c r="J805" i="17"/>
  <c r="J928" i="17"/>
  <c r="J721" i="17"/>
  <c r="J771" i="17" s="1"/>
  <c r="AV771" i="17"/>
  <c r="N982" i="17" a="1"/>
  <c r="N982" i="17" s="1"/>
  <c r="M982" i="17" a="1"/>
  <c r="M982" i="17" s="1"/>
  <c r="O982" i="17" a="1"/>
  <c r="O982" i="17" s="1"/>
  <c r="D54" i="25" s="1"/>
  <c r="F69" i="42" s="1"/>
  <c r="J69" i="42" s="1"/>
  <c r="I69" i="42" s="1"/>
  <c r="J725" i="17"/>
  <c r="AV789" i="17"/>
  <c r="AV148" i="26" s="1"/>
  <c r="L982" i="17"/>
  <c r="AV47" i="38"/>
  <c r="L996" i="17"/>
  <c r="AU78" i="38"/>
  <c r="AU760" i="17"/>
  <c r="AU153" i="26"/>
  <c r="AU769" i="17"/>
  <c r="AU66" i="38"/>
  <c r="AU763" i="17" l="1"/>
  <c r="AU58" i="37" s="1"/>
  <c r="AU765" i="17"/>
  <c r="AV750" i="17"/>
  <c r="AV92" i="37" s="1"/>
  <c r="J757" i="17"/>
  <c r="J736" i="17"/>
  <c r="AU69" i="38"/>
  <c r="AU71" i="38"/>
  <c r="J789" i="17"/>
  <c r="J148" i="26" s="1"/>
  <c r="J884" i="17"/>
  <c r="J47" i="38" s="1"/>
  <c r="E39" i="25"/>
  <c r="F57" i="42" s="1"/>
  <c r="J57" i="42" s="1"/>
  <c r="I57" i="42" s="1"/>
  <c r="D39" i="25"/>
  <c r="F45" i="42" s="1"/>
  <c r="J45" i="42" s="1"/>
  <c r="I45" i="42" s="1"/>
  <c r="J71" i="38"/>
  <c r="AU770" i="17" l="1"/>
  <c r="AU772" i="17" s="1"/>
  <c r="AU802" i="17" s="1"/>
  <c r="AU885" i="17"/>
  <c r="AU888" i="17" s="1"/>
  <c r="AU50" i="38" s="1"/>
  <c r="AU790" i="17"/>
  <c r="AU793" i="17" s="1"/>
  <c r="AU152" i="26" s="1"/>
  <c r="AU766" i="17"/>
  <c r="AU775" i="17" s="1"/>
  <c r="AU777" i="17" s="1"/>
  <c r="AV752" i="17"/>
  <c r="J750" i="17"/>
  <c r="J92" i="37" s="1"/>
  <c r="AV93" i="37"/>
  <c r="J93" i="37" s="1"/>
  <c r="O999" i="17" a="1"/>
  <c r="O999" i="17" s="1"/>
  <c r="D38" i="25" s="1"/>
  <c r="F44" i="42" s="1"/>
  <c r="J44" i="42" s="1"/>
  <c r="I44" i="42" s="1"/>
  <c r="AV889" i="17" l="1"/>
  <c r="O987" i="17" s="1" a="1"/>
  <c r="O987" i="17" s="1"/>
  <c r="D59" i="25" s="1"/>
  <c r="AV804" i="17"/>
  <c r="AV924" i="17" s="1"/>
  <c r="AV64" i="38"/>
  <c r="AU72" i="38"/>
  <c r="AU70" i="38"/>
  <c r="AU890" i="17"/>
  <c r="AU52" i="38" s="1"/>
  <c r="AU149" i="26"/>
  <c r="AU48" i="38"/>
  <c r="AV758" i="17"/>
  <c r="AV759" i="17" s="1"/>
  <c r="AV760" i="17" s="1"/>
  <c r="AV794" i="17"/>
  <c r="AV153" i="26" s="1"/>
  <c r="J752" i="17"/>
  <c r="AU926" i="17"/>
  <c r="L998" i="17" s="1"/>
  <c r="AU795" i="17"/>
  <c r="AU154" i="26" s="1"/>
  <c r="AU803" i="17"/>
  <c r="AU923" i="17" s="1"/>
  <c r="L995" i="17" s="1"/>
  <c r="L1006" i="17" s="1"/>
  <c r="H999" i="17" a="1"/>
  <c r="H999" i="17" s="1"/>
  <c r="O1013" i="17"/>
  <c r="E38" i="25" s="1"/>
  <c r="F56" i="42" s="1"/>
  <c r="J56" i="42" s="1"/>
  <c r="I56" i="42" s="1"/>
  <c r="N1013" i="17"/>
  <c r="H1013" i="17"/>
  <c r="N999" i="17" a="1"/>
  <c r="N999" i="17" s="1"/>
  <c r="N987" i="17" l="1" a="1"/>
  <c r="N987" i="17" s="1"/>
  <c r="L987" i="17"/>
  <c r="AV51" i="38"/>
  <c r="H916" i="17"/>
  <c r="E174" i="43" s="1"/>
  <c r="M987" i="17" a="1"/>
  <c r="M987" i="17" s="1"/>
  <c r="J758" i="17"/>
  <c r="J804" i="17"/>
  <c r="J924" i="17" s="1"/>
  <c r="J78" i="38" s="1"/>
  <c r="J64" i="38"/>
  <c r="AU73" i="38"/>
  <c r="AU53" i="38"/>
  <c r="AV763" i="17"/>
  <c r="AV770" i="17" s="1"/>
  <c r="AV70" i="38" s="1"/>
  <c r="AV765" i="17"/>
  <c r="J765" i="17" s="1"/>
  <c r="AV65" i="38"/>
  <c r="AV66" i="38" s="1"/>
  <c r="F66" i="38" s="1"/>
  <c r="F91" i="38" s="1"/>
  <c r="AV769" i="17"/>
  <c r="AV69" i="38" s="1"/>
  <c r="J794" i="17"/>
  <c r="J153" i="26" s="1"/>
  <c r="J889" i="17"/>
  <c r="J51" i="38" s="1"/>
  <c r="J759" i="17"/>
  <c r="J769" i="17" s="1"/>
  <c r="J69" i="38" s="1"/>
  <c r="F73" i="42"/>
  <c r="J73" i="42" s="1"/>
  <c r="I73" i="42" s="1"/>
  <c r="D13" i="25"/>
  <c r="AU80" i="38"/>
  <c r="AU806" i="17"/>
  <c r="AU811" i="17" s="1"/>
  <c r="AU812" i="17" s="1"/>
  <c r="AV71" i="38"/>
  <c r="AU892" i="17"/>
  <c r="AU925" i="17"/>
  <c r="AU77" i="38"/>
  <c r="L1002" i="17"/>
  <c r="L1005" i="17"/>
  <c r="M996" i="17" a="1"/>
  <c r="M996" i="17" s="1"/>
  <c r="AV78" i="38"/>
  <c r="M1010" i="17"/>
  <c r="J763" i="17" l="1"/>
  <c r="J790" i="17" s="1"/>
  <c r="J149" i="26" s="1"/>
  <c r="AV58" i="37"/>
  <c r="AV885" i="17"/>
  <c r="M983" i="17" s="1" a="1"/>
  <c r="M983" i="17" s="1"/>
  <c r="AV790" i="17"/>
  <c r="AV766" i="17"/>
  <c r="AV772" i="17"/>
  <c r="AV72" i="38" s="1"/>
  <c r="AV73" i="38" s="1"/>
  <c r="F73" i="38" s="1"/>
  <c r="F92" i="38" s="1"/>
  <c r="J65" i="38"/>
  <c r="AU79" i="38"/>
  <c r="L997" i="17"/>
  <c r="AU930" i="17"/>
  <c r="H911" i="17" l="1"/>
  <c r="E170" i="43" s="1"/>
  <c r="J58" i="37"/>
  <c r="AV888" i="17"/>
  <c r="L986" i="17" s="1"/>
  <c r="L1004" i="17" s="1"/>
  <c r="J770" i="17"/>
  <c r="J70" i="38" s="1"/>
  <c r="J885" i="17"/>
  <c r="J48" i="38" s="1"/>
  <c r="N983" i="17" a="1"/>
  <c r="N983" i="17" s="1"/>
  <c r="AV48" i="38"/>
  <c r="O983" i="17" a="1"/>
  <c r="O983" i="17" s="1"/>
  <c r="D55" i="25" s="1"/>
  <c r="F70" i="42" s="1"/>
  <c r="J70" i="42" s="1"/>
  <c r="I70" i="42" s="1"/>
  <c r="L983" i="17"/>
  <c r="J766" i="17"/>
  <c r="J775" i="17" s="1"/>
  <c r="AV775" i="17"/>
  <c r="AV777" i="17" s="1"/>
  <c r="AV793" i="17"/>
  <c r="AV149" i="26"/>
  <c r="J772" i="17"/>
  <c r="J72" i="38" s="1"/>
  <c r="AV802" i="17"/>
  <c r="O996" i="17" a="1"/>
  <c r="O996" i="17" s="1"/>
  <c r="H996" i="17" a="1"/>
  <c r="H996" i="17" s="1"/>
  <c r="N1010" i="17"/>
  <c r="N996" i="17" a="1"/>
  <c r="N996" i="17" s="1"/>
  <c r="H1010" i="17"/>
  <c r="O1010" i="17"/>
  <c r="H915" i="17" l="1"/>
  <c r="E173" i="43" s="1"/>
  <c r="O986" i="17" a="1"/>
  <c r="O986" i="17" s="1"/>
  <c r="D58" i="25" s="1"/>
  <c r="J888" i="17"/>
  <c r="J50" i="38" s="1"/>
  <c r="AV890" i="17"/>
  <c r="J890" i="17" s="1"/>
  <c r="J52" i="38" s="1"/>
  <c r="M986" i="17" a="1"/>
  <c r="M986" i="17" s="1"/>
  <c r="M1004" i="17" s="1"/>
  <c r="AV50" i="38"/>
  <c r="N986" i="17" a="1"/>
  <c r="N986" i="17" s="1"/>
  <c r="N1004" i="17" s="1"/>
  <c r="J777" i="17"/>
  <c r="H919" i="17"/>
  <c r="E176" i="43" s="1"/>
  <c r="AV152" i="26"/>
  <c r="AV795" i="17"/>
  <c r="AV803" i="17"/>
  <c r="AV923" i="17" s="1"/>
  <c r="J793" i="17"/>
  <c r="AV926" i="17"/>
  <c r="J802" i="17"/>
  <c r="J926" i="17" s="1"/>
  <c r="J80" i="38" s="1"/>
  <c r="G73" i="43"/>
  <c r="E35" i="25"/>
  <c r="F53" i="42" s="1"/>
  <c r="J53" i="42" s="1"/>
  <c r="I53" i="42" s="1"/>
  <c r="D35" i="25"/>
  <c r="F41" i="42" s="1"/>
  <c r="J41" i="42" s="1"/>
  <c r="I41" i="42" s="1"/>
  <c r="D42" i="25" l="1"/>
  <c r="C22" i="24" s="1"/>
  <c r="N988" i="17" a="1"/>
  <c r="N988" i="17" s="1"/>
  <c r="L988" i="17"/>
  <c r="L990" i="17" s="1"/>
  <c r="M988" i="17" a="1"/>
  <c r="M988" i="17" s="1"/>
  <c r="D12" i="25"/>
  <c r="D14" i="25" s="1"/>
  <c r="AV52" i="38"/>
  <c r="AV53" i="38" s="1"/>
  <c r="F53" i="38" s="1"/>
  <c r="F89" i="38" s="1"/>
  <c r="F94" i="38" s="1"/>
  <c r="F80" i="42" s="1"/>
  <c r="J80" i="42" s="1"/>
  <c r="I80" i="42" s="1"/>
  <c r="O1004" i="17"/>
  <c r="O988" i="17" a="1"/>
  <c r="O988" i="17" s="1"/>
  <c r="D60" i="25" s="1"/>
  <c r="F74" i="42" s="1"/>
  <c r="J74" i="42" s="1"/>
  <c r="I74" i="42" s="1"/>
  <c r="F72" i="42"/>
  <c r="J72" i="42" s="1"/>
  <c r="I72" i="42" s="1"/>
  <c r="H917" i="17"/>
  <c r="E175" i="43" s="1"/>
  <c r="D108" i="43" s="1" a="1"/>
  <c r="D108" i="43" s="1"/>
  <c r="G109" i="43" s="1"/>
  <c r="G121" i="43"/>
  <c r="D126" i="43" a="1"/>
  <c r="D126" i="43" s="1"/>
  <c r="J803" i="17"/>
  <c r="J923" i="17" s="1"/>
  <c r="J77" i="38" s="1"/>
  <c r="J152" i="26"/>
  <c r="AV925" i="17"/>
  <c r="AV930" i="17" s="1"/>
  <c r="F930" i="17" s="1"/>
  <c r="F1030" i="17" s="1"/>
  <c r="N995" i="17" a="1"/>
  <c r="N995" i="17" s="1"/>
  <c r="N1009" i="17"/>
  <c r="H1009" i="17"/>
  <c r="M1009" i="17"/>
  <c r="H995" i="17" a="1"/>
  <c r="H995" i="17" s="1"/>
  <c r="M995" i="17" a="1"/>
  <c r="M995" i="17" s="1"/>
  <c r="AV77" i="38"/>
  <c r="O1009" i="17"/>
  <c r="O995" i="17" a="1"/>
  <c r="O995" i="17" s="1"/>
  <c r="AV892" i="17"/>
  <c r="F892" i="17" s="1"/>
  <c r="J795" i="17"/>
  <c r="J154" i="26" s="1"/>
  <c r="AV154" i="26"/>
  <c r="AV806" i="17"/>
  <c r="M1012" i="17"/>
  <c r="H998" i="17" a="1"/>
  <c r="H998" i="17" s="1"/>
  <c r="M998" i="17" a="1"/>
  <c r="M998" i="17" s="1"/>
  <c r="AV80" i="38"/>
  <c r="N1012" i="17"/>
  <c r="N998" i="17" a="1"/>
  <c r="N998" i="17" s="1"/>
  <c r="O998" i="17" a="1"/>
  <c r="O998" i="17" s="1"/>
  <c r="D37" i="25" s="1"/>
  <c r="F43" i="42" s="1"/>
  <c r="J43" i="42" s="1"/>
  <c r="I43" i="42" s="1"/>
  <c r="O1012" i="17"/>
  <c r="E37" i="25" s="1"/>
  <c r="F55" i="42" s="1"/>
  <c r="J55" i="42" s="1"/>
  <c r="I55" i="42" s="1"/>
  <c r="H1012" i="17"/>
  <c r="F47" i="42" l="1"/>
  <c r="J47" i="42" s="1"/>
  <c r="I47" i="42" s="1"/>
  <c r="D15" i="25"/>
  <c r="F1029" i="17"/>
  <c r="D102" i="43" a="1"/>
  <c r="D102" i="43" s="1"/>
  <c r="G103" i="43" s="1"/>
  <c r="D114" i="43" a="1"/>
  <c r="D114" i="43" s="1"/>
  <c r="G115" i="43" s="1"/>
  <c r="D131" i="43" a="1"/>
  <c r="D131" i="43" s="1"/>
  <c r="G132" i="43" s="1"/>
  <c r="M1002" i="17"/>
  <c r="N1002" i="17"/>
  <c r="G127" i="43"/>
  <c r="I126" i="43"/>
  <c r="N1016" i="17"/>
  <c r="M1016" i="17"/>
  <c r="H1018" i="17"/>
  <c r="H1019" i="17"/>
  <c r="N1018" i="17"/>
  <c r="N1019" i="17"/>
  <c r="O1005" i="17"/>
  <c r="O1006" i="17"/>
  <c r="D44" i="25" s="1"/>
  <c r="F49" i="42" s="1"/>
  <c r="J49" i="42" s="1"/>
  <c r="I49" i="42" s="1"/>
  <c r="D34" i="25"/>
  <c r="N1005" i="17"/>
  <c r="N1006" i="17"/>
  <c r="E34" i="25"/>
  <c r="F52" i="42" s="1"/>
  <c r="J52" i="42" s="1"/>
  <c r="I52" i="42" s="1"/>
  <c r="O1018" i="17"/>
  <c r="E43" i="25" s="1"/>
  <c r="F59" i="42" s="1"/>
  <c r="J59" i="42" s="1"/>
  <c r="I59" i="42" s="1"/>
  <c r="O1019" i="17"/>
  <c r="E44" i="25" s="1"/>
  <c r="F60" i="42" s="1"/>
  <c r="J60" i="42" s="1"/>
  <c r="I60" i="42" s="1"/>
  <c r="AV79" i="38"/>
  <c r="N1011" i="17"/>
  <c r="M1011" i="17"/>
  <c r="H1011" i="17"/>
  <c r="M997" i="17" a="1"/>
  <c r="M997" i="17" s="1"/>
  <c r="M990" i="17" s="1"/>
  <c r="H997" i="17" a="1"/>
  <c r="H997" i="17" s="1"/>
  <c r="O997" i="17" a="1"/>
  <c r="O997" i="17" s="1"/>
  <c r="O1011" i="17"/>
  <c r="E36" i="25" s="1"/>
  <c r="F54" i="42" s="1"/>
  <c r="J54" i="42" s="1"/>
  <c r="I54" i="42" s="1"/>
  <c r="J925" i="17"/>
  <c r="J79" i="38" s="1"/>
  <c r="N997" i="17" a="1"/>
  <c r="N997" i="17" s="1"/>
  <c r="N990" i="17" s="1"/>
  <c r="J806" i="17"/>
  <c r="AV811" i="17"/>
  <c r="M1006" i="17"/>
  <c r="M1005" i="17"/>
  <c r="H1005" i="17"/>
  <c r="H1006" i="17"/>
  <c r="M1018" i="17"/>
  <c r="M1019" i="17"/>
  <c r="O1016" i="17"/>
  <c r="E41" i="25" s="1"/>
  <c r="D17" i="25"/>
  <c r="O1002" i="17"/>
  <c r="D41" i="25" s="1"/>
  <c r="O26" i="44" l="1"/>
  <c r="J26" i="44" s="1"/>
  <c r="J811" i="17"/>
  <c r="AV812" i="17"/>
  <c r="F812" i="17" s="1"/>
  <c r="F1027" i="17" s="1"/>
  <c r="D43" i="25"/>
  <c r="F48" i="42" s="1"/>
  <c r="J48" i="42" s="1"/>
  <c r="I48" i="42" s="1"/>
  <c r="F40" i="42"/>
  <c r="J40" i="42" s="1"/>
  <c r="I40" i="42" s="1"/>
  <c r="D36" i="25"/>
  <c r="O990" i="17"/>
  <c r="F990" i="17" s="1"/>
  <c r="D71" i="25"/>
  <c r="F1016" i="17"/>
  <c r="F1034" i="17" s="1"/>
  <c r="F1002" i="17"/>
  <c r="F1033" i="17" s="1"/>
  <c r="F1032" i="17" l="1"/>
  <c r="F1031" i="17"/>
  <c r="D61" i="25"/>
  <c r="D72" i="25" s="1"/>
  <c r="D74" i="25" s="1"/>
  <c r="F79" i="42" s="1"/>
  <c r="J79" i="42" s="1"/>
  <c r="I79" i="42" s="1"/>
  <c r="F42" i="42"/>
  <c r="J42" i="42" s="1"/>
  <c r="I42" i="42" s="1"/>
  <c r="F1036" i="17" l="1"/>
  <c r="F81" i="42" s="1"/>
  <c r="J81" i="42" s="1"/>
  <c r="I81" i="42" s="1"/>
  <c r="F3" i="42" s="1"/>
  <c r="C3" i="43" l="1"/>
  <c r="C31" i="24"/>
  <c r="F85" i="42"/>
  <c r="C2" i="43" s="1"/>
  <c r="F3" i="1"/>
  <c r="M3" i="25"/>
  <c r="F3" i="40"/>
  <c r="F3" i="41"/>
  <c r="F3" i="10"/>
  <c r="F3" i="38"/>
  <c r="F3" i="26"/>
  <c r="F3" i="4"/>
  <c r="F3" i="12"/>
  <c r="F3" i="13"/>
  <c r="F3" i="17"/>
  <c r="F3" i="37"/>
  <c r="F2" i="42" l="1"/>
  <c r="F2" i="4"/>
  <c r="F2" i="13"/>
  <c r="F2" i="12"/>
  <c r="F196" i="12" s="1"/>
  <c r="F2" i="1"/>
  <c r="F2" i="17"/>
  <c r="M2" i="25"/>
  <c r="F2" i="41"/>
  <c r="J85" i="42"/>
  <c r="I85" i="42" s="1"/>
  <c r="F2" i="37"/>
  <c r="F2" i="38"/>
  <c r="F2" i="40"/>
  <c r="E22" i="41"/>
  <c r="E12" i="40" s="1"/>
  <c r="E935" i="17" s="1"/>
  <c r="E17" i="42" l="1"/>
  <c r="E846" i="17"/>
  <c r="E899" i="17"/>
</calcChain>
</file>

<file path=xl/comments1.xml><?xml version="1.0" encoding="utf-8"?>
<comments xmlns="http://schemas.openxmlformats.org/spreadsheetml/2006/main">
  <authors>
    <author>User</author>
  </authors>
  <commentList>
    <comment ref="I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note change to 0 in MATCH() = exact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E19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eyeballed avge 2025 LME price to date. To update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<sst xmlns="http://schemas.openxmlformats.org/spreadsheetml/2006/main" count="3513" uniqueCount="1394">
  <si>
    <t>Calendar year end</t>
  </si>
  <si>
    <t>Error chks</t>
  </si>
  <si>
    <t>Track chgs</t>
  </si>
  <si>
    <t>Actual</t>
  </si>
  <si>
    <t>Forecast</t>
  </si>
  <si>
    <t>Constant</t>
  </si>
  <si>
    <t>Units</t>
  </si>
  <si>
    <t>Sparkline</t>
  </si>
  <si>
    <t>Source / Comments</t>
  </si>
  <si>
    <t>Production and revenues</t>
  </si>
  <si>
    <t>2019TR pricing</t>
  </si>
  <si>
    <t>Copper</t>
  </si>
  <si>
    <t>LME history &amp; forecast: pricing alternatives sheet</t>
  </si>
  <si>
    <t>LME Copper price 2019TR real</t>
  </si>
  <si>
    <t>$ / tonne</t>
  </si>
  <si>
    <t>Cobalt</t>
  </si>
  <si>
    <t>LME history &amp; forecast</t>
  </si>
  <si>
    <t>LME Cobalt price 2019TR real</t>
  </si>
  <si>
    <t>Production</t>
  </si>
  <si>
    <t>2019 history &amp; act &amp; forecast</t>
  </si>
  <si>
    <t>Copper produced: history + forecast 2019TR</t>
  </si>
  <si>
    <t>KT Cu</t>
  </si>
  <si>
    <t>Project life</t>
  </si>
  <si>
    <t>flag</t>
  </si>
  <si>
    <t>Realized price formula: compare to simple %</t>
  </si>
  <si>
    <t>Cu Proportion LME price realized</t>
  </si>
  <si>
    <t>%</t>
  </si>
  <si>
    <t>revisit</t>
  </si>
  <si>
    <t>Copper gross revenue</t>
  </si>
  <si>
    <t>$ mn</t>
  </si>
  <si>
    <t>Finished metal ratio Co to Cu</t>
  </si>
  <si>
    <t>higher than 2011</t>
  </si>
  <si>
    <t>Cobalt produced: history + forecast 2019TR</t>
  </si>
  <si>
    <t>Kt Co</t>
  </si>
  <si>
    <t>Proportion LME price realized</t>
  </si>
  <si>
    <t>Cobalt gross revenue</t>
  </si>
  <si>
    <t>Aggregate revenues</t>
  </si>
  <si>
    <t>Copper plus Cobalt revenue</t>
  </si>
  <si>
    <t>Realization costs</t>
  </si>
  <si>
    <t>Deductions from revenues</t>
  </si>
  <si>
    <t>Actual deductions from slaes prices: Somidez contracts?</t>
  </si>
  <si>
    <t>to revisit, separate for Cu and Co</t>
  </si>
  <si>
    <t>Freight, Insurance &amp; Sales 2019TR: Cu</t>
  </si>
  <si>
    <t>Freight, Insurance &amp; Sales 2019TR: Co</t>
  </si>
  <si>
    <t>Net revenues</t>
  </si>
  <si>
    <t>Copper net revenue</t>
  </si>
  <si>
    <t>Cobalt net revenue</t>
  </si>
  <si>
    <t>Copper &amp; Cobalt net revenue</t>
  </si>
  <si>
    <t>Royalties</t>
  </si>
  <si>
    <t>Rates and base</t>
  </si>
  <si>
    <t>Rate</t>
  </si>
  <si>
    <t>Base for royalty</t>
  </si>
  <si>
    <t>Cu royalty Government pre-2018Code</t>
  </si>
  <si>
    <t>Net</t>
  </si>
  <si>
    <t>Cu royalty Government post-2018 Code</t>
  </si>
  <si>
    <t>Gross</t>
  </si>
  <si>
    <t>Co royalty Government pre-2018Code</t>
  </si>
  <si>
    <t>as for Cu</t>
  </si>
  <si>
    <t>Co royalty Government post-2018 Code</t>
  </si>
  <si>
    <t>Options for royalty base</t>
  </si>
  <si>
    <t>option</t>
  </si>
  <si>
    <t>Royalty rate change</t>
  </si>
  <si>
    <t>year</t>
  </si>
  <si>
    <t>Cu royalty private GCM / AHIL / Ventora</t>
  </si>
  <si>
    <t>CU royalty government rate</t>
  </si>
  <si>
    <t>Co royalty government rate</t>
  </si>
  <si>
    <t>CU royalty base</t>
  </si>
  <si>
    <t>Base for government royalties</t>
  </si>
  <si>
    <t>Copper: base for Govt royalty</t>
  </si>
  <si>
    <t>Cobalt: base for Govt royalty</t>
  </si>
  <si>
    <t>Cu  government royalty</t>
  </si>
  <si>
    <t>Co  government royalty</t>
  </si>
  <si>
    <t>Cu + Co government royalty</t>
  </si>
  <si>
    <t>Base for private royalties</t>
  </si>
  <si>
    <t>Cu  private royalty</t>
  </si>
  <si>
    <t>Co  private royalty</t>
  </si>
  <si>
    <t>Cu + Co private royalty</t>
  </si>
  <si>
    <t>Aggregate royalties</t>
  </si>
  <si>
    <t>Cu + Co govt + prvte royalty</t>
  </si>
  <si>
    <t>Operating costs</t>
  </si>
  <si>
    <t>2019TR</t>
  </si>
  <si>
    <t>Total project operating costs</t>
  </si>
  <si>
    <t>Unit opex 2019TR</t>
  </si>
  <si>
    <t>$ t Cu</t>
  </si>
  <si>
    <t>Total project operating unit costs</t>
  </si>
  <si>
    <t>Opex predating 2019TR</t>
  </si>
  <si>
    <t xml:space="preserve">Unit opex for prior years </t>
  </si>
  <si>
    <t>Operating cost pre 2019TR</t>
  </si>
  <si>
    <t>For comparison (info only)</t>
  </si>
  <si>
    <t>Difference</t>
  </si>
  <si>
    <t>Aggregate opex</t>
  </si>
  <si>
    <t>Aggregate opex historyu &amp; 2019TR</t>
  </si>
  <si>
    <t>Capital costs and amortization</t>
  </si>
  <si>
    <t>Capital expenditure</t>
  </si>
  <si>
    <t>Total capital 2019TR</t>
  </si>
  <si>
    <t>First year 2019TR capex</t>
  </si>
  <si>
    <t>Capex 2011TR for years predating 2019TR</t>
  </si>
  <si>
    <t xml:space="preserve">Capex aggregated historical + 2019TR capex </t>
  </si>
  <si>
    <t>Tax amortization</t>
  </si>
  <si>
    <t>First year allowance</t>
  </si>
  <si>
    <t>Declining balance thereafter</t>
  </si>
  <si>
    <t>DB: opening balance</t>
  </si>
  <si>
    <t>DB: additions</t>
  </si>
  <si>
    <t>DB: first year allowance</t>
  </si>
  <si>
    <t>DB: amortization remainder</t>
  </si>
  <si>
    <t>DB: closing balance</t>
  </si>
  <si>
    <t>Amortization charge</t>
  </si>
  <si>
    <t>Add end of life write off and check</t>
  </si>
  <si>
    <t>Amortization illustration matching assertion in Table 49</t>
  </si>
  <si>
    <t>Amortization in first 12 years</t>
  </si>
  <si>
    <t>demonstrate assertion in Table 49</t>
  </si>
  <si>
    <t xml:space="preserve">Corporate income tax </t>
  </si>
  <si>
    <t>check: net revenue</t>
  </si>
  <si>
    <t>check</t>
  </si>
  <si>
    <t>Interest deductions</t>
  </si>
  <si>
    <t>Total deductions</t>
  </si>
  <si>
    <t>Taxable income before losses</t>
  </si>
  <si>
    <t>Losses brought forward</t>
  </si>
  <si>
    <t>Taxable income after losses</t>
  </si>
  <si>
    <t>CIT rate</t>
  </si>
  <si>
    <t>CIT payable (calculated)</t>
  </si>
  <si>
    <t>For comparison to 2011TR. Prob remove from 2019TR sheet</t>
  </si>
  <si>
    <t>Cashflows after tax</t>
  </si>
  <si>
    <t>Total costs</t>
  </si>
  <si>
    <t>Cashflow after tax</t>
  </si>
  <si>
    <t>Gecamines participation</t>
  </si>
  <si>
    <t>Gecamines share of project</t>
  </si>
  <si>
    <t>Gecamines share of capex</t>
  </si>
  <si>
    <t>Gecamines share of dividends</t>
  </si>
  <si>
    <t>Inferred Gecamines debt facility</t>
  </si>
  <si>
    <t>Interest rate (likely LIBOR + in practice: to add)</t>
  </si>
  <si>
    <t>assumed</t>
  </si>
  <si>
    <t>Opening balance Gecamines loan year</t>
  </si>
  <si>
    <t>Opening balance</t>
  </si>
  <si>
    <t>interest charge</t>
  </si>
  <si>
    <t>repayments</t>
  </si>
  <si>
    <t>Closing balance</t>
  </si>
  <si>
    <t>Gecamines net cashflow after debt repayment</t>
  </si>
  <si>
    <t>KCC cashflows &amp; NPV</t>
  </si>
  <si>
    <t>KCC share of project cashflows</t>
  </si>
  <si>
    <t xml:space="preserve">KCC  net cashflows </t>
  </si>
  <si>
    <t>NPV  Valuation</t>
  </si>
  <si>
    <t>Discount rate  (2011TR)</t>
  </si>
  <si>
    <t>NPV base year 1 (start of year)</t>
  </si>
  <si>
    <t>NPV base year 2 (start of year)</t>
  </si>
  <si>
    <t>NPV years_1</t>
  </si>
  <si>
    <t>years</t>
  </si>
  <si>
    <t>Discount factor_1</t>
  </si>
  <si>
    <t>factor</t>
  </si>
  <si>
    <t>NPV years_2</t>
  </si>
  <si>
    <t>Discount factor_2</t>
  </si>
  <si>
    <t>NPV discount rate sensitivity</t>
  </si>
  <si>
    <t>Disc rate</t>
  </si>
  <si>
    <t>Checks</t>
  </si>
  <si>
    <t>TO ADD</t>
  </si>
  <si>
    <t>Issues for team discussion</t>
  </si>
  <si>
    <t>LINK</t>
  </si>
  <si>
    <t>Net realized price calculations: adopt Somidez?</t>
  </si>
  <si>
    <t>Negative cashflows in outer years: ELT calculation</t>
  </si>
  <si>
    <t>Debt financing and interest deduction</t>
  </si>
  <si>
    <t>Gecamines debt financing</t>
  </si>
  <si>
    <t>Add FAST checks</t>
  </si>
  <si>
    <t>2018 fiscal terms: excess profits tax; amortization; tax rate etc.</t>
  </si>
  <si>
    <t>END</t>
  </si>
  <si>
    <t>SECTION</t>
  </si>
  <si>
    <t>2011TR pricing</t>
  </si>
  <si>
    <t>Copper revenue (calculated)</t>
  </si>
  <si>
    <t>Cobalt production 2011TR (Co / Cu ratio)</t>
  </si>
  <si>
    <t>tonnes</t>
  </si>
  <si>
    <t>Cobalt revenue</t>
  </si>
  <si>
    <t>Difference from 2011TR revenue</t>
  </si>
  <si>
    <t>positive diff in early years: use of pre-existing stockpiles?</t>
  </si>
  <si>
    <t>Net revenues excluding royalties</t>
  </si>
  <si>
    <t>Royalties and freight charges</t>
  </si>
  <si>
    <t>Royalties &amp; freight charges</t>
  </si>
  <si>
    <t>Royalties % net revenue</t>
  </si>
  <si>
    <t>4.5% consistent with T25.10 p130 TR2011</t>
  </si>
  <si>
    <t>% gross revenues</t>
  </si>
  <si>
    <t>exploring parameter for projection</t>
  </si>
  <si>
    <t>Total tonnes sold</t>
  </si>
  <si>
    <t>$ / t Cu/Co</t>
  </si>
  <si>
    <t>Project costs</t>
  </si>
  <si>
    <t>Opex analysis</t>
  </si>
  <si>
    <t>$ / tonne Cu</t>
  </si>
  <si>
    <t>2500 / t Cu looks sensible</t>
  </si>
  <si>
    <t>Looks more like capex?</t>
  </si>
  <si>
    <t>Working capital analysis</t>
  </si>
  <si>
    <t>USD mn NPV</t>
  </si>
  <si>
    <t>immaterial</t>
  </si>
  <si>
    <t>Capex and amortization</t>
  </si>
  <si>
    <t>Capex analysis</t>
  </si>
  <si>
    <t>Initial capital expenditure</t>
  </si>
  <si>
    <t>Initial capex</t>
  </si>
  <si>
    <t>Sustaining capex</t>
  </si>
  <si>
    <t>% initial</t>
  </si>
  <si>
    <t>~10% reasonable; Sus capex on pre-existing assets as well; hence high %</t>
  </si>
  <si>
    <t>Corporate income tax</t>
  </si>
  <si>
    <t>CIT calculation</t>
  </si>
  <si>
    <t>Interest deductIons</t>
  </si>
  <si>
    <t>Deductions</t>
  </si>
  <si>
    <t>Opening balance of losses 2011TR</t>
  </si>
  <si>
    <t>Comparison to 2011TR CIT</t>
  </si>
  <si>
    <t>Difference to TR</t>
  </si>
  <si>
    <t>pretty close depending on opening loss assumption, suggests no financing or other deductions in TR tax calc; but initial timing difference, can't be explained by amortization, even 100%</t>
  </si>
  <si>
    <t>Cashflow</t>
  </si>
  <si>
    <t>Capex and cashflow</t>
  </si>
  <si>
    <t>Gecamines</t>
  </si>
  <si>
    <t>Gecamines dividends foregone: debt repayment?</t>
  </si>
  <si>
    <t>drawdowns (Gecamiens share of capex)</t>
  </si>
  <si>
    <t>KML cashflows</t>
  </si>
  <si>
    <t>NPV base year (start of year)</t>
  </si>
  <si>
    <t>NPV years</t>
  </si>
  <si>
    <t>Discount factor</t>
  </si>
  <si>
    <t>NPV10 from TR</t>
  </si>
  <si>
    <t>Per 2011TR</t>
  </si>
  <si>
    <t>Speculative assumptions made to re-engineer gross revenues</t>
  </si>
  <si>
    <t>To revisit once 2019TR pricing terms modelled</t>
  </si>
  <si>
    <t>Timing difference in initial tax calc.: appears not to be tax amortization</t>
  </si>
  <si>
    <t>Tax calc also does not apper to include debt interest, given close aggregate match.</t>
  </si>
  <si>
    <t>Gecamines receives substantially less than 25% of cashflows initially. Existing debt arrangement?</t>
  </si>
  <si>
    <t>sparklines</t>
  </si>
  <si>
    <t>Model first year</t>
  </si>
  <si>
    <t>Model calendar year</t>
  </si>
  <si>
    <t>Model end of year</t>
  </si>
  <si>
    <t>model column</t>
  </si>
  <si>
    <t>#</t>
  </si>
  <si>
    <t>Convert  lb / tonnes</t>
  </si>
  <si>
    <t>lb / tonne</t>
  </si>
  <si>
    <t>Reserves</t>
  </si>
  <si>
    <t>2006 KML Annual Report</t>
  </si>
  <si>
    <t>Copper reserves and resources (ore base)</t>
  </si>
  <si>
    <t>KT</t>
  </si>
  <si>
    <t>Copper average ore grade</t>
  </si>
  <si>
    <t>Cobalt reserves and resource (ore base)</t>
  </si>
  <si>
    <t>Cobalt average ore grade</t>
  </si>
  <si>
    <t>2011 NI 43 101 Feasbility Study KML</t>
  </si>
  <si>
    <t>Proven Reserves ore</t>
  </si>
  <si>
    <t>MT</t>
  </si>
  <si>
    <t>Copper grade ore of proven reserves</t>
  </si>
  <si>
    <t>Cobalt grade ore of proven reserves</t>
  </si>
  <si>
    <t>Probable Reserves ore</t>
  </si>
  <si>
    <t>Copper grade ore of probable reserves</t>
  </si>
  <si>
    <t>Cobalt grade ore of probable reserves</t>
  </si>
  <si>
    <t>2019 NI 43 101 Feasbility Study KML</t>
  </si>
  <si>
    <t>Production Capacity</t>
  </si>
  <si>
    <t>Luilu metallurgical plant</t>
  </si>
  <si>
    <t>Copper production capacity (2006)</t>
  </si>
  <si>
    <t>Cobalt production capacity (2006)</t>
  </si>
  <si>
    <t>Copper production capacity (2011)</t>
  </si>
  <si>
    <t>Copper production capacity (2019)</t>
  </si>
  <si>
    <t>Ore and Grades Mined 2008-2010</t>
  </si>
  <si>
    <t>KTO</t>
  </si>
  <si>
    <t>Mined Ore</t>
  </si>
  <si>
    <t>Copper grade</t>
  </si>
  <si>
    <t>Cobalt grade</t>
  </si>
  <si>
    <t>KOV</t>
  </si>
  <si>
    <t>T-17 Open Pit</t>
  </si>
  <si>
    <t>Tilwezembe Open Pit</t>
  </si>
  <si>
    <t>Copper Sales and Production</t>
  </si>
  <si>
    <t>Copper Cathode Exports</t>
  </si>
  <si>
    <t>Cobalt Sales and Production</t>
  </si>
  <si>
    <t>Cobalt Contained in Cobalt Hydroxide - Distribution Analysis</t>
  </si>
  <si>
    <t>1819 samples 2018-21</t>
  </si>
  <si>
    <t>Concentrate Production</t>
  </si>
  <si>
    <t>Concentrate tonnes sold</t>
  </si>
  <si>
    <t>Prices and reported revenues</t>
  </si>
  <si>
    <t>Copper Price</t>
  </si>
  <si>
    <t>KML Reported Prices</t>
  </si>
  <si>
    <t>Realised Copper Price (KML Reported)</t>
  </si>
  <si>
    <t>Closing mark-to-market copper price (KML Reported)</t>
  </si>
  <si>
    <t>LME average copper price (KML reported)</t>
  </si>
  <si>
    <t>$ / lb</t>
  </si>
  <si>
    <t>Realised copper price (KML Reported)</t>
  </si>
  <si>
    <t>LME spot (NI 43 101 2019)</t>
  </si>
  <si>
    <t>KML Macroeconomic Assumptions (NI 43 101 2018)</t>
  </si>
  <si>
    <t>KML Macroeconomic Assumptions (NI 43 101 2019)</t>
  </si>
  <si>
    <t>Ministry of Mining Estimated Realised Prices</t>
  </si>
  <si>
    <t>Average realised copper price (MinMin)</t>
  </si>
  <si>
    <t>Weighted average realised copper price (MinMin)</t>
  </si>
  <si>
    <t>Reference Prices</t>
  </si>
  <si>
    <t>Comex Copper Spot Price</t>
  </si>
  <si>
    <t>IMF Copper Spot Price (PCOPP)</t>
  </si>
  <si>
    <t>World Bank CMO 2021 Forecast (nominal)</t>
  </si>
  <si>
    <t>World Bank CMO 2024 Forecast (nominal)</t>
  </si>
  <si>
    <t>Cobalt Price</t>
  </si>
  <si>
    <t>Realised Cobalt Price (KML Reported)</t>
  </si>
  <si>
    <t>Closing mark-to-market cobalt price (KML Reported)</t>
  </si>
  <si>
    <t>MB average cobalt price (KML Reported)</t>
  </si>
  <si>
    <t>Cobalt spot (NI 43 101 2019)</t>
  </si>
  <si>
    <t>Cobalt Price, Cobalt News (NI 43 101 2019)</t>
  </si>
  <si>
    <t>Comex Combalt Futures</t>
  </si>
  <si>
    <t>Banque Centrale de RDC</t>
  </si>
  <si>
    <t>IMF Cobalt Spot Price (PCOBA)</t>
  </si>
  <si>
    <t>Reported Revenues</t>
  </si>
  <si>
    <t>Copper Revenues (reported by KML)</t>
  </si>
  <si>
    <t>Cobalt Revenues (reported by KML)</t>
  </si>
  <si>
    <t>Concentrate Revenues (reported by KML)</t>
  </si>
  <si>
    <t>Capital Expenditure</t>
  </si>
  <si>
    <t>Initial Capital Expenditure (published 2006)</t>
  </si>
  <si>
    <t>2011 NI 43 101 KML Technical Study</t>
  </si>
  <si>
    <t>Total Capital Expenditure</t>
  </si>
  <si>
    <t>2018 NI 43 101 KML Technical Study</t>
  </si>
  <si>
    <t>Operational Capital</t>
  </si>
  <si>
    <t>Expansion capital</t>
  </si>
  <si>
    <t>2019 NI 43 101 KML Technical Study</t>
  </si>
  <si>
    <t>Operating Expenditure</t>
  </si>
  <si>
    <t>Open Pit and Underground Mining</t>
  </si>
  <si>
    <t>Luilu Refinery</t>
  </si>
  <si>
    <t>KTC Costs</t>
  </si>
  <si>
    <t>Tailings</t>
  </si>
  <si>
    <t>General and Administrative Costs</t>
  </si>
  <si>
    <t>Mining</t>
  </si>
  <si>
    <t>KTC and Luilu</t>
  </si>
  <si>
    <t>Technical Services</t>
  </si>
  <si>
    <t>Engineering</t>
  </si>
  <si>
    <t>Administration</t>
  </si>
  <si>
    <t>General</t>
  </si>
  <si>
    <t>General and Administration</t>
  </si>
  <si>
    <t>2011 NI 43 101 Economic Model Results</t>
  </si>
  <si>
    <t>Discount Rate</t>
  </si>
  <si>
    <t>KML Equita Share</t>
  </si>
  <si>
    <t>Royalty Rate</t>
  </si>
  <si>
    <t>GCM Royalty Rate</t>
  </si>
  <si>
    <t>2011TR Production profile</t>
  </si>
  <si>
    <t>Copper production 2011TR (original)</t>
  </si>
  <si>
    <t>Cobalt / copper grade ratio</t>
  </si>
  <si>
    <t>LOM Production Profile 2011TR</t>
  </si>
  <si>
    <t>Copper production: KTC facilities</t>
  </si>
  <si>
    <t>Copper production: Luilu refinery</t>
  </si>
  <si>
    <t>Copper production 2011TR</t>
  </si>
  <si>
    <t>Cobalt production: KTC  facilites</t>
  </si>
  <si>
    <t>Cobalt production: Luilu refinery</t>
  </si>
  <si>
    <t>Cobalt production: steady state</t>
  </si>
  <si>
    <t>Co / Cu ratio 2011TR</t>
  </si>
  <si>
    <t>ratio / factor</t>
  </si>
  <si>
    <t>Cobalt production 2011TR</t>
  </si>
  <si>
    <t>Price Assumptions</t>
  </si>
  <si>
    <t>LME Copper Price 2011TR nominal</t>
  </si>
  <si>
    <t>LME Copper Price 2011TR real</t>
  </si>
  <si>
    <t>US CPI (%)</t>
  </si>
  <si>
    <t>Long-term real copper price</t>
  </si>
  <si>
    <t>Year long-term price begins</t>
  </si>
  <si>
    <t>year #</t>
  </si>
  <si>
    <t>LME Cobalt Price nominal</t>
  </si>
  <si>
    <t>LME Cobalt Price real</t>
  </si>
  <si>
    <t>-</t>
  </si>
  <si>
    <t>Long-term real cobalt price</t>
  </si>
  <si>
    <t>Cash Flow Analysis</t>
  </si>
  <si>
    <t>Revenue 2011TR</t>
  </si>
  <si>
    <t>Freight, Insurance &amp; Sales 2011TR</t>
  </si>
  <si>
    <t>Royalties 2011TR</t>
  </si>
  <si>
    <t>Net Revenue 2011TR</t>
  </si>
  <si>
    <t>Operating Costs 2011TR</t>
  </si>
  <si>
    <t>Other Costs 2011TR</t>
  </si>
  <si>
    <t>Net Change in Working Capital 2011TR</t>
  </si>
  <si>
    <t>Total Expenses 2011TR</t>
  </si>
  <si>
    <t>Taxation 2011TR</t>
  </si>
  <si>
    <t>Capital Expenditure 2011TR</t>
  </si>
  <si>
    <t>Gécamines Dividends 2011TR</t>
  </si>
  <si>
    <t>Net Free Cash 2011TR KML</t>
  </si>
  <si>
    <t>MODEL TECHNICAL INPUTS - DO NOT CHANGE</t>
  </si>
  <si>
    <t>Units in thousand</t>
  </si>
  <si>
    <t>thousand</t>
  </si>
  <si>
    <t>Units in million</t>
  </si>
  <si>
    <t>mn</t>
  </si>
  <si>
    <t>Model check tolerance level</t>
  </si>
  <si>
    <t>tolerance</t>
  </si>
  <si>
    <t>Model track tolerance level</t>
  </si>
  <si>
    <t>% model check tolerance level</t>
  </si>
  <si>
    <t xml:space="preserve"> </t>
  </si>
  <si>
    <t>Production days per year</t>
  </si>
  <si>
    <t>days</t>
  </si>
  <si>
    <t>Standard Monetary Unit</t>
  </si>
  <si>
    <t>USD</t>
  </si>
  <si>
    <t>name</t>
  </si>
  <si>
    <t xml:space="preserve">Standard Monetary Unit </t>
  </si>
  <si>
    <t>USD (mn)</t>
  </si>
  <si>
    <t>2019 Feasibility Study</t>
  </si>
  <si>
    <t xml:space="preserve">Table 10: Historical production since acquisition </t>
  </si>
  <si>
    <t>Mashamba East OP</t>
  </si>
  <si>
    <t>Cu grade %</t>
  </si>
  <si>
    <t>Co grade %</t>
  </si>
  <si>
    <t>KTO OP</t>
  </si>
  <si>
    <t>KOV OP</t>
  </si>
  <si>
    <t>T17 OP</t>
  </si>
  <si>
    <t>Tilwezembe OP</t>
  </si>
  <si>
    <t>KTC</t>
  </si>
  <si>
    <t>Milled Ore</t>
  </si>
  <si>
    <t>Concentrate produced</t>
  </si>
  <si>
    <t>Luilu</t>
  </si>
  <si>
    <t>Concentrate fed</t>
  </si>
  <si>
    <t>Ore fed</t>
  </si>
  <si>
    <t>Copper produced: historic 2019TR</t>
  </si>
  <si>
    <t>Cobalt produced: historic 2019TR</t>
  </si>
  <si>
    <t>KT Co</t>
  </si>
  <si>
    <t>Table 91: KCC LOM Mineral Reserve Schedule</t>
  </si>
  <si>
    <t>Proven Mineral Reserve (Mt)</t>
  </si>
  <si>
    <t>Probable Mineral Reserve (Mt)</t>
  </si>
  <si>
    <t>Mineral Reserve total (Mt)</t>
  </si>
  <si>
    <t>Average Mineral Reserve %T Cu</t>
  </si>
  <si>
    <t>Average Mineral Reserve %T Co</t>
  </si>
  <si>
    <t>Table 93 - KTO UG Mineral Reserve LOM Schedule</t>
  </si>
  <si>
    <t>Mineral Reserve ore (Mt)</t>
  </si>
  <si>
    <t>ROM Cu grade (%)</t>
  </si>
  <si>
    <t>ROM Co grade (%)</t>
  </si>
  <si>
    <t>Sec. Dev. (km)</t>
  </si>
  <si>
    <t>km</t>
  </si>
  <si>
    <t>Prim. Dev. (km)</t>
  </si>
  <si>
    <t>Recovered Cu (kt)</t>
  </si>
  <si>
    <t>Recovered Co (kt)</t>
  </si>
  <si>
    <t>implied recovery Cu</t>
  </si>
  <si>
    <t>implied recovery Co</t>
  </si>
  <si>
    <t>Table 96 - T17 UG Mineral Reserve LOM Schedule</t>
  </si>
  <si>
    <t>Table 103: KOV OP Mineral Reserve production profile</t>
  </si>
  <si>
    <t>Average Mineral Reserve %TCu</t>
  </si>
  <si>
    <t>Average Mineral Reserve %TCo</t>
  </si>
  <si>
    <t>Waste (Mt)</t>
  </si>
  <si>
    <t>Table 108 - Mashamba East OP LOM Mineral Reserve Production</t>
  </si>
  <si>
    <t>Sum of individual units</t>
  </si>
  <si>
    <t>Contained copper in ore mined</t>
  </si>
  <si>
    <t>Copper produced</t>
  </si>
  <si>
    <t>w_avge recovery Cu</t>
  </si>
  <si>
    <t>Contained cobalt in ore mined</t>
  </si>
  <si>
    <t>Cobalt produced</t>
  </si>
  <si>
    <t>w_avge recovery Co</t>
  </si>
  <si>
    <t>Table 128: Capital expenditure by year</t>
  </si>
  <si>
    <t>Operational Capital: mine 2019TR</t>
  </si>
  <si>
    <t>Expansion Capital: 2019TR</t>
  </si>
  <si>
    <t>Table 130 - Major Operational Expenditure</t>
  </si>
  <si>
    <t>Mining (USD million)</t>
  </si>
  <si>
    <t>KTC and Luilu (USD million)</t>
  </si>
  <si>
    <t>Technical Services (USD million)</t>
  </si>
  <si>
    <t>Engineering (USD million)</t>
  </si>
  <si>
    <t>General and Administration (USD million)</t>
  </si>
  <si>
    <t>Table 131: closure costs</t>
  </si>
  <si>
    <t>Closure costs</t>
  </si>
  <si>
    <t>Totals by mine unit</t>
  </si>
  <si>
    <t>Total tonnes mined</t>
  </si>
  <si>
    <t>Proved + probable ore</t>
  </si>
  <si>
    <t>close match</t>
  </si>
  <si>
    <t>Mine total</t>
  </si>
  <si>
    <t>Compare with KCC aggregate mine schedule (Table 91)</t>
  </si>
  <si>
    <t>Difference from tonnes ore T91 versus sum of individual units</t>
  </si>
  <si>
    <t>implies drawdown of stockpiles from before shutdown</t>
  </si>
  <si>
    <t>Contained copper in ore mined: T91</t>
  </si>
  <si>
    <t>Copper recovered (calculated) 2019TR</t>
  </si>
  <si>
    <t>Difference to sum of individual units</t>
  </si>
  <si>
    <t>Contained Co in ore mined: T91</t>
  </si>
  <si>
    <t>Cobalt recovered (calculated) 2019TR</t>
  </si>
  <si>
    <t>Conclusion: use calculated copper recovered as this includes recovery from stockpiles pre shutdown</t>
  </si>
  <si>
    <t>Subject</t>
  </si>
  <si>
    <t>Source Note</t>
  </si>
  <si>
    <t>Source Note (in Roman)</t>
  </si>
  <si>
    <t>Source</t>
  </si>
  <si>
    <t>Page</t>
  </si>
  <si>
    <t>Comments</t>
  </si>
  <si>
    <t>Hyperlink</t>
  </si>
  <si>
    <t>Discussion</t>
  </si>
  <si>
    <t>Copper Prices 2015</t>
  </si>
  <si>
    <t>Multi-year mine production statistics</t>
  </si>
  <si>
    <t>Ministry of Mining</t>
  </si>
  <si>
    <t>https://drive.google.com/drive/u/3/folders/17oki8G8Vmo45rzShhMDmcW7ZetjbbETX</t>
  </si>
  <si>
    <t>Multi-year KML production statistics</t>
  </si>
  <si>
    <t>Katanga Mining Limited M&amp;A document filed in Toronto</t>
  </si>
  <si>
    <t>https://drive.google.com/file/d/1q2Fs7BX3NQiBSyWKN8OZmQhnoqtjMk15/view?usp=sharing</t>
  </si>
  <si>
    <t>Ministry of Mining Access Database</t>
  </si>
  <si>
    <t>Global Commodity Price File</t>
  </si>
  <si>
    <t>"LME Cu" sheet, Derived from KME Copper Trading</t>
  </si>
  <si>
    <t>https://drive.google.com/file/d/1KbnkjA1oTHUDlzlAB16U0qADPtBLKndD/view?usp=drive_link</t>
  </si>
  <si>
    <t>"Comex_Cu_M" sheet, Derived from Macrotrends</t>
  </si>
  <si>
    <t>"Comex_Fut_M" sheet, Derived from Investing.com</t>
  </si>
  <si>
    <t>"DRC CB Cob" sheet, Derived from Banque Centrale website</t>
  </si>
  <si>
    <t>"Cu IMF" sheet, derived from IMF Commodity Portal</t>
  </si>
  <si>
    <t>KML Annual Report 2006</t>
  </si>
  <si>
    <t>Reserves and resources combined in one figure</t>
  </si>
  <si>
    <t>https://drive.google.com/file/d/1SkwhaSp660q_24ICpNskma5vAwHjhEHs/view?usp=drive_link</t>
  </si>
  <si>
    <t>Capital Redevlopment</t>
  </si>
  <si>
    <t>Initial Production Capacity</t>
  </si>
  <si>
    <t>KML Technical Report 2011</t>
  </si>
  <si>
    <t>2011 Reserve estimates</t>
  </si>
  <si>
    <t>https://drive.google.com/file/d/1cVHncTi7M1Ek8JlL4Lid51_j08dP9Agk/view?usp=drive_link</t>
  </si>
  <si>
    <t>2008-2010 Production</t>
  </si>
  <si>
    <t>Capital Expenditure estimates 2016-35 annualised from sum</t>
  </si>
  <si>
    <t>Economic Model</t>
  </si>
  <si>
    <t>Production Profile</t>
  </si>
  <si>
    <t>Abridged Glencore Annual Reports 2020-23</t>
  </si>
  <si>
    <t>https://drive.google.com/file/d/1MFeRz0tAP2laIOOxHPEJ__24G4XjvQ6I/view?usp=drive_link</t>
  </si>
  <si>
    <t>KML Technical report 2019</t>
  </si>
  <si>
    <t>Reserves reports</t>
  </si>
  <si>
    <t>https://drive.google.com/file/d/1jArNGMI65XLr3fIKXuBX2QdNKHeFfx0C/view?usp=drive_link</t>
  </si>
  <si>
    <t>Capital Expenditure estimates: 2023-34 annualised from sum</t>
  </si>
  <si>
    <t>Market reports and forecasts</t>
  </si>
  <si>
    <t>Operating Costs estimates: 2023-34 annualised from sum</t>
  </si>
  <si>
    <t>KML Technical report 2018</t>
  </si>
  <si>
    <t>https://drive.google.com/file/d/1IaMg7MQ4f9JwvNLScg96eYH4iiRfL5I1/view?usp=drive_link</t>
  </si>
  <si>
    <t>ChatGPT statistical analysis</t>
  </si>
  <si>
    <t>https://chatgpt.com/share/67c811f5-6420-800a-9dd3-db44f4b0ac4b</t>
  </si>
  <si>
    <t>Operating Costs estimates: 2022-33 annualised from sum</t>
  </si>
  <si>
    <t>2011TR</t>
  </si>
  <si>
    <t>Shareholders loan</t>
  </si>
  <si>
    <t xml:space="preserve">KML technical report 2011 </t>
  </si>
  <si>
    <t>25.11, implies opening loan balance to be repaid by Gecamines</t>
  </si>
  <si>
    <t>Also note 8 in 2013 Glencore financial statements</t>
  </si>
  <si>
    <t>https://drive.google.com/drive/folders/1_xsObiMWUCIIYXXxIg6o11MhHdqxIssJ</t>
  </si>
  <si>
    <t>Discount rate</t>
  </si>
  <si>
    <t>KML financial statements 2013 &amp; 2014</t>
  </si>
  <si>
    <t>Risk adj. discount rate 11% (prev 14%)</t>
  </si>
  <si>
    <t>Discount rate 2011TR 10% base case</t>
  </si>
  <si>
    <t>25.11.2</t>
  </si>
  <si>
    <t>Discount rate 2011TR range</t>
  </si>
  <si>
    <t>Table 51</t>
  </si>
  <si>
    <t>Cu and Co recovery to finished metal</t>
  </si>
  <si>
    <t>Table 101</t>
  </si>
  <si>
    <t>https://drive.google.com/file/d/1jArNGMI65XLr3fIKXuBX2QdNKHeFfx0C/view</t>
  </si>
  <si>
    <t>Tax Depreciation</t>
  </si>
  <si>
    <t>table 49</t>
  </si>
  <si>
    <t>Cobalt production TR2011</t>
  </si>
  <si>
    <t>using Cu and Co recovery from 2019TR to infer Co ratio for 2011</t>
  </si>
  <si>
    <t>label</t>
  </si>
  <si>
    <t>Copper: historic and Forecast Production Profile</t>
  </si>
  <si>
    <t>Cobalt: historic and Forecast Production Profile</t>
  </si>
  <si>
    <t>Ministry of Mining Summary File 2022</t>
  </si>
  <si>
    <t>https://docs.google.com/spreadsheets/d/12QvkG7xrojWVzvR69tAvFHfzWmxXxKRo/edit?usp=drive_link&amp;ouid=108644774174838188272&amp;rtpof=true&amp;sd=true</t>
  </si>
  <si>
    <t>Discount Realised Price to LME Copper Cash Settlement</t>
  </si>
  <si>
    <t>Average Discount Realised Price - Benchmark</t>
  </si>
  <si>
    <t>Marketing Fee</t>
  </si>
  <si>
    <t>Third Party Marketing Charges</t>
  </si>
  <si>
    <t>Payable Rate Discount</t>
  </si>
  <si>
    <t>Freight charge applied to cobalt contained</t>
  </si>
  <si>
    <t>Somidez 2020 Copper Sales Agreement Terms</t>
  </si>
  <si>
    <t>Level 2 Discount</t>
  </si>
  <si>
    <t>https://drive.google.com/file/d/15zIZUZZ3R_BnIYOTD-HrOYBCElQMt3ZR/view?usp=drive_link</t>
  </si>
  <si>
    <t>Somidez 2020 Copper Sales Agreement</t>
  </si>
  <si>
    <t>Somidez 2020 Cobalt Sales Agreement Terms</t>
  </si>
  <si>
    <t>Freight Allowance (per wet metric ton)</t>
  </si>
  <si>
    <t>new royalty scheme</t>
  </si>
  <si>
    <t>Net revenues after royalties</t>
  </si>
  <si>
    <t>Copper plus cobalt revenue net or realization costs and royalty</t>
  </si>
  <si>
    <t>Actual revenues</t>
  </si>
  <si>
    <t>Linked doc states  " *Realized copper prices are based on gross copper revenue (above) after deducting realization charges, royalties and other
selling expenses."</t>
  </si>
  <si>
    <t>Tableau 18</t>
  </si>
  <si>
    <t>XX</t>
  </si>
  <si>
    <t>Tableau 19</t>
  </si>
  <si>
    <t>Tableau 20</t>
  </si>
  <si>
    <t>2023 Feasibility Study</t>
  </si>
  <si>
    <t>Indicateur</t>
  </si>
  <si>
    <t>Tableau 22: Répartition de l'excédent brut d'exploitation par produit</t>
  </si>
  <si>
    <t>$mn real 2023</t>
  </si>
  <si>
    <t>mn T</t>
  </si>
  <si>
    <t>$ mn 2023</t>
  </si>
  <si>
    <t>2023FS</t>
  </si>
  <si>
    <t>Éléments de coût d’investissement 2023FS</t>
  </si>
  <si>
    <t>Éléments de coût d’investissement  2023FS</t>
  </si>
  <si>
    <t>Maintien 2023FS</t>
  </si>
  <si>
    <t>Prédécouverte à ciel ouvert 2023FS</t>
  </si>
  <si>
    <t>Expansion 2023FS</t>
  </si>
  <si>
    <t>Total 2023FS</t>
  </si>
  <si>
    <t>Maintenance 2023FS</t>
  </si>
  <si>
    <t>Extraction minière 2023FS</t>
  </si>
  <si>
    <t>Traitement 2023FS</t>
  </si>
  <si>
    <t>Ingénierie et G&amp;A 2023FS</t>
  </si>
  <si>
    <t>Total Maintien 2023FS</t>
  </si>
  <si>
    <t>Développement 2023FS</t>
  </si>
  <si>
    <t>Total Développement 2023FS</t>
  </si>
  <si>
    <t>Total Capital 2023FS</t>
  </si>
  <si>
    <t>Catégorie de coûts d’exploitation directs 2023FS</t>
  </si>
  <si>
    <t>Ingénierie 2023FS</t>
  </si>
  <si>
    <t>Finances et administration 2023FS</t>
  </si>
  <si>
    <t>Par Produit 2023FS</t>
  </si>
  <si>
    <t>Revenus nets - Cuivre 2023FS</t>
  </si>
  <si>
    <t>Affectation des coûts d'ex loitation 2023FS</t>
  </si>
  <si>
    <t>Excédent brut d'exploitation -Cuivre 2023FS</t>
  </si>
  <si>
    <t>Revenus nets - Cobalt 2023FS</t>
  </si>
  <si>
    <t>Affectation des coûts d'exploitation 2023FS</t>
  </si>
  <si>
    <t>Excédent brut d'exploitation - Cobalt 2023FS</t>
  </si>
  <si>
    <t>Minéral extrait (MT) 2023FS</t>
  </si>
  <si>
    <t>Stériles extraits (MT) 2023FS</t>
  </si>
  <si>
    <t>Total matériaux exploités (MT) 2023FS</t>
  </si>
  <si>
    <t>Minerai à broyer (MT) 2023FS</t>
  </si>
  <si>
    <t>Cuivre produit (kt) 2023FS</t>
  </si>
  <si>
    <t>Cobalt produit (kt) 2023FS</t>
  </si>
  <si>
    <t>Revenu net (M USD) 2023FS</t>
  </si>
  <si>
    <t>Coûts d’exploration (M USD) 2023FS</t>
  </si>
  <si>
    <t>Mouvement du fonds de roulement (M USD) 2023FS</t>
  </si>
  <si>
    <t>Coûts d’investissement (M USD) 2023FS</t>
  </si>
  <si>
    <t>Dépenses fiscales (M USD) 2023FS</t>
  </si>
  <si>
    <t>Flux de trésorerie disponibles (M USD) 2023FS</t>
  </si>
  <si>
    <t>Flux de trésorerie actualisés (M USD) 2023FS</t>
  </si>
  <si>
    <t>Actual copper sales</t>
  </si>
  <si>
    <t>Actual cobalt sales</t>
  </si>
  <si>
    <t>LME Copper Cash Settlement (Historic Actual)</t>
  </si>
  <si>
    <t>IMF_WEO</t>
  </si>
  <si>
    <t>Other2</t>
  </si>
  <si>
    <t>Other3</t>
  </si>
  <si>
    <t>INFLATION</t>
  </si>
  <si>
    <t>US Inflation, average consumer prices</t>
  </si>
  <si>
    <t>index</t>
  </si>
  <si>
    <t>USD CPI beyond IMF WEO</t>
  </si>
  <si>
    <t>to add, from WEO file</t>
  </si>
  <si>
    <t>nominal</t>
  </si>
  <si>
    <t>real</t>
  </si>
  <si>
    <t>US$ per metric tonne</t>
  </si>
  <si>
    <t xml:space="preserve">Inflation index at </t>
  </si>
  <si>
    <t>Deflating price forecasts</t>
  </si>
  <si>
    <t>Fut_17Apr25</t>
  </si>
  <si>
    <t>ConstReal</t>
  </si>
  <si>
    <t>forecast basis</t>
  </si>
  <si>
    <t>Constant real terms Cu price forecast</t>
  </si>
  <si>
    <t>while model in const real terms</t>
  </si>
  <si>
    <t>Cu price forecasts for real terms model</t>
  </si>
  <si>
    <t>top</t>
  </si>
  <si>
    <t>bottom</t>
  </si>
  <si>
    <t>first</t>
  </si>
  <si>
    <t>last</t>
  </si>
  <si>
    <t>Alternative Cu forecast prices</t>
  </si>
  <si>
    <t>option selected</t>
  </si>
  <si>
    <t>IMF WEO April 2024 Copper, grade A cathode, LME spot price, CIF European ports,</t>
  </si>
  <si>
    <t>Average actual Realised Price vs LME</t>
  </si>
  <si>
    <t>Cu realized price using % LME</t>
  </si>
  <si>
    <t>Copper realized price</t>
  </si>
  <si>
    <t>Cu price using SOMIDEZ contract terms</t>
  </si>
  <si>
    <t>% LME</t>
  </si>
  <si>
    <t>selected</t>
  </si>
  <si>
    <t>COBALT PRICING</t>
  </si>
  <si>
    <t>COPPER PRICING</t>
  </si>
  <si>
    <t>Copper historic price</t>
  </si>
  <si>
    <t>Copper forecast price</t>
  </si>
  <si>
    <t>Combined realized Cu prices</t>
  </si>
  <si>
    <t>Cobalt LME price: actual &amp; forecast</t>
  </si>
  <si>
    <t>Copper LME price: actual &amp; forecast</t>
  </si>
  <si>
    <t>Cu realized price options</t>
  </si>
  <si>
    <t>Alternative Co forecast prices</t>
  </si>
  <si>
    <t>done by eye - to update</t>
  </si>
  <si>
    <t>Actual / reported Cu realized prices</t>
  </si>
  <si>
    <t>Cobalt price as % of Cu price</t>
  </si>
  <si>
    <t>Comparison of Cu / Co relationship</t>
  </si>
  <si>
    <t>Co price as multiple of Cu price</t>
  </si>
  <si>
    <t>Co price forecasts for real terms model</t>
  </si>
  <si>
    <t>Actual / reported Co realized prices</t>
  </si>
  <si>
    <t>Cobalt price using % LME</t>
  </si>
  <si>
    <t>Cobalt LME forecast price</t>
  </si>
  <si>
    <t>Cobalt LME historic price</t>
  </si>
  <si>
    <t>Realised Price versus LME Price</t>
  </si>
  <si>
    <t>Co price using SOMIDEZ contract terms</t>
  </si>
  <si>
    <t>Freight charge per tonne of cobalt contained</t>
  </si>
  <si>
    <t>% Co</t>
  </si>
  <si>
    <t>Weighted average actual realised copper price (MinMin)</t>
  </si>
  <si>
    <t>Cobalt Price: payable</t>
  </si>
  <si>
    <t>REVENUE</t>
  </si>
  <si>
    <t>Combined realized Co prices</t>
  </si>
  <si>
    <t>Cobalt realized Price after freight charge</t>
  </si>
  <si>
    <t>Ratio Co to Cu</t>
  </si>
  <si>
    <t>Co ratio</t>
  </si>
  <si>
    <t>% Cu tonnes</t>
  </si>
  <si>
    <t>yes</t>
  </si>
  <si>
    <t>no</t>
  </si>
  <si>
    <t>SOM_Contract</t>
  </si>
  <si>
    <t>USD mn</t>
  </si>
  <si>
    <t>Production year</t>
  </si>
  <si>
    <t>Operating costs, including Sens.</t>
  </si>
  <si>
    <t>Gecamines share of net cashflows after tax</t>
  </si>
  <si>
    <t>Copper production sensitivity (forecast period)</t>
  </si>
  <si>
    <t>Cobalt production sensitivity (forecast period)</t>
  </si>
  <si>
    <t>Realization costs Cu and Co</t>
  </si>
  <si>
    <t>Project cashflows before tax</t>
  </si>
  <si>
    <t>less</t>
  </si>
  <si>
    <t>Government revenues</t>
  </si>
  <si>
    <t>CIT payable</t>
  </si>
  <si>
    <t>PRODUCTION AND SALES VOLUMES</t>
  </si>
  <si>
    <t>REALIZATION COSTS</t>
  </si>
  <si>
    <t>ROYALTIES</t>
  </si>
  <si>
    <t>OPERATING COSTS</t>
  </si>
  <si>
    <t>COPRORATE INCOME TAX</t>
  </si>
  <si>
    <t>DEBT CALCULATIONS</t>
  </si>
  <si>
    <t>Libor + 1.1%</t>
  </si>
  <si>
    <t>Overdraft</t>
  </si>
  <si>
    <t xml:space="preserve">Government revenues incl. Gecamines </t>
  </si>
  <si>
    <t>RECONCILIATION</t>
  </si>
  <si>
    <t>Participant cashflows</t>
  </si>
  <si>
    <t>Government revenues excl. Gecamines participation</t>
  </si>
  <si>
    <t>Reconciling items: Govt revenues included in costs</t>
  </si>
  <si>
    <t>$mn</t>
  </si>
  <si>
    <t>Chart title</t>
  </si>
  <si>
    <t>X-Axis</t>
  </si>
  <si>
    <t>Y-Axis</t>
  </si>
  <si>
    <t>KT Cu and Co</t>
  </si>
  <si>
    <t>PRODUCTION</t>
  </si>
  <si>
    <t>PROJECT CASHFLOWS</t>
  </si>
  <si>
    <t>COPPER AND COBALT PRICES</t>
  </si>
  <si>
    <t>Co realized price options</t>
  </si>
  <si>
    <t>second Y-Axis</t>
  </si>
  <si>
    <t>USD / tonne Copper</t>
  </si>
  <si>
    <t>USD / tonne Cobalt</t>
  </si>
  <si>
    <t>GOVERNMENT REVENUES</t>
  </si>
  <si>
    <t>Copper gross revenue (at realized prices)</t>
  </si>
  <si>
    <t>Cobalt gross revenue (at realized prices)</t>
  </si>
  <si>
    <t>SENSITIVITY FACTORS</t>
  </si>
  <si>
    <t>Cu realized price method</t>
  </si>
  <si>
    <t>Apply freight, insurance &amp; sales costs 2019TR</t>
  </si>
  <si>
    <t>Co realized price method</t>
  </si>
  <si>
    <t>Cobalt forecast price</t>
  </si>
  <si>
    <t>Operating cost Sensitivity (forecast period)</t>
  </si>
  <si>
    <t>Capital cost sensitivity (forecast period)</t>
  </si>
  <si>
    <t>Proportion Gecamines cashflows used to repay loan</t>
  </si>
  <si>
    <t>add</t>
  </si>
  <si>
    <t>Loan balance: BEG</t>
  </si>
  <si>
    <t>Loan balance: END</t>
  </si>
  <si>
    <t xml:space="preserve">Loan repayment </t>
  </si>
  <si>
    <t>Model name</t>
  </si>
  <si>
    <t>Model date</t>
  </si>
  <si>
    <t>Time period 1 (start of year)</t>
  </si>
  <si>
    <t>Time period 2 (start of year)</t>
  </si>
  <si>
    <t>Time period 1</t>
  </si>
  <si>
    <t>Time period 2</t>
  </si>
  <si>
    <t>Time period: forecast</t>
  </si>
  <si>
    <t>Government share: excluding Gecamines</t>
  </si>
  <si>
    <t>Government share: including Gecamines</t>
  </si>
  <si>
    <t>%  undiscounted</t>
  </si>
  <si>
    <t>from</t>
  </si>
  <si>
    <t>undiscounted</t>
  </si>
  <si>
    <t>%  NPV</t>
  </si>
  <si>
    <t>Participant results for different time periods</t>
  </si>
  <si>
    <t>NPV label 1</t>
  </si>
  <si>
    <t>NPV label 2</t>
  </si>
  <si>
    <t>Cu price using actual</t>
  </si>
  <si>
    <t>Cu price using assumed % LME</t>
  </si>
  <si>
    <t>%LME(assumed)</t>
  </si>
  <si>
    <t>Using actual realized price</t>
  </si>
  <si>
    <t>%LME(actual)</t>
  </si>
  <si>
    <t>Using assumed % LME</t>
  </si>
  <si>
    <t>EITI REPORTED REVENUES</t>
  </si>
  <si>
    <t>difference</t>
  </si>
  <si>
    <t>Total revenues (EITI)</t>
  </si>
  <si>
    <t>Chiffre d'Affaires 0.3PC (EITI)</t>
  </si>
  <si>
    <t>CIT</t>
  </si>
  <si>
    <t>Cobalt Minimum Grade</t>
  </si>
  <si>
    <t>Cobalt Maximum Grade</t>
  </si>
  <si>
    <t>Cobalt Mean Grade</t>
  </si>
  <si>
    <t>Cobalt Median Grade</t>
  </si>
  <si>
    <t>Cobalt Standard Deviation</t>
  </si>
  <si>
    <t>Cobalt Coefficient of Variation</t>
  </si>
  <si>
    <t>Cobalt 10th Percentile</t>
  </si>
  <si>
    <t>Cobalt 25th Percentile (Q1)</t>
  </si>
  <si>
    <t>Cobalt 75th Percentile (Q3)</t>
  </si>
  <si>
    <t>Cobalt 90th Percentile</t>
  </si>
  <si>
    <t>first draft model</t>
  </si>
  <si>
    <t>Cu + Co private royalty deductible</t>
  </si>
  <si>
    <t>Selected</t>
  </si>
  <si>
    <t>Deductibility</t>
  </si>
  <si>
    <t>Tax calculation</t>
  </si>
  <si>
    <t>Loan repayment: interest (first)</t>
  </si>
  <si>
    <t>Interest Withholding Tax</t>
  </si>
  <si>
    <t>check: loan calculations</t>
  </si>
  <si>
    <t>source</t>
  </si>
  <si>
    <t>maybe different</t>
  </si>
  <si>
    <t>parent</t>
  </si>
  <si>
    <t>3rdParty</t>
  </si>
  <si>
    <t>Lender identity</t>
  </si>
  <si>
    <t>[Net Debt cashflows (borrower)]</t>
  </si>
  <si>
    <t>[Net debt cashflows (parent co lender)]</t>
  </si>
  <si>
    <t>Loan cashflows into model</t>
  </si>
  <si>
    <t>Cu + Co private royalty (treat as distribution of profit)</t>
  </si>
  <si>
    <t>Parent company cashflows</t>
  </si>
  <si>
    <t>Dividend withholding tax</t>
  </si>
  <si>
    <t xml:space="preserve">Loan available until </t>
  </si>
  <si>
    <t>Loan funding capex available to</t>
  </si>
  <si>
    <t>Bank loan facility</t>
  </si>
  <si>
    <t>flag, manual</t>
  </si>
  <si>
    <t>Loan repay Int versus Princ (matters only for IWT)</t>
  </si>
  <si>
    <t>Parent company net cashflows</t>
  </si>
  <si>
    <t>GOVERNMENT  CASHFLOWS</t>
  </si>
  <si>
    <t>PROJECT CASHFLOWS BEFORE TAX</t>
  </si>
  <si>
    <t>Participant net cashflows before reconciling items</t>
  </si>
  <si>
    <t>Check: participant cashflows for NPV</t>
  </si>
  <si>
    <t>Net participant cashflows reconciliation</t>
  </si>
  <si>
    <t>Government including Gecamines</t>
  </si>
  <si>
    <t>ADDITIONAL GOVERNMENT REVENUES (assumed included in project costs)</t>
  </si>
  <si>
    <t>i.e. these do not result in additional cash outflows: to be revisited</t>
  </si>
  <si>
    <t xml:space="preserve">Debt </t>
  </si>
  <si>
    <t>Gecamines share of cashflow</t>
  </si>
  <si>
    <t>KML Parent company cashflows</t>
  </si>
  <si>
    <t>Sheet</t>
  </si>
  <si>
    <t>Link</t>
  </si>
  <si>
    <t>Project cashflows</t>
  </si>
  <si>
    <t>Revenue</t>
  </si>
  <si>
    <t>Costs</t>
  </si>
  <si>
    <t>Time period (from)</t>
  </si>
  <si>
    <t>Project cashflows before fiscal regime</t>
  </si>
  <si>
    <t>Check: project cashflows to participant cashflows</t>
  </si>
  <si>
    <t>Ratio Co to Cu production</t>
  </si>
  <si>
    <t>ratio</t>
  </si>
  <si>
    <t>PARTICIPANT CASHFLOWS</t>
  </si>
  <si>
    <t>Cashflow time periods and discount factors</t>
  </si>
  <si>
    <t>Check: government revenues to participant cashflows</t>
  </si>
  <si>
    <t>Check: government revenues by time period</t>
  </si>
  <si>
    <t xml:space="preserve">Forecast / point forward year </t>
  </si>
  <si>
    <t>Cobalt production into model</t>
  </si>
  <si>
    <t>Copper production into model</t>
  </si>
  <si>
    <t>Actual realized price versus LME</t>
  </si>
  <si>
    <t>adopts conservative approach, DWT applies to min of cum positive cflow or current year cflow.</t>
  </si>
  <si>
    <t>start</t>
  </si>
  <si>
    <t>Check: project cashflows by time period</t>
  </si>
  <si>
    <t>Check: NPV cashflows by time period</t>
  </si>
  <si>
    <t>sheet checks</t>
  </si>
  <si>
    <t>CHECKS</t>
  </si>
  <si>
    <t>To Do</t>
  </si>
  <si>
    <t>Government revenue check</t>
  </si>
  <si>
    <t>tonnes pa</t>
  </si>
  <si>
    <t>Cobalt tonnes sold</t>
  </si>
  <si>
    <t>Check: net revenue</t>
  </si>
  <si>
    <t>Sheet Checks</t>
  </si>
  <si>
    <t>Master checks</t>
  </si>
  <si>
    <t>MODEL INFORMATION</t>
  </si>
  <si>
    <t>ECONOMIC ASSUMPTIONS</t>
  </si>
  <si>
    <t>SENSITIVITIES</t>
  </si>
  <si>
    <t>PRICES</t>
  </si>
  <si>
    <t>Constant real terms Co price forecast</t>
  </si>
  <si>
    <t>Financial assumptions</t>
  </si>
  <si>
    <t>FISCAL REGIME</t>
  </si>
  <si>
    <t>Debt financing</t>
  </si>
  <si>
    <t>Interest withholding tax</t>
  </si>
  <si>
    <t>Withholding taxes</t>
  </si>
  <si>
    <t>DASHBOARD PARAMETERS AND RESULTS</t>
  </si>
  <si>
    <t>Baseline</t>
  </si>
  <si>
    <t>&lt;= Compare live results to</t>
  </si>
  <si>
    <t>Purpose of this sheet is to save a set of baseline results so that the model can be confirmed to be / brought back to baseline, or changes in results over time can be documented.
Process for creating a new saved case:</t>
  </si>
  <si>
    <t>1. Select column M</t>
  </si>
  <si>
    <t>2. Copy column M and immediately Right click insert copied cells. This duplicates the existing saved results set</t>
  </si>
  <si>
    <t>4. Paste as values over the newly created duplicate saved results</t>
  </si>
  <si>
    <t>5. Rename the new saved results case in row 4</t>
  </si>
  <si>
    <t>6. Track sheet will show differences between live results and saved case selected at E2</t>
  </si>
  <si>
    <t xml:space="preserve">3. Now copy the live results from column F </t>
  </si>
  <si>
    <t>Dashboard parameters</t>
  </si>
  <si>
    <t>KCC_Model_Stage1_202508_May.xlsx</t>
  </si>
  <si>
    <t>7. Additional results and/or parameters can be added to results set</t>
  </si>
  <si>
    <t>Check: cashflows after tax</t>
  </si>
  <si>
    <t>Check: cashflows after dividends</t>
  </si>
  <si>
    <t>Price</t>
  </si>
  <si>
    <t>Project cashflow after tax</t>
  </si>
  <si>
    <t>SUMMARY DATA</t>
  </si>
  <si>
    <t>Rounding tolerance</t>
  </si>
  <si>
    <t>Date</t>
  </si>
  <si>
    <t>Time</t>
  </si>
  <si>
    <t>File</t>
  </si>
  <si>
    <t>KML Feasibility Study consensus pricing</t>
  </si>
  <si>
    <t>Copper (2019 FS)</t>
  </si>
  <si>
    <t>to reference this</t>
  </si>
  <si>
    <t>Co 70% pay  vs 95%</t>
  </si>
  <si>
    <t>Co / Cu 50% 3rd party vs 90%</t>
  </si>
  <si>
    <t>KCC_Model_Stage1_202506_June 1b.xlsx</t>
  </si>
  <si>
    <t>Total Corporate income tax per EITI</t>
  </si>
  <si>
    <t>Interest deductible for CIT</t>
  </si>
  <si>
    <t>yes/no</t>
  </si>
  <si>
    <t>Straight line depreciation years (AVERAGE)</t>
  </si>
  <si>
    <t>Capex fully depreciated</t>
  </si>
  <si>
    <t>Straight line depreciation under 2018 MC</t>
  </si>
  <si>
    <t>Cost base for SL depreciation: BEG</t>
  </si>
  <si>
    <t>Cost base for depreciation: END</t>
  </si>
  <si>
    <t>Last year of Cu production</t>
  </si>
  <si>
    <t>CAPITAL COSTS AND AMORTIZATION / DEPRECIATION</t>
  </si>
  <si>
    <t>SL Depreciation charge</t>
  </si>
  <si>
    <t>Asset WDV: BEG</t>
  </si>
  <si>
    <t>Last year write off</t>
  </si>
  <si>
    <t>Asset WDV: END</t>
  </si>
  <si>
    <t>SL depreciation charge incl. last year w/off</t>
  </si>
  <si>
    <t>Check: Depreciation calculation</t>
  </si>
  <si>
    <t>Opening balance of CIT losses 2011</t>
  </si>
  <si>
    <t>16June.2</t>
  </si>
  <si>
    <t>16June.1</t>
  </si>
  <si>
    <t>DWT</t>
  </si>
  <si>
    <t>Total DWT</t>
  </si>
  <si>
    <t>Import duties</t>
  </si>
  <si>
    <t>Import duties as % costs</t>
  </si>
  <si>
    <t xml:space="preserve">Import duty paid </t>
  </si>
  <si>
    <t>I.D. % Opex</t>
  </si>
  <si>
    <t>I.D. % Capex</t>
  </si>
  <si>
    <t>I.D. % Total costs</t>
  </si>
  <si>
    <t>Import duties as % aggregate opex + capex</t>
  </si>
  <si>
    <t>Last year of actual import duties</t>
  </si>
  <si>
    <t>Import duties: combined actual and forecast</t>
  </si>
  <si>
    <t>% aggregate costs</t>
  </si>
  <si>
    <t>IMPORT DUTIES</t>
  </si>
  <si>
    <t>Aggregate costs</t>
  </si>
  <si>
    <t>Include Import Duties in forecast (1 = yes)</t>
  </si>
  <si>
    <t>16June.3</t>
  </si>
  <si>
    <t>KCC_Model_Stage1_202506_June 1c.xlsx</t>
  </si>
  <si>
    <t>Depreciation: added SL mechanism</t>
  </si>
  <si>
    <t>Added Import duties</t>
  </si>
  <si>
    <t>16June.4</t>
  </si>
  <si>
    <t>Set opening tax losses = 0</t>
  </si>
  <si>
    <t>Minimum income tax</t>
  </si>
  <si>
    <t>% of turnover</t>
  </si>
  <si>
    <t>CIT payable (before Minimum Income Tax)</t>
  </si>
  <si>
    <t xml:space="preserve">Minimum Income Tax  </t>
  </si>
  <si>
    <t>CIT paid</t>
  </si>
  <si>
    <t>Taxes on wages IPR</t>
  </si>
  <si>
    <t>IPR % opex</t>
  </si>
  <si>
    <t>Taxes on wages</t>
  </si>
  <si>
    <t>Payroll taxes as % of opex</t>
  </si>
  <si>
    <t xml:space="preserve"> %</t>
  </si>
  <si>
    <t>Last year of actual</t>
  </si>
  <si>
    <t>Payroll taxes: combined actual and forecast</t>
  </si>
  <si>
    <t>% opex</t>
  </si>
  <si>
    <t>Include Payroll taxes in forecast (1 = yes)</t>
  </si>
  <si>
    <t>PAYROLL TAXES</t>
  </si>
  <si>
    <t>Payroll taxes (included in costs)</t>
  </si>
  <si>
    <t>Comparison to EITI</t>
  </si>
  <si>
    <t>COMPARISON TO MODEL</t>
  </si>
  <si>
    <t>SOC dividends</t>
  </si>
  <si>
    <t>Apply interest on Gecamines loan</t>
  </si>
  <si>
    <t>Apply opening balance on Gecamines loan</t>
  </si>
  <si>
    <t>17June.1</t>
  </si>
  <si>
    <t>Added Min Income Tax</t>
  </si>
  <si>
    <t>17June.2</t>
  </si>
  <si>
    <t>Tax on wages</t>
  </si>
  <si>
    <t>Gecamines carry loan opening balance</t>
  </si>
  <si>
    <t>Opening balance Gecamines loan (from 2011 TR emulation)</t>
  </si>
  <si>
    <t>Coverage of model versus EITI comparisons</t>
  </si>
  <si>
    <t>17June.3</t>
  </si>
  <si>
    <t>KCC_Model_Stage1_202506_June 1d.xlsx</t>
  </si>
  <si>
    <t>calibrate Gecamines loan terms</t>
  </si>
  <si>
    <t>Additional govt revenues incl. in project costs</t>
  </si>
  <si>
    <t>Operating surplus</t>
  </si>
  <si>
    <t>Actual / forecast prices</t>
  </si>
  <si>
    <t>Co productn actual revised</t>
  </si>
  <si>
    <t>Co remains 90%</t>
  </si>
  <si>
    <t>Actual vs FS Cu</t>
  </si>
  <si>
    <t>Actual vs FS Co</t>
  </si>
  <si>
    <t>Feasibiity study inputs</t>
  </si>
  <si>
    <t>Actual / forecast</t>
  </si>
  <si>
    <t>Feasibility Gross Operating Surplus</t>
  </si>
  <si>
    <t>Net operating surplus: aggregate</t>
  </si>
  <si>
    <t>Net operating surplus: Cu</t>
  </si>
  <si>
    <t>Net operating surplus: Co</t>
  </si>
  <si>
    <t>in proportion to rev</t>
  </si>
  <si>
    <t>SPECIAL TAX ON EXCESS PROFITS (EPT)</t>
  </si>
  <si>
    <t>EPT calculation</t>
  </si>
  <si>
    <t>Ratio FS to actual prices</t>
  </si>
  <si>
    <t>EPT price trigger: Cu</t>
  </si>
  <si>
    <t>EPT price trigger: Co</t>
  </si>
  <si>
    <t>Cu revenues after royalty</t>
  </si>
  <si>
    <t>Co revenues after royalty</t>
  </si>
  <si>
    <t>Net revenues after royalty</t>
  </si>
  <si>
    <t>Net revenue after royalty</t>
  </si>
  <si>
    <t>Gross operating surplus (for EPT calculation)</t>
  </si>
  <si>
    <t>Gross operating surplus (aggregate)</t>
  </si>
  <si>
    <t>Net revenues by product</t>
  </si>
  <si>
    <t>Check: GOS by product</t>
  </si>
  <si>
    <t>2019 FS Gross operating surplus: Cu</t>
  </si>
  <si>
    <t>2019 FS Gross operating surplus: Co</t>
  </si>
  <si>
    <t>GOS by product</t>
  </si>
  <si>
    <t>FS operating surplus scaled</t>
  </si>
  <si>
    <t>Actual Operating surplus less scaled FS OS</t>
  </si>
  <si>
    <t>Act minus scaled OS: Cu</t>
  </si>
  <si>
    <t>Act minus scaled OS: Co</t>
  </si>
  <si>
    <t>Base for EPT</t>
  </si>
  <si>
    <t>EPT rate</t>
  </si>
  <si>
    <t>EPT paid</t>
  </si>
  <si>
    <t>EPT paid: Cu</t>
  </si>
  <si>
    <t>EPT paid: Co</t>
  </si>
  <si>
    <t>Special Tax On Excess Profits</t>
  </si>
  <si>
    <t>Base for EPT deducted from CIT base</t>
  </si>
  <si>
    <t>Special Tax on Excess Profits (EPT)</t>
  </si>
  <si>
    <t>EPT price and operating surplus trigger</t>
  </si>
  <si>
    <t>17June.4</t>
  </si>
  <si>
    <t>7 yr SL versus 5 yr</t>
  </si>
  <si>
    <t>COPPER AND COBALT PRODUCTION</t>
  </si>
  <si>
    <t>TOP ROW OF PARAMETERS</t>
  </si>
  <si>
    <t xml:space="preserve">Scenario </t>
  </si>
  <si>
    <t>Base</t>
  </si>
  <si>
    <t>into model</t>
  </si>
  <si>
    <t>units</t>
  </si>
  <si>
    <t>SCENARIO PARAMETERS</t>
  </si>
  <si>
    <t>Cobalt Payable Rate applied in model</t>
  </si>
  <si>
    <t>not applied</t>
  </si>
  <si>
    <t>Copper: Realised Price vs LME for "LMEAssumed"</t>
  </si>
  <si>
    <t>Cobalt: Realised Price vs LME for "LMEAssumed"</t>
  </si>
  <si>
    <t>Actual Realized</t>
  </si>
  <si>
    <t>INTO MODEL</t>
  </si>
  <si>
    <t>KEYS</t>
  </si>
  <si>
    <t>Issue</t>
  </si>
  <si>
    <t>Materiality</t>
  </si>
  <si>
    <t>Documentation</t>
  </si>
  <si>
    <t>Materiality Level</t>
  </si>
  <si>
    <t>Level</t>
  </si>
  <si>
    <t>Issue Definition</t>
  </si>
  <si>
    <t>Value Type</t>
  </si>
  <si>
    <t>Value Unit</t>
  </si>
  <si>
    <t>Floor</t>
  </si>
  <si>
    <t>Mid</t>
  </si>
  <si>
    <t>Ceiling</t>
  </si>
  <si>
    <t>Value Scope</t>
  </si>
  <si>
    <t>Observation</t>
  </si>
  <si>
    <t>L</t>
  </si>
  <si>
    <t>Low</t>
  </si>
  <si>
    <t>V1</t>
  </si>
  <si>
    <t>H</t>
  </si>
  <si>
    <t>Turnover</t>
  </si>
  <si>
    <t>I</t>
  </si>
  <si>
    <t>M</t>
  </si>
  <si>
    <t>Medium</t>
  </si>
  <si>
    <t>V2</t>
  </si>
  <si>
    <t>Transport charges included</t>
  </si>
  <si>
    <t>High</t>
  </si>
  <si>
    <t>V3</t>
  </si>
  <si>
    <t>U</t>
  </si>
  <si>
    <t>Unquantified</t>
  </si>
  <si>
    <t>V4</t>
  </si>
  <si>
    <t>S</t>
  </si>
  <si>
    <t>Documentation Source</t>
  </si>
  <si>
    <t>V5</t>
  </si>
  <si>
    <t>D</t>
  </si>
  <si>
    <t>Direct</t>
  </si>
  <si>
    <t>Indirect</t>
  </si>
  <si>
    <t>Scenario</t>
  </si>
  <si>
    <t>C1</t>
  </si>
  <si>
    <t>C2</t>
  </si>
  <si>
    <t>Cx</t>
  </si>
  <si>
    <t>T1</t>
  </si>
  <si>
    <t>Fiscal</t>
  </si>
  <si>
    <t>T2</t>
  </si>
  <si>
    <t>T3</t>
  </si>
  <si>
    <t>Corporate Income Tax</t>
  </si>
  <si>
    <t>T4</t>
  </si>
  <si>
    <t>Excess Profits Tax</t>
  </si>
  <si>
    <t>T5</t>
  </si>
  <si>
    <t>T6</t>
  </si>
  <si>
    <t>T7</t>
  </si>
  <si>
    <t>State asset transfers</t>
  </si>
  <si>
    <t>Data Tables for One-Page</t>
  </si>
  <si>
    <t>Lists for drop-down</t>
  </si>
  <si>
    <t>Excess Profits Tax applied (1 = yes)</t>
  </si>
  <si>
    <t>Include KCC debt interest (1 = yes)</t>
  </si>
  <si>
    <t>Som contract: placeholder assumption of third party sales: Cu</t>
  </si>
  <si>
    <t>Som contract: placeholder assumption of third party sales: Co</t>
  </si>
  <si>
    <t>SCENARIO</t>
  </si>
  <si>
    <t>Headlines</t>
  </si>
  <si>
    <t>Government aggregate revenue</t>
  </si>
  <si>
    <t>Government total</t>
  </si>
  <si>
    <t>Investor NPV</t>
  </si>
  <si>
    <t>Government share: excluding payroll &amp; indirect taxes</t>
  </si>
  <si>
    <t>Govt share excluding indirect taxes</t>
  </si>
  <si>
    <t>DATA TABLE PARAMETERS</t>
  </si>
  <si>
    <t>Focus year for sensitivity analysis</t>
  </si>
  <si>
    <t>Subject Descriptor</t>
  </si>
  <si>
    <t>Index</t>
  </si>
  <si>
    <t>Percent change</t>
  </si>
  <si>
    <t>Inflation beyond WEO forecast</t>
  </si>
  <si>
    <t>% p.a.</t>
  </si>
  <si>
    <t>IMF WEO inflation</t>
  </si>
  <si>
    <t>Last year Weo forecast</t>
  </si>
  <si>
    <t>index into model timeline</t>
  </si>
  <si>
    <t>USD CPI Inflation, average consumer prices</t>
  </si>
  <si>
    <t>USD CPI Inflation</t>
  </si>
  <si>
    <t>% change</t>
  </si>
  <si>
    <t>TIMELINE</t>
  </si>
  <si>
    <t>Real terms conversion year</t>
  </si>
  <si>
    <t>IMF WEO</t>
  </si>
  <si>
    <t>Deflation index into model</t>
  </si>
  <si>
    <t>Inflation index into model timeline</t>
  </si>
  <si>
    <t>Inflation index from first forecast year</t>
  </si>
  <si>
    <t>First forecast year</t>
  </si>
  <si>
    <t>Inflation switch (1 = on)</t>
  </si>
  <si>
    <t>Lookup year for sensitivity analysis</t>
  </si>
  <si>
    <t>TOP OF RANGE</t>
  </si>
  <si>
    <t>BOTTOM OF RANGE</t>
  </si>
  <si>
    <t>Sens variable</t>
  </si>
  <si>
    <t>Sens</t>
  </si>
  <si>
    <t>Copper realized price method</t>
  </si>
  <si>
    <t>Cobalt price realized price method</t>
  </si>
  <si>
    <t>RESULTS USED FOR DATA TABLE SENSITIVITY ANALYSIS</t>
  </si>
  <si>
    <t>SENSITIVITY ANALYSIS</t>
  </si>
  <si>
    <t>Project cashflows NOMINAL</t>
  </si>
  <si>
    <t>inflation</t>
  </si>
  <si>
    <t xml:space="preserve">PARTICIPANT CASHFLOWS AND NPV: NOMINAL </t>
  </si>
  <si>
    <t>19June.1</t>
  </si>
  <si>
    <t>KCC_Model_Stage1_202506_June 1h.xlsx</t>
  </si>
  <si>
    <t>Switch model to Nominal</t>
  </si>
  <si>
    <t>%nominal</t>
  </si>
  <si>
    <t>DO NOT CHANGE UNLESS SOURCE DATA ALSO MOVED</t>
  </si>
  <si>
    <t xml:space="preserve">JW </t>
  </si>
  <si>
    <t>Cobalt Payable Rate (Co Hydroxide)</t>
  </si>
  <si>
    <t>Rem_LOM</t>
  </si>
  <si>
    <t>Apply Cu transport / quality discount (1 = yes)</t>
  </si>
  <si>
    <t>switch to 2025 fwd</t>
  </si>
  <si>
    <t>20June.1</t>
  </si>
  <si>
    <t>20June.2</t>
  </si>
  <si>
    <t>Third Party Marketing Charge: Cu &amp; Co</t>
  </si>
  <si>
    <t>Downside</t>
  </si>
  <si>
    <t>V6</t>
  </si>
  <si>
    <t>Grade</t>
  </si>
  <si>
    <t>Deductibility of debt interest</t>
  </si>
  <si>
    <t>Compare vs LIBOR + 4%</t>
  </si>
  <si>
    <t>[Cost benchmarking]</t>
  </si>
  <si>
    <t>Turnover tax (Chiffre d'Affaires 0.3PC)</t>
  </si>
  <si>
    <t>% turnover</t>
  </si>
  <si>
    <t>LIBOR / SOFR</t>
  </si>
  <si>
    <t>6 Month LIBOR</t>
  </si>
  <si>
    <t>6 Month SOFR</t>
  </si>
  <si>
    <t>Real SOFR forecast</t>
  </si>
  <si>
    <t>LIBOR / SOFR history</t>
  </si>
  <si>
    <t>Implied real LIBOR / SOFR</t>
  </si>
  <si>
    <t>SOFR forecast nominal</t>
  </si>
  <si>
    <t>LIBOR  / SOFR history &amp; forecast</t>
  </si>
  <si>
    <t>23June.1</t>
  </si>
  <si>
    <t>KCC_Model_Stage1_202506_June 1j.xlsx</t>
  </si>
  <si>
    <t>add turnover tax 0.3%</t>
  </si>
  <si>
    <t>Turnover tax</t>
  </si>
  <si>
    <t>Glencore loan interest rate (fixed rate)</t>
  </si>
  <si>
    <t>Interest rate until 2018 (fixed)</t>
  </si>
  <si>
    <t>Alternative interest rate: Margin over Libor/SOFR</t>
  </si>
  <si>
    <t>Interest rate after 2018 (fixed)</t>
  </si>
  <si>
    <t>Gecamines interest rate (margin over libor/SOFR)</t>
  </si>
  <si>
    <t>Gecamines loan LIBOR + 3%</t>
  </si>
  <si>
    <t>FS base year</t>
  </si>
  <si>
    <t>Government revenues incl. Gecamines  2022</t>
  </si>
  <si>
    <t>EPT: Apply inflation to FS prices and Operating Surplus</t>
  </si>
  <si>
    <t>+/- 5% reported Cu volume</t>
  </si>
  <si>
    <t xml:space="preserve">+/- 5% reported Co volume </t>
  </si>
  <si>
    <t>Base case or alternative debt interest rates</t>
  </si>
  <si>
    <t>CoHyd Grade range 30 - 35%</t>
  </si>
  <si>
    <t>Management fees added to operating costs</t>
  </si>
  <si>
    <t>Management fee</t>
  </si>
  <si>
    <t>Cumulative royalty difference: 2018 - 2022</t>
  </si>
  <si>
    <t>Flag</t>
  </si>
  <si>
    <t>2018-2022</t>
  </si>
  <si>
    <t>Cumulative CIT difference: 2018 - 2022</t>
  </si>
  <si>
    <t>23June.2</t>
  </si>
  <si>
    <t>Gec loan correction to use annual rather than constant int rate</t>
  </si>
  <si>
    <t>Proportion opex imports</t>
  </si>
  <si>
    <t>Proportion capex imports</t>
  </si>
  <si>
    <t>Proportion opex imports services</t>
  </si>
  <si>
    <t>Proportion capex imports services</t>
  </si>
  <si>
    <t>Proportion non-resident services deemed DRC source</t>
  </si>
  <si>
    <t>Operating costs subject to WHT</t>
  </si>
  <si>
    <t>Capex costs subject to WHT</t>
  </si>
  <si>
    <t>Total costs subject to WHT</t>
  </si>
  <si>
    <t>WHT rate non-resident services</t>
  </si>
  <si>
    <t>Opex WHT</t>
  </si>
  <si>
    <t>Capex WHT</t>
  </si>
  <si>
    <t>WITHHOLDING TAX ON NON RESIDENT SERVICES</t>
  </si>
  <si>
    <t>WHT on non-resident services</t>
  </si>
  <si>
    <t>23June.3</t>
  </si>
  <si>
    <t>KCC_Model_Stage1_202506_June 1k.xlsx</t>
  </si>
  <si>
    <t>include service WHT</t>
  </si>
  <si>
    <t>Metalkol Copper Mine</t>
  </si>
  <si>
    <t>2022 FEASIBILITY STUDY</t>
  </si>
  <si>
    <t>Table VII.5 Summary of Profit and Loss account</t>
  </si>
  <si>
    <t>Copper Production (FS22)</t>
  </si>
  <si>
    <t>Cobalt Production (FS22)</t>
  </si>
  <si>
    <t>Copper Price ($/TCu)</t>
  </si>
  <si>
    <t>Cobalt Price ($/TCo)</t>
  </si>
  <si>
    <t>Sales ($m)</t>
  </si>
  <si>
    <t>Total Operating Cost ($m)</t>
  </si>
  <si>
    <t>EBITDA ($m)</t>
  </si>
  <si>
    <t>Depreciation &amp; Amortisation ($m)</t>
  </si>
  <si>
    <t>Interest Expense ($m)</t>
  </si>
  <si>
    <t>Profit Before Tax ($m)</t>
  </si>
  <si>
    <t>Tax ($m)</t>
  </si>
  <si>
    <t>Profit After Tax ($m)</t>
  </si>
  <si>
    <t>Table VII.2 Operating Costs</t>
  </si>
  <si>
    <t>Musonoi Dredging (USDm)</t>
  </si>
  <si>
    <t>Hydrolavage (USDm)</t>
  </si>
  <si>
    <t>Water Management (USDm)</t>
  </si>
  <si>
    <t>Power (USDm)</t>
  </si>
  <si>
    <t>Processing Plant (USDm)</t>
  </si>
  <si>
    <t>G&amp;A (USDm)</t>
  </si>
  <si>
    <t>Other Fixed Costs (USDm)</t>
  </si>
  <si>
    <t>Sub-Total</t>
  </si>
  <si>
    <t>Selling Costs (USDm)</t>
  </si>
  <si>
    <t>Total Costs</t>
  </si>
  <si>
    <t>USD / tonne power supply</t>
  </si>
  <si>
    <t>Table VII.7 Estimated Taxes and Other Revenues due to the State</t>
  </si>
  <si>
    <t>Sales ($)</t>
  </si>
  <si>
    <t>$</t>
  </si>
  <si>
    <t>Exportation Rights ($)</t>
  </si>
  <si>
    <t>Mining Royalty ($)</t>
  </si>
  <si>
    <t>Area Tax ($)</t>
  </si>
  <si>
    <t>Rights/Other ($)</t>
  </si>
  <si>
    <t>Total ($)</t>
  </si>
  <si>
    <t>Table VII.4 Summary of Capex</t>
  </si>
  <si>
    <t>Phase 1 pre-2020 capex</t>
  </si>
  <si>
    <t>Phase 2 pre-2020 capex</t>
  </si>
  <si>
    <t>Phase 1 Annual capex</t>
  </si>
  <si>
    <t>Phase 2 Annual capex</t>
  </si>
  <si>
    <t>Table VII.1 Capex (dated 2019)</t>
  </si>
  <si>
    <t>Dredging of Musonoi</t>
  </si>
  <si>
    <t>Hydrolavage + Distribution</t>
  </si>
  <si>
    <t>Water Management (Pluviales)</t>
  </si>
  <si>
    <t>Phase 1</t>
  </si>
  <si>
    <t>Phase 2</t>
  </si>
  <si>
    <t>Maintenance Capital</t>
  </si>
  <si>
    <t>Closing/Restatement Status</t>
  </si>
  <si>
    <t>Cobalt produced: 2022FS + actuals</t>
  </si>
  <si>
    <t>Copper production 2022Fs + actuals</t>
  </si>
  <si>
    <t xml:space="preserve">Cobalt production 2022FS + actuals </t>
  </si>
  <si>
    <t>Not sure why realised prices are not in there alongside LME actual, LME assumed and Somidez</t>
  </si>
  <si>
    <t>Waiting for a view from Ron on whether  these charges are so high</t>
  </si>
  <si>
    <t>What assumption of end of life for Metalkol?</t>
  </si>
  <si>
    <t>Come back to consider in Metalkol if figure should be applied</t>
  </si>
  <si>
    <t>SUBNATIONAL REVENUE STREAMS</t>
  </si>
  <si>
    <t>Sub-national royalty splits</t>
  </si>
  <si>
    <t>Province share of royalties</t>
  </si>
  <si>
    <t xml:space="preserve">Entite Territoriale Decentralise royalties </t>
  </si>
  <si>
    <t>Subnational Royalty Allocation 1</t>
  </si>
  <si>
    <t>Treasury share of royalties</t>
  </si>
  <si>
    <t>FOMIN share of royalties</t>
  </si>
  <si>
    <t>FONAREV share of royalties</t>
  </si>
  <si>
    <t>Turnover Tax (Chiffre d'Affaires)</t>
  </si>
  <si>
    <t>Turnover Tax</t>
  </si>
  <si>
    <t>Operating costs (FS22)</t>
  </si>
  <si>
    <t>Point Forward Inflation Index into model</t>
  </si>
  <si>
    <t>FS Inflation Index into model</t>
  </si>
  <si>
    <t>FS Forecast Year</t>
  </si>
  <si>
    <t>$ mn (2019 real)</t>
  </si>
  <si>
    <t>Conversion to nominal</t>
  </si>
  <si>
    <t>Backfilling opex 2018-2019</t>
  </si>
  <si>
    <t>Unit Cost per tonne of sellable commodity</t>
  </si>
  <si>
    <t>Average unit cost</t>
  </si>
  <si>
    <t>FS forecast period begins</t>
  </si>
  <si>
    <t>Pre-feasibility commodity tonnage</t>
  </si>
  <si>
    <t>Feasibility Study Year</t>
  </si>
  <si>
    <t>Comparable Period</t>
  </si>
  <si>
    <t>switch</t>
  </si>
  <si>
    <t>Comparable Period opex</t>
  </si>
  <si>
    <t>Operating costs FS period</t>
  </si>
  <si>
    <t>Operating costs pre-FS period</t>
  </si>
  <si>
    <t>Total pre-2020 capex</t>
  </si>
  <si>
    <t>Total Capex (2022 FS)</t>
  </si>
  <si>
    <t>Forecast period annualised capex</t>
  </si>
  <si>
    <t xml:space="preserve">Production </t>
  </si>
  <si>
    <t>Production Start Year</t>
  </si>
  <si>
    <t>Pre-FS capex in production</t>
  </si>
  <si>
    <t>Replicated 2019 year to 2018</t>
  </si>
  <si>
    <t>FS Forecast period capex</t>
  </si>
  <si>
    <t>Pre-production capex</t>
  </si>
  <si>
    <t>Capex forecast start year</t>
  </si>
  <si>
    <t>Cumulative capex</t>
  </si>
  <si>
    <t>Capital Costs</t>
  </si>
  <si>
    <t>2022 FS Feasibility study prices</t>
  </si>
  <si>
    <t>Missing Export taxes as 1% on turnover</t>
  </si>
  <si>
    <t>Pre-2019 FS debt</t>
  </si>
  <si>
    <t>Post-2019 forecast debt</t>
  </si>
  <si>
    <t>Second Debt Repayments</t>
  </si>
  <si>
    <t>Second Debt Interest charge</t>
  </si>
  <si>
    <t>Second Debt account</t>
  </si>
  <si>
    <t>Legacy Debt Drawdown</t>
  </si>
  <si>
    <t>Legacy Debt account</t>
  </si>
  <si>
    <t>Legacy Debt Interest Charges</t>
  </si>
  <si>
    <t>Compare</t>
  </si>
  <si>
    <t>Legacy Debt Structure</t>
  </si>
  <si>
    <t>Drawdowns = FS capex forecast</t>
  </si>
  <si>
    <t>Loan Repayment End Year</t>
  </si>
  <si>
    <t>Adjusted Drawdowns</t>
  </si>
  <si>
    <t>Drawdowns adjusted to match interest charge profile</t>
  </si>
  <si>
    <t>Interest Charges (prior period)</t>
  </si>
  <si>
    <t>Combined Interest Charges</t>
  </si>
  <si>
    <t>METALKOL CASHFLOWS AFTER TAXES PAID OUT OF CASHFLOWS</t>
  </si>
  <si>
    <t>Capital Costs inc. Sens.</t>
  </si>
  <si>
    <t>METALKOL CASHFLOWS AFTER DEBT</t>
  </si>
  <si>
    <t>Metalkol Cashflow after tax</t>
  </si>
  <si>
    <t>Metalkol cashflows after debt</t>
  </si>
  <si>
    <t>Net Debt Cashflows</t>
  </si>
  <si>
    <t>Net Debt Cashflows (borrower)</t>
  </si>
  <si>
    <t>Legacy Debt Repayments</t>
  </si>
  <si>
    <t>GECAMINES PARTICIPATION IN METALKOL</t>
  </si>
  <si>
    <t>ERG SHARE OF METALKOL CASHFLOWS</t>
  </si>
  <si>
    <t>ERG share of METALKOL</t>
  </si>
  <si>
    <t>ERG  share of METALKOL cashflow</t>
  </si>
  <si>
    <t>[Net debt cashflows (3rd party lender)]</t>
  </si>
  <si>
    <t>9July.1</t>
  </si>
  <si>
    <t>10July.1</t>
  </si>
  <si>
    <t>10July.2</t>
  </si>
  <si>
    <t>FS Version</t>
  </si>
  <si>
    <t>Operating Costs: alternative scenario</t>
  </si>
  <si>
    <t>Operating Costs alternative scenario</t>
  </si>
  <si>
    <t>Alternative Operating Unit Cost</t>
  </si>
  <si>
    <t>Alternative Operating Cost Profile</t>
  </si>
  <si>
    <t>AMR-A</t>
  </si>
  <si>
    <t>AMR-B</t>
  </si>
  <si>
    <t>Cession d'actifs</t>
  </si>
  <si>
    <t>Dividendes SOC</t>
  </si>
  <si>
    <t>IBP / ISF</t>
  </si>
  <si>
    <t>IBP non-Resident</t>
  </si>
  <si>
    <t>Impôt mobilier</t>
  </si>
  <si>
    <t>IPR / IER</t>
  </si>
  <si>
    <t>Other</t>
  </si>
  <si>
    <t>Royalties - forex</t>
  </si>
  <si>
    <t>Tax on concentrates</t>
  </si>
  <si>
    <t>Taxes a l'Exportation</t>
  </si>
  <si>
    <t>Taxes a l'Importation</t>
  </si>
  <si>
    <t>11July.1</t>
  </si>
  <si>
    <t>FS Opex</t>
  </si>
  <si>
    <t>Alt Opex</t>
  </si>
  <si>
    <t>Operating Cost Profile</t>
  </si>
  <si>
    <t>Operating cost profiles</t>
  </si>
  <si>
    <t>Copper produced: 2022FS + actuals</t>
  </si>
  <si>
    <t>Additional state share on license renewal</t>
  </si>
  <si>
    <t>License Renewal Year</t>
  </si>
  <si>
    <t>Total Gecamines and state share</t>
  </si>
  <si>
    <t>Original Gecamine share</t>
  </si>
  <si>
    <t>apply increased State Participation</t>
  </si>
  <si>
    <t>Original Gecamine stake</t>
  </si>
  <si>
    <t>Apply additional stake on license renewal</t>
  </si>
  <si>
    <t>Selected state participation option</t>
  </si>
  <si>
    <t>Interest Rates</t>
  </si>
  <si>
    <t>Computed Interest Rate</t>
  </si>
  <si>
    <t>Computed Interest Rate Annualised</t>
  </si>
  <si>
    <t>Normative LIBOR Premium</t>
  </si>
  <si>
    <t>Normative Interest Rate</t>
  </si>
  <si>
    <t>Computed</t>
  </si>
  <si>
    <t>Normative</t>
  </si>
  <si>
    <t>FS stated opex vs stable opex</t>
  </si>
  <si>
    <t xml:space="preserve"> +</t>
  </si>
  <si>
    <t>LOM</t>
  </si>
  <si>
    <t>RM_25%</t>
  </si>
  <si>
    <t>RM_ETD</t>
  </si>
  <si>
    <t>FOMIN</t>
  </si>
  <si>
    <t>Total</t>
  </si>
  <si>
    <t>Subnational royalty shortfall</t>
  </si>
  <si>
    <t>Turnover Tax Arrears</t>
  </si>
  <si>
    <t>Latest EITI Reporting Year</t>
  </si>
  <si>
    <t>Combined Subnational Revenue Arrears</t>
  </si>
  <si>
    <t>&gt;= 2014</t>
  </si>
  <si>
    <t>Shortfall vs model at 70% payables</t>
  </si>
  <si>
    <t>Investment treaty Dividend Witholding Tax</t>
  </si>
  <si>
    <t>Difference in DWT Rates</t>
  </si>
  <si>
    <t>for analysis</t>
  </si>
  <si>
    <t>Potential Impact of Tax and Investment treaty obligations</t>
  </si>
  <si>
    <t>&gt;= 2025</t>
  </si>
  <si>
    <t>NPV10 of Private Royalties</t>
  </si>
  <si>
    <t>2017 Smelter royalties sale</t>
  </si>
  <si>
    <t>Sale to Multree of 2.5% royalties</t>
  </si>
  <si>
    <t>Value at risk from sale of smelter royalties</t>
  </si>
  <si>
    <t>Against 2022 FS interest charges</t>
  </si>
  <si>
    <t>Model base scenario vs EITI</t>
  </si>
  <si>
    <t>VaR</t>
  </si>
  <si>
    <t>No SWT and reduced DWT if South Africa</t>
  </si>
  <si>
    <t>Extra 5% from license renewal 2018</t>
  </si>
  <si>
    <t>2017 Deal</t>
  </si>
  <si>
    <t>Diff. sales price and NPV10 royalties</t>
  </si>
  <si>
    <t>RM_50%</t>
  </si>
  <si>
    <t>Potential Tax Treaty Impacts</t>
  </si>
  <si>
    <t>Apply additional state equity</t>
  </si>
  <si>
    <t>Subnational revenue shortfall</t>
  </si>
  <si>
    <t>Somidez 2020 sales contract</t>
  </si>
  <si>
    <t>2021 Min Mining truck stats</t>
  </si>
  <si>
    <t>Covers period 2023 forward (FS)</t>
  </si>
  <si>
    <t>Turnover tax and sub-national royalties</t>
  </si>
  <si>
    <t>Assumes Treasury actuals right</t>
  </si>
  <si>
    <t>Insufficient data to evaluate</t>
  </si>
  <si>
    <t>Model base scenario vs EITI actuals</t>
  </si>
  <si>
    <t>No annual financials available</t>
  </si>
  <si>
    <t>Corporate network unknown</t>
  </si>
  <si>
    <t>Additional transfer unconfirmed</t>
  </si>
  <si>
    <t>2k data points Min Min 2018-24</t>
  </si>
  <si>
    <t>Min Mining File 2018-24</t>
  </si>
  <si>
    <t>METALKOL MARKET VALUE</t>
  </si>
  <si>
    <t>METALKOL PROJECT COSTS</t>
  </si>
  <si>
    <t>METALKOL TAX RULES</t>
  </si>
  <si>
    <t>2017 smelter royalty sale</t>
  </si>
  <si>
    <t>Opex cost reporting risk</t>
  </si>
  <si>
    <t>License Renewal Equity</t>
  </si>
  <si>
    <t>Total EITI Royalty payments</t>
  </si>
  <si>
    <t>21July.1</t>
  </si>
  <si>
    <t>AW comments 22 July 2025</t>
  </si>
  <si>
    <t>revised AETR calc without indirect</t>
  </si>
  <si>
    <t xml:space="preserve">this was pointing to the wrong cell. </t>
  </si>
  <si>
    <t>Gecamines cflow is simply share * positive cashflows. No debt repayment?</t>
  </si>
  <si>
    <t>This was interest only, now corrected to be ddown &amp; repayment. Same net = interest</t>
  </si>
  <si>
    <t>and same here</t>
  </si>
  <si>
    <t>JW to address track changes now debt issues corrected</t>
  </si>
  <si>
    <t>fixed chart</t>
  </si>
  <si>
    <t>Does this apply to Metalkol?</t>
  </si>
  <si>
    <t>deleted revenues categories versus Kamoto. If not used delete full;y, or leave as zero.</t>
  </si>
  <si>
    <t>this takes FS over actual. Wrong way round?</t>
  </si>
  <si>
    <t>likewise for Cobalt. Means not using actual?</t>
  </si>
  <si>
    <t>Why model first year changed? Now hard to add up across projects.</t>
  </si>
  <si>
    <t>Should have kept consistent timeline - that's why I set it at 2006</t>
  </si>
  <si>
    <t>RISK!!</t>
  </si>
  <si>
    <t>Why using alternative rather than FS? Also results in no opex in first 2 years.</t>
  </si>
  <si>
    <t>unused row</t>
  </si>
  <si>
    <t>Delete these</t>
  </si>
  <si>
    <t>24July.1</t>
  </si>
  <si>
    <t>Realised Price Risk: Co</t>
  </si>
  <si>
    <t>Realised Price Risk: Cu</t>
  </si>
  <si>
    <t>Marketing Fee Risk</t>
  </si>
  <si>
    <t>Cu Vol Underreporting Risk</t>
  </si>
  <si>
    <t>Co Vol Underreporting Risk</t>
  </si>
  <si>
    <t>Co Grade Underreporting Risk</t>
  </si>
  <si>
    <t>Royalty model to actuals</t>
  </si>
  <si>
    <t>Subnational model to actuals</t>
  </si>
  <si>
    <t>Variable Payable Co Rates</t>
  </si>
  <si>
    <t>2% fee on 3rd party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</si>
</sst>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###0_);\(###0\);&quot;-  &quot;;&quot; &quot;@&quot; &quot;"/>
    <numFmt numFmtId="165" formatCode="dd\ mmm\ yy_);\(###0\);&quot;-  &quot;;&quot; &quot;@&quot; &quot;"/>
    <numFmt numFmtId="166" formatCode="#,##0_);\(#,##0\);&quot;-  &quot;;&quot; &quot;@&quot; &quot;"/>
    <numFmt numFmtId="167" formatCode="#,##0.0000_);\(#,##0.0000\);&quot;-  &quot;;&quot; &quot;@&quot; &quot;"/>
    <numFmt numFmtId="168" formatCode="#,##0.00_);\(#,##0.00\);&quot;-  &quot;;&quot; &quot;@&quot; &quot;"/>
    <numFmt numFmtId="169" formatCode="0.00%_);\-0.00%_);&quot;-  &quot;;&quot; &quot;@&quot; &quot;"/>
    <numFmt numFmtId="170" formatCode="dd\ mmm\ yyyy_);\(###0\);&quot;-  &quot;;&quot; &quot;@&quot; &quot;"/>
    <numFmt numFmtId="171" formatCode="#,##0_ ;\-#,##0\ "/>
    <numFmt numFmtId="172" formatCode="#,##0.00_ ;\-#,##0.00\ "/>
    <numFmt numFmtId="173" formatCode="#,##0.0_);\(#,##0.0\);&quot;-  &quot;;&quot; &quot;@&quot; &quot;"/>
    <numFmt numFmtId="174" formatCode="0.0%_);\-0.0%_);&quot;-  &quot;;&quot; &quot;@&quot; &quot;"/>
    <numFmt numFmtId="175" formatCode="#,##0.000000_);\(#,##0.000000\);&quot;-  &quot;;&quot; &quot;@&quot; &quot;"/>
    <numFmt numFmtId="176" formatCode="#,##0_);\(#,##0\);&quot;-  &quot;;&quot; &quot;@"/>
    <numFmt numFmtId="177" formatCode="#,##0;\(#,##0\);&quot;-&quot;"/>
    <numFmt numFmtId="178" formatCode="###0.00_);\(###0.00\);&quot;-  &quot;;&quot; &quot;@&quot; &quot;"/>
    <numFmt numFmtId="179" formatCode="0%_);\-0%_);&quot;-  &quot;;&quot; &quot;@&quot; &quot;"/>
    <numFmt numFmtId="180" formatCode="0.00%\ ;\-0.00%\ _);&quot;-  &quot;;&quot; &quot;@&quot; &quot;"/>
    <numFmt numFmtId="181" formatCode="#,##0.00_);\(#,##0.00\);&quot;-  &quot;;&quot; &quot;@"/>
    <numFmt numFmtId="182" formatCode="[$-F400]h:mm:ss\ AM/PM"/>
    <numFmt numFmtId="183" formatCode="#,##0_);\(#,##0\)"/>
    <numFmt numFmtId="184" formatCode="#,##0.0_);\(#,##0.0\)"/>
  </numFmts>
  <fonts count="6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theme="4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FF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  <font>
      <sz val="11"/>
      <color indexed="12"/>
      <name val="Calibri"/>
      <family val="2"/>
    </font>
    <font>
      <i/>
      <sz val="11"/>
      <name val="Calibri"/>
      <family val="2"/>
    </font>
    <font>
      <b/>
      <sz val="11"/>
      <color theme="0"/>
      <name val="Calibri"/>
      <family val="2"/>
    </font>
    <font>
      <b/>
      <u/>
      <sz val="11"/>
      <name val="Calibri"/>
      <family val="2"/>
    </font>
    <font>
      <u/>
      <sz val="11"/>
      <color rgb="FFFF0000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u/>
      <sz val="11"/>
      <color rgb="FF000000"/>
      <name val="Calibri"/>
      <family val="2"/>
    </font>
    <font>
      <i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20"/>
      <name val="Calibri"/>
      <family val="2"/>
    </font>
    <font>
      <b/>
      <sz val="11"/>
      <color rgb="FF0000FF"/>
      <name val="Calibri"/>
      <family val="2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1"/>
      <color rgb="FFFF0000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color theme="0"/>
      <name val="Calibri"/>
      <family val="2"/>
    </font>
    <font>
      <sz val="11"/>
      <color rgb="FF00B050"/>
      <name val="Calibri"/>
      <family val="2"/>
    </font>
    <font>
      <i/>
      <sz val="20"/>
      <color theme="0"/>
      <name val="Calibri"/>
      <family val="2"/>
    </font>
    <font>
      <i/>
      <sz val="12"/>
      <color theme="0"/>
      <name val="Calibri"/>
      <family val="2"/>
    </font>
    <font>
      <strike/>
      <sz val="11"/>
      <color theme="1"/>
      <name val="Calibri"/>
      <family val="2"/>
    </font>
    <font>
      <u/>
      <sz val="10"/>
      <name val="Calibri"/>
      <family val="2"/>
    </font>
    <font>
      <b/>
      <sz val="10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rgb="FFFF0000"/>
      <name val="Calibri"/>
      <family val="2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0000FF"/>
      <name val="Aptos Narrow"/>
      <family val="2"/>
      <scheme val="minor"/>
    </font>
    <font>
      <i/>
      <sz val="11"/>
      <color rgb="FFFF0000"/>
      <name val="Calibri"/>
      <family val="2"/>
    </font>
    <font>
      <sz val="22"/>
      <color theme="0"/>
      <name val="Calibri"/>
      <family val="2"/>
    </font>
    <font>
      <sz val="11"/>
      <color theme="0" tint="-0.499984740745262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u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FF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4">
    <xf numFmtId="166" fontId="0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  <xf numFmtId="164" fontId="3" fillId="0" borderId="0" applyFont="0" applyFill="0" applyBorder="0" applyProtection="0">
      <alignment vertical="top"/>
    </xf>
    <xf numFmtId="165" fontId="4" fillId="0" borderId="0" applyFont="0" applyFill="0" applyBorder="0" applyProtection="0">
      <alignment vertical="top"/>
    </xf>
    <xf numFmtId="0" fontId="5" fillId="0" borderId="0">
      <alignment horizontal="right"/>
    </xf>
    <xf numFmtId="167" fontId="4" fillId="0" borderId="0" applyFont="0" applyFill="0" applyBorder="0" applyProtection="0">
      <alignment vertical="top"/>
    </xf>
    <xf numFmtId="0" fontId="6" fillId="0" borderId="0" applyNumberFormat="0" applyFill="0" applyBorder="0" applyAlignment="0" applyProtection="0"/>
    <xf numFmtId="170" fontId="1" fillId="0" borderId="0" applyFont="0" applyFill="0" applyBorder="0" applyProtection="0">
      <alignment vertical="top"/>
    </xf>
    <xf numFmtId="166" fontId="8" fillId="0" borderId="0" applyFont="0" applyFill="0" applyBorder="0" applyProtection="0">
      <alignment vertical="top"/>
    </xf>
    <xf numFmtId="166" fontId="52" fillId="0" borderId="0" applyFont="0" applyFill="0" applyBorder="0" applyProtection="0">
      <alignment vertical="top"/>
    </xf>
    <xf numFmtId="167" fontId="1" fillId="0" borderId="0" applyFont="0" applyFill="0" applyBorder="0" applyProtection="0">
      <alignment vertical="top"/>
    </xf>
    <xf numFmtId="165" fontId="1" fillId="0" borderId="0" applyFont="0" applyFill="0" applyBorder="0" applyProtection="0">
      <alignment vertical="top"/>
    </xf>
    <xf numFmtId="164" fontId="1" fillId="0" borderId="0" applyFont="0" applyFill="0" applyBorder="0" applyProtection="0">
      <alignment vertical="top"/>
    </xf>
    <xf numFmtId="166" fontId="53" fillId="0" borderId="0" applyFont="0" applyFill="0" applyBorder="0" applyProtection="0">
      <alignment vertical="top"/>
    </xf>
    <xf numFmtId="166" fontId="1" fillId="0" borderId="0" applyFont="0" applyFill="0" applyBorder="0" applyProtection="0">
      <alignment vertical="top"/>
    </xf>
    <xf numFmtId="166" fontId="1" fillId="0" borderId="0" applyFont="0" applyFill="0" applyBorder="0" applyProtection="0">
      <alignment vertical="top"/>
    </xf>
    <xf numFmtId="167" fontId="1" fillId="0" borderId="0" applyFont="0" applyFill="0" applyBorder="0" applyProtection="0">
      <alignment vertical="top"/>
    </xf>
    <xf numFmtId="166" fontId="54" fillId="0" borderId="0" applyNumberFormat="0" applyFill="0" applyBorder="0" applyAlignment="0" applyProtection="0">
      <alignment vertical="top"/>
    </xf>
    <xf numFmtId="166" fontId="52" fillId="0" borderId="0" applyFont="0" applyFill="0" applyBorder="0" applyProtection="0">
      <alignment vertical="top"/>
    </xf>
    <xf numFmtId="166" fontId="52" fillId="0" borderId="0" applyFont="0" applyFill="0" applyBorder="0" applyProtection="0">
      <alignment vertical="top"/>
    </xf>
    <xf numFmtId="164" fontId="1" fillId="0" borderId="0" applyFont="0" applyFill="0" applyBorder="0" applyProtection="0">
      <alignment vertical="top"/>
    </xf>
    <xf numFmtId="169" fontId="1" fillId="0" borderId="0" applyFont="0" applyFill="0" applyBorder="0" applyProtection="0">
      <alignment vertical="top"/>
    </xf>
    <xf numFmtId="167" fontId="1" fillId="0" borderId="0" applyFont="0" applyFill="0" applyBorder="0" applyProtection="0">
      <alignment vertical="top"/>
    </xf>
    <xf numFmtId="0" fontId="1" fillId="0" borderId="0"/>
  </cellStyleXfs>
  <cellXfs count="993">
    <xf numFmtId="166" fontId="0" fillId="0" borderId="0" xfId="0">
      <alignment vertical="top"/>
    </xf>
    <xf numFmtId="166" fontId="2" fillId="0" borderId="0" xfId="0" applyFont="1">
      <alignment vertical="top"/>
    </xf>
    <xf numFmtId="166" fontId="7" fillId="0" borderId="0" xfId="0" applyFont="1">
      <alignment vertical="top"/>
    </xf>
    <xf numFmtId="166" fontId="8" fillId="0" borderId="0" xfId="0" applyFont="1">
      <alignment vertical="top"/>
    </xf>
    <xf numFmtId="166" fontId="8" fillId="2" borderId="0" xfId="0" applyFont="1" applyFill="1">
      <alignment vertical="top"/>
    </xf>
    <xf numFmtId="165" fontId="12" fillId="0" borderId="0" xfId="3" applyFont="1" applyBorder="1">
      <alignment vertical="top"/>
    </xf>
    <xf numFmtId="166" fontId="9" fillId="0" borderId="0" xfId="0" applyFont="1">
      <alignment vertical="top"/>
    </xf>
    <xf numFmtId="166" fontId="9" fillId="2" borderId="0" xfId="0" applyFont="1" applyFill="1">
      <alignment vertical="top"/>
    </xf>
    <xf numFmtId="166" fontId="10" fillId="0" borderId="0" xfId="0" applyFont="1">
      <alignment vertical="top"/>
    </xf>
    <xf numFmtId="166" fontId="10" fillId="2" borderId="0" xfId="0" applyFont="1" applyFill="1">
      <alignment vertical="top"/>
    </xf>
    <xf numFmtId="166" fontId="16" fillId="6" borderId="0" xfId="0" applyFont="1" applyFill="1" applyAlignment="1">
      <alignment vertical="center"/>
    </xf>
    <xf numFmtId="0" fontId="18" fillId="0" borderId="0" xfId="6" applyFont="1" applyFill="1" applyBorder="1" applyAlignment="1">
      <alignment vertical="top"/>
    </xf>
    <xf numFmtId="166" fontId="10" fillId="5" borderId="0" xfId="0" applyFont="1" applyFill="1">
      <alignment vertical="top"/>
    </xf>
    <xf numFmtId="0" fontId="20" fillId="0" borderId="0" xfId="6" applyFont="1" applyFill="1" applyBorder="1" applyAlignment="1">
      <alignment vertical="top"/>
    </xf>
    <xf numFmtId="166" fontId="19" fillId="2" borderId="0" xfId="0" applyFont="1" applyFill="1" applyAlignment="1">
      <alignment vertical="top" wrapText="1"/>
    </xf>
    <xf numFmtId="166" fontId="22" fillId="0" borderId="0" xfId="0" applyFont="1">
      <alignment vertical="top"/>
    </xf>
    <xf numFmtId="37" fontId="12" fillId="0" borderId="0" xfId="0" applyNumberFormat="1" applyFont="1">
      <alignment vertical="top"/>
    </xf>
    <xf numFmtId="37" fontId="13" fillId="0" borderId="0" xfId="0" applyNumberFormat="1" applyFont="1">
      <alignment vertical="top"/>
    </xf>
    <xf numFmtId="37" fontId="8" fillId="0" borderId="0" xfId="0" applyNumberFormat="1" applyFont="1">
      <alignment vertical="top"/>
    </xf>
    <xf numFmtId="37" fontId="14" fillId="0" borderId="0" xfId="0" applyNumberFormat="1" applyFont="1" applyAlignment="1">
      <alignment horizontal="left" vertical="top"/>
    </xf>
    <xf numFmtId="37" fontId="8" fillId="0" borderId="0" xfId="2" applyNumberFormat="1" applyFont="1" applyFill="1">
      <alignment vertical="top"/>
    </xf>
    <xf numFmtId="37" fontId="8" fillId="2" borderId="0" xfId="0" applyNumberFormat="1" applyFont="1" applyFill="1">
      <alignment vertical="top"/>
    </xf>
    <xf numFmtId="37" fontId="15" fillId="0" borderId="0" xfId="2" applyNumberFormat="1" applyFont="1" applyBorder="1">
      <alignment vertical="top"/>
    </xf>
    <xf numFmtId="37" fontId="15" fillId="0" borderId="0" xfId="0" applyNumberFormat="1" applyFont="1" applyAlignment="1">
      <alignment horizontal="left" vertical="top"/>
    </xf>
    <xf numFmtId="37" fontId="9" fillId="2" borderId="0" xfId="0" applyNumberFormat="1" applyFont="1" applyFill="1" applyAlignment="1">
      <alignment horizontal="right" vertical="top"/>
    </xf>
    <xf numFmtId="37" fontId="12" fillId="0" borderId="0" xfId="0" applyNumberFormat="1" applyFont="1" applyAlignment="1">
      <alignment horizontal="right"/>
    </xf>
    <xf numFmtId="37" fontId="19" fillId="0" borderId="0" xfId="0" applyNumberFormat="1" applyFont="1">
      <alignment vertical="top"/>
    </xf>
    <xf numFmtId="37" fontId="12" fillId="0" borderId="0" xfId="2" applyNumberFormat="1" applyFont="1" applyFill="1" applyBorder="1">
      <alignment vertical="top"/>
    </xf>
    <xf numFmtId="37" fontId="12" fillId="6" borderId="0" xfId="0" applyNumberFormat="1" applyFont="1" applyFill="1">
      <alignment vertical="top"/>
    </xf>
    <xf numFmtId="37" fontId="17" fillId="6" borderId="0" xfId="0" applyNumberFormat="1" applyFont="1" applyFill="1">
      <alignment vertical="top"/>
    </xf>
    <xf numFmtId="37" fontId="12" fillId="6" borderId="0" xfId="0" applyNumberFormat="1" applyFont="1" applyFill="1" applyAlignment="1">
      <alignment horizontal="right" vertical="top"/>
    </xf>
    <xf numFmtId="37" fontId="9" fillId="6" borderId="0" xfId="0" applyNumberFormat="1" applyFont="1" applyFill="1">
      <alignment vertical="top"/>
    </xf>
    <xf numFmtId="37" fontId="9" fillId="0" borderId="0" xfId="0" applyNumberFormat="1" applyFont="1">
      <alignment vertical="top"/>
    </xf>
    <xf numFmtId="37" fontId="9" fillId="2" borderId="0" xfId="0" applyNumberFormat="1" applyFont="1" applyFill="1">
      <alignment vertical="top"/>
    </xf>
    <xf numFmtId="37" fontId="16" fillId="6" borderId="0" xfId="0" applyNumberFormat="1" applyFont="1" applyFill="1">
      <alignment vertical="top"/>
    </xf>
    <xf numFmtId="37" fontId="8" fillId="0" borderId="0" xfId="1" applyNumberFormat="1" applyFont="1">
      <alignment vertical="top"/>
    </xf>
    <xf numFmtId="37" fontId="11" fillId="0" borderId="0" xfId="1" applyNumberFormat="1" applyFont="1" applyFill="1">
      <alignment vertical="top"/>
    </xf>
    <xf numFmtId="37" fontId="8" fillId="0" borderId="0" xfId="1" applyNumberFormat="1" applyFont="1" applyFill="1">
      <alignment vertical="top"/>
    </xf>
    <xf numFmtId="37" fontId="9" fillId="0" borderId="0" xfId="0" applyNumberFormat="1" applyFont="1" applyAlignment="1">
      <alignment horizontal="right" vertical="top"/>
    </xf>
    <xf numFmtId="37" fontId="11" fillId="0" borderId="0" xfId="0" applyNumberFormat="1" applyFont="1" applyFill="1">
      <alignment vertical="top"/>
    </xf>
    <xf numFmtId="37" fontId="9" fillId="7" borderId="5" xfId="0" applyNumberFormat="1" applyFont="1" applyFill="1" applyBorder="1">
      <alignment vertical="top"/>
    </xf>
    <xf numFmtId="37" fontId="11" fillId="0" borderId="0" xfId="0" applyNumberFormat="1" applyFont="1">
      <alignment vertical="top"/>
    </xf>
    <xf numFmtId="37" fontId="12" fillId="0" borderId="0" xfId="0" applyNumberFormat="1" applyFont="1" applyFill="1">
      <alignment vertical="top"/>
    </xf>
    <xf numFmtId="37" fontId="13" fillId="0" borderId="0" xfId="0" applyNumberFormat="1" applyFont="1" applyFill="1">
      <alignment vertical="top"/>
    </xf>
    <xf numFmtId="37" fontId="9" fillId="0" borderId="0" xfId="0" applyNumberFormat="1" applyFont="1" applyFill="1" applyAlignment="1">
      <alignment horizontal="right" vertical="top"/>
    </xf>
    <xf numFmtId="37" fontId="8" fillId="0" borderId="0" xfId="0" applyNumberFormat="1" applyFont="1" applyFill="1">
      <alignment vertical="top"/>
    </xf>
    <xf numFmtId="37" fontId="9" fillId="0" borderId="0" xfId="0" applyNumberFormat="1" applyFont="1" applyFill="1">
      <alignment vertical="top"/>
    </xf>
    <xf numFmtId="37" fontId="9" fillId="0" borderId="5" xfId="0" applyNumberFormat="1" applyFont="1" applyFill="1" applyBorder="1">
      <alignment vertical="top"/>
    </xf>
    <xf numFmtId="37" fontId="12" fillId="4" borderId="0" xfId="0" applyNumberFormat="1" applyFont="1" applyFill="1">
      <alignment vertical="top"/>
    </xf>
    <xf numFmtId="37" fontId="12" fillId="2" borderId="0" xfId="0" applyNumberFormat="1" applyFont="1" applyFill="1">
      <alignment vertical="top"/>
    </xf>
    <xf numFmtId="37" fontId="17" fillId="2" borderId="0" xfId="0" applyNumberFormat="1" applyFont="1" applyFill="1">
      <alignment vertical="top"/>
    </xf>
    <xf numFmtId="37" fontId="12" fillId="2" borderId="0" xfId="0" applyNumberFormat="1" applyFont="1" applyFill="1" applyAlignment="1">
      <alignment horizontal="right" vertical="top"/>
    </xf>
    <xf numFmtId="37" fontId="9" fillId="2" borderId="0" xfId="1" applyNumberFormat="1" applyFont="1" applyFill="1">
      <alignment vertical="top"/>
    </xf>
    <xf numFmtId="165" fontId="9" fillId="0" borderId="0" xfId="3" applyFont="1" applyBorder="1">
      <alignment vertical="top"/>
    </xf>
    <xf numFmtId="39" fontId="9" fillId="7" borderId="6" xfId="0" applyNumberFormat="1" applyFont="1" applyFill="1" applyBorder="1">
      <alignment vertical="top"/>
    </xf>
    <xf numFmtId="37" fontId="9" fillId="0" borderId="6" xfId="0" applyNumberFormat="1" applyFont="1" applyFill="1" applyBorder="1">
      <alignment vertical="top"/>
    </xf>
    <xf numFmtId="39" fontId="9" fillId="0" borderId="6" xfId="0" applyNumberFormat="1" applyFont="1" applyFill="1" applyBorder="1">
      <alignment vertical="top"/>
    </xf>
    <xf numFmtId="37" fontId="9" fillId="7" borderId="0" xfId="0" applyNumberFormat="1" applyFont="1" applyFill="1" applyBorder="1">
      <alignment vertical="top"/>
    </xf>
    <xf numFmtId="37" fontId="9" fillId="7" borderId="4" xfId="0" applyNumberFormat="1" applyFont="1" applyFill="1" applyBorder="1">
      <alignment vertical="top"/>
    </xf>
    <xf numFmtId="37" fontId="9" fillId="7" borderId="2" xfId="0" applyNumberFormat="1" applyFont="1" applyFill="1" applyBorder="1">
      <alignment vertical="top"/>
    </xf>
    <xf numFmtId="166" fontId="23" fillId="0" borderId="0" xfId="0" applyFont="1">
      <alignment vertical="top"/>
    </xf>
    <xf numFmtId="166" fontId="21" fillId="2" borderId="0" xfId="0" applyFont="1" applyFill="1">
      <alignment vertical="top"/>
    </xf>
    <xf numFmtId="166" fontId="21" fillId="0" borderId="0" xfId="0" applyFont="1">
      <alignment vertical="top"/>
    </xf>
    <xf numFmtId="0" fontId="24" fillId="0" borderId="1" xfId="6" applyFont="1" applyBorder="1"/>
    <xf numFmtId="0" fontId="24" fillId="0" borderId="0" xfId="6" applyFont="1"/>
    <xf numFmtId="37" fontId="8" fillId="0" borderId="0" xfId="0" quotePrefix="1" applyNumberFormat="1" applyFont="1">
      <alignment vertical="top"/>
    </xf>
    <xf numFmtId="37" fontId="8" fillId="7" borderId="5" xfId="0" applyNumberFormat="1" applyFont="1" applyFill="1" applyBorder="1">
      <alignment vertical="top"/>
    </xf>
    <xf numFmtId="37" fontId="9" fillId="0" borderId="0" xfId="0" applyNumberFormat="1" applyFont="1" applyFill="1" applyBorder="1">
      <alignment vertical="top"/>
    </xf>
    <xf numFmtId="169" fontId="8" fillId="7" borderId="5" xfId="1" applyFont="1" applyFill="1" applyBorder="1">
      <alignment vertical="top"/>
    </xf>
    <xf numFmtId="166" fontId="11" fillId="0" borderId="0" xfId="2" applyNumberFormat="1" applyFont="1" applyFill="1">
      <alignment vertical="top"/>
    </xf>
    <xf numFmtId="166" fontId="11" fillId="0" borderId="0" xfId="0" applyFont="1">
      <alignment vertical="top"/>
    </xf>
    <xf numFmtId="169" fontId="9" fillId="7" borderId="5" xfId="1" applyFont="1" applyFill="1" applyBorder="1">
      <alignment vertical="top"/>
    </xf>
    <xf numFmtId="169" fontId="9" fillId="0" borderId="0" xfId="1" applyFont="1" applyFill="1" applyBorder="1">
      <alignment vertical="top"/>
    </xf>
    <xf numFmtId="37" fontId="9" fillId="7" borderId="3" xfId="0" applyNumberFormat="1" applyFont="1" applyFill="1" applyBorder="1">
      <alignment vertical="top"/>
    </xf>
    <xf numFmtId="37" fontId="9" fillId="7" borderId="7" xfId="0" applyNumberFormat="1" applyFont="1" applyFill="1" applyBorder="1">
      <alignment vertical="top"/>
    </xf>
    <xf numFmtId="37" fontId="8" fillId="0" borderId="0" xfId="0" quotePrefix="1" applyNumberFormat="1" applyFont="1" applyFill="1">
      <alignment vertical="top"/>
    </xf>
    <xf numFmtId="166" fontId="11" fillId="0" borderId="0" xfId="0" applyFont="1" applyFill="1">
      <alignment vertical="top"/>
    </xf>
    <xf numFmtId="39" fontId="9" fillId="7" borderId="5" xfId="0" applyNumberFormat="1" applyFont="1" applyFill="1" applyBorder="1">
      <alignment vertical="top"/>
    </xf>
    <xf numFmtId="169" fontId="8" fillId="0" borderId="0" xfId="1" applyFont="1">
      <alignment vertical="top"/>
    </xf>
    <xf numFmtId="169" fontId="12" fillId="0" borderId="0" xfId="1" applyFont="1">
      <alignment vertical="top"/>
    </xf>
    <xf numFmtId="169" fontId="13" fillId="0" borderId="0" xfId="1" applyFont="1">
      <alignment vertical="top"/>
    </xf>
    <xf numFmtId="169" fontId="9" fillId="0" borderId="0" xfId="1" applyFont="1">
      <alignment vertical="top"/>
    </xf>
    <xf numFmtId="37" fontId="25" fillId="0" borderId="0" xfId="0" applyNumberFormat="1" applyFont="1">
      <alignment vertical="top"/>
    </xf>
    <xf numFmtId="0" fontId="18" fillId="0" borderId="0" xfId="6" applyFont="1"/>
    <xf numFmtId="169" fontId="9" fillId="7" borderId="6" xfId="1" applyFont="1" applyFill="1" applyBorder="1">
      <alignment vertical="top"/>
    </xf>
    <xf numFmtId="37" fontId="9" fillId="7" borderId="6" xfId="0" applyNumberFormat="1" applyFont="1" applyFill="1" applyBorder="1">
      <alignment vertical="top"/>
    </xf>
    <xf numFmtId="169" fontId="9" fillId="7" borderId="4" xfId="1" applyFont="1" applyFill="1" applyBorder="1">
      <alignment vertical="top"/>
    </xf>
    <xf numFmtId="171" fontId="9" fillId="7" borderId="5" xfId="1" applyNumberFormat="1" applyFont="1" applyFill="1" applyBorder="1">
      <alignment vertical="top"/>
    </xf>
    <xf numFmtId="172" fontId="9" fillId="7" borderId="5" xfId="1" applyNumberFormat="1" applyFont="1" applyFill="1" applyBorder="1">
      <alignment vertical="top"/>
    </xf>
    <xf numFmtId="166" fontId="8" fillId="0" borderId="0" xfId="0" applyFont="1" applyAlignment="1"/>
    <xf numFmtId="166" fontId="26" fillId="0" borderId="0" xfId="0" applyFont="1" applyAlignment="1"/>
    <xf numFmtId="166" fontId="8" fillId="0" borderId="0" xfId="0" applyFont="1" applyFill="1" applyAlignment="1"/>
    <xf numFmtId="164" fontId="12" fillId="0" borderId="0" xfId="2" applyFont="1">
      <alignment vertical="top"/>
    </xf>
    <xf numFmtId="164" fontId="8" fillId="0" borderId="0" xfId="2" applyFont="1">
      <alignment vertical="top"/>
    </xf>
    <xf numFmtId="164" fontId="8" fillId="0" borderId="0" xfId="2" applyFont="1" applyFill="1">
      <alignment vertical="top"/>
    </xf>
    <xf numFmtId="166" fontId="12" fillId="0" borderId="0" xfId="0" applyFont="1">
      <alignment vertical="top"/>
    </xf>
    <xf numFmtId="166" fontId="13" fillId="0" borderId="0" xfId="0" applyFont="1">
      <alignment vertical="top"/>
    </xf>
    <xf numFmtId="166" fontId="8" fillId="0" borderId="0" xfId="0" applyFont="1" applyFill="1">
      <alignment vertical="top"/>
    </xf>
    <xf numFmtId="166" fontId="9" fillId="0" borderId="0" xfId="0" applyFont="1" applyFill="1">
      <alignment vertical="top"/>
    </xf>
    <xf numFmtId="173" fontId="8" fillId="0" borderId="0" xfId="0" applyNumberFormat="1" applyFont="1">
      <alignment vertical="top"/>
    </xf>
    <xf numFmtId="168" fontId="8" fillId="0" borderId="0" xfId="0" applyNumberFormat="1" applyFont="1">
      <alignment vertical="top"/>
    </xf>
    <xf numFmtId="37" fontId="27" fillId="0" borderId="0" xfId="0" applyNumberFormat="1" applyFont="1">
      <alignment vertical="top"/>
    </xf>
    <xf numFmtId="166" fontId="10" fillId="0" borderId="0" xfId="0" applyFont="1" applyFill="1">
      <alignment vertical="top"/>
    </xf>
    <xf numFmtId="37" fontId="10" fillId="0" borderId="0" xfId="0" applyNumberFormat="1" applyFont="1">
      <alignment vertical="top"/>
    </xf>
    <xf numFmtId="37" fontId="8" fillId="7" borderId="0" xfId="0" applyNumberFormat="1" applyFont="1" applyFill="1">
      <alignment vertical="top"/>
    </xf>
    <xf numFmtId="37" fontId="8" fillId="8" borderId="0" xfId="0" applyNumberFormat="1" applyFont="1" applyFill="1">
      <alignment vertical="top"/>
    </xf>
    <xf numFmtId="166" fontId="8" fillId="8" borderId="0" xfId="0" applyFont="1" applyFill="1">
      <alignment vertical="top"/>
    </xf>
    <xf numFmtId="168" fontId="8" fillId="8" borderId="0" xfId="0" applyNumberFormat="1" applyFont="1" applyFill="1">
      <alignment vertical="top"/>
    </xf>
    <xf numFmtId="164" fontId="11" fillId="0" borderId="0" xfId="2" applyFont="1">
      <alignment vertical="top"/>
    </xf>
    <xf numFmtId="39" fontId="9" fillId="0" borderId="5" xfId="0" applyNumberFormat="1" applyFont="1" applyFill="1" applyBorder="1">
      <alignment vertical="top"/>
    </xf>
    <xf numFmtId="37" fontId="8" fillId="0" borderId="0" xfId="8" applyNumberFormat="1" applyFont="1">
      <alignment vertical="top"/>
    </xf>
    <xf numFmtId="37" fontId="12" fillId="0" borderId="0" xfId="8" applyNumberFormat="1" applyFont="1">
      <alignment vertical="top"/>
    </xf>
    <xf numFmtId="37" fontId="11" fillId="0" borderId="0" xfId="8" applyNumberFormat="1" applyFont="1">
      <alignment vertical="top"/>
    </xf>
    <xf numFmtId="37" fontId="26" fillId="0" borderId="0" xfId="8" applyNumberFormat="1" applyFont="1">
      <alignment vertical="top"/>
    </xf>
    <xf numFmtId="174" fontId="8" fillId="0" borderId="0" xfId="1" applyNumberFormat="1" applyFont="1">
      <alignment vertical="top"/>
    </xf>
    <xf numFmtId="37" fontId="8" fillId="7" borderId="0" xfId="2" applyNumberFormat="1" applyFont="1" applyFill="1">
      <alignment vertical="top"/>
    </xf>
    <xf numFmtId="37" fontId="8" fillId="9" borderId="0" xfId="8" applyNumberFormat="1" applyFont="1" applyFill="1">
      <alignment vertical="top"/>
    </xf>
    <xf numFmtId="37" fontId="8" fillId="0" borderId="0" xfId="8" applyNumberFormat="1" applyFont="1" applyAlignment="1">
      <alignment horizontal="right" vertical="top"/>
    </xf>
    <xf numFmtId="37" fontId="8" fillId="0" borderId="0" xfId="2" applyNumberFormat="1" applyFont="1" applyFill="1" applyAlignment="1">
      <alignment horizontal="right" vertical="top"/>
    </xf>
    <xf numFmtId="37" fontId="8" fillId="2" borderId="0" xfId="8" applyNumberFormat="1" applyFont="1" applyFill="1">
      <alignment vertical="top"/>
    </xf>
    <xf numFmtId="37" fontId="21" fillId="0" borderId="0" xfId="1" applyNumberFormat="1" applyFont="1" applyFill="1">
      <alignment vertical="top"/>
    </xf>
    <xf numFmtId="37" fontId="9" fillId="0" borderId="0" xfId="8" applyNumberFormat="1" applyFont="1">
      <alignment vertical="top"/>
    </xf>
    <xf numFmtId="167" fontId="8" fillId="0" borderId="0" xfId="5" applyFont="1">
      <alignment vertical="top"/>
    </xf>
    <xf numFmtId="166" fontId="8" fillId="0" borderId="0" xfId="8" applyFont="1">
      <alignment vertical="top"/>
    </xf>
    <xf numFmtId="165" fontId="9" fillId="0" borderId="0" xfId="3" applyFont="1" applyFill="1">
      <alignment vertical="top"/>
    </xf>
    <xf numFmtId="164" fontId="21" fillId="7" borderId="0" xfId="2" applyFont="1" applyFill="1">
      <alignment vertical="top"/>
    </xf>
    <xf numFmtId="169" fontId="21" fillId="7" borderId="0" xfId="1" applyFont="1" applyFill="1">
      <alignment vertical="top"/>
    </xf>
    <xf numFmtId="37" fontId="8" fillId="0" borderId="8" xfId="8" applyNumberFormat="1" applyFont="1" applyBorder="1">
      <alignment vertical="top"/>
    </xf>
    <xf numFmtId="37" fontId="8" fillId="0" borderId="0" xfId="8" applyNumberFormat="1" applyFont="1" applyBorder="1">
      <alignment vertical="top"/>
    </xf>
    <xf numFmtId="37" fontId="8" fillId="0" borderId="9" xfId="8" applyNumberFormat="1" applyFont="1" applyBorder="1">
      <alignment vertical="top"/>
    </xf>
    <xf numFmtId="174" fontId="8" fillId="0" borderId="0" xfId="1" applyNumberFormat="1" applyFont="1" applyFill="1">
      <alignment vertical="top"/>
    </xf>
    <xf numFmtId="174" fontId="12" fillId="0" borderId="0" xfId="1" applyNumberFormat="1" applyFont="1">
      <alignment vertical="top"/>
    </xf>
    <xf numFmtId="166" fontId="11" fillId="0" borderId="0" xfId="8" applyFont="1">
      <alignment vertical="top"/>
    </xf>
    <xf numFmtId="166" fontId="28" fillId="0" borderId="0" xfId="8" applyFont="1">
      <alignment vertical="top"/>
    </xf>
    <xf numFmtId="166" fontId="12" fillId="0" borderId="0" xfId="8" applyFont="1">
      <alignment vertical="top"/>
    </xf>
    <xf numFmtId="166" fontId="8" fillId="0" borderId="0" xfId="8" applyFont="1" applyAlignment="1">
      <alignment horizontal="right" vertical="top"/>
    </xf>
    <xf numFmtId="166" fontId="10" fillId="0" borderId="0" xfId="8" applyFont="1">
      <alignment vertical="top"/>
    </xf>
    <xf numFmtId="169" fontId="8" fillId="7" borderId="0" xfId="1" applyFont="1" applyFill="1">
      <alignment vertical="top"/>
    </xf>
    <xf numFmtId="169" fontId="8" fillId="0" borderId="8" xfId="1" applyFont="1" applyBorder="1">
      <alignment vertical="top"/>
    </xf>
    <xf numFmtId="166" fontId="8" fillId="10" borderId="8" xfId="8" applyFont="1" applyFill="1" applyBorder="1">
      <alignment vertical="top"/>
    </xf>
    <xf numFmtId="166" fontId="8" fillId="0" borderId="8" xfId="8" applyFont="1" applyBorder="1">
      <alignment vertical="top"/>
    </xf>
    <xf numFmtId="169" fontId="8" fillId="0" borderId="0" xfId="1" applyFont="1" applyBorder="1">
      <alignment vertical="top"/>
    </xf>
    <xf numFmtId="166" fontId="8" fillId="0" borderId="0" xfId="8" applyFont="1" applyBorder="1">
      <alignment vertical="top"/>
    </xf>
    <xf numFmtId="166" fontId="8" fillId="0" borderId="0" xfId="8" applyFont="1" applyFill="1" applyBorder="1">
      <alignment vertical="top"/>
    </xf>
    <xf numFmtId="169" fontId="8" fillId="7" borderId="0" xfId="1" applyFont="1" applyFill="1" applyBorder="1">
      <alignment vertical="top"/>
    </xf>
    <xf numFmtId="169" fontId="8" fillId="0" borderId="9" xfId="1" applyFont="1" applyBorder="1">
      <alignment vertical="top"/>
    </xf>
    <xf numFmtId="166" fontId="8" fillId="0" borderId="9" xfId="8" applyFont="1" applyBorder="1">
      <alignment vertical="top"/>
    </xf>
    <xf numFmtId="166" fontId="8" fillId="7" borderId="0" xfId="8" applyFont="1" applyFill="1">
      <alignment vertical="top"/>
    </xf>
    <xf numFmtId="164" fontId="21" fillId="0" borderId="0" xfId="2" applyFont="1">
      <alignment vertical="top"/>
    </xf>
    <xf numFmtId="164" fontId="24" fillId="0" borderId="0" xfId="2" applyFont="1">
      <alignment vertical="top"/>
    </xf>
    <xf numFmtId="166" fontId="21" fillId="0" borderId="0" xfId="8" applyFont="1">
      <alignment vertical="top"/>
    </xf>
    <xf numFmtId="166" fontId="24" fillId="0" borderId="0" xfId="8" applyFont="1">
      <alignment vertical="top"/>
    </xf>
    <xf numFmtId="167" fontId="21" fillId="0" borderId="0" xfId="5" applyFont="1">
      <alignment vertical="top"/>
    </xf>
    <xf numFmtId="167" fontId="21" fillId="10" borderId="0" xfId="5" applyFont="1" applyFill="1">
      <alignment vertical="top"/>
    </xf>
    <xf numFmtId="167" fontId="24" fillId="0" borderId="0" xfId="5" applyFont="1">
      <alignment vertical="top"/>
    </xf>
    <xf numFmtId="37" fontId="28" fillId="0" borderId="0" xfId="8" applyNumberFormat="1" applyFont="1">
      <alignment vertical="top"/>
    </xf>
    <xf numFmtId="166" fontId="8" fillId="0" borderId="10" xfId="8" applyFont="1" applyBorder="1">
      <alignment vertical="top"/>
    </xf>
    <xf numFmtId="37" fontId="8" fillId="0" borderId="10" xfId="8" applyNumberFormat="1" applyFont="1" applyBorder="1">
      <alignment vertical="top"/>
    </xf>
    <xf numFmtId="37" fontId="8" fillId="0" borderId="10" xfId="2" applyNumberFormat="1" applyFont="1" applyFill="1" applyBorder="1">
      <alignment vertical="top"/>
    </xf>
    <xf numFmtId="166" fontId="8" fillId="0" borderId="0" xfId="8" applyFont="1" applyFill="1">
      <alignment vertical="top"/>
    </xf>
    <xf numFmtId="37" fontId="9" fillId="6" borderId="0" xfId="8" applyNumberFormat="1" applyFont="1" applyFill="1">
      <alignment vertical="top"/>
    </xf>
    <xf numFmtId="37" fontId="9" fillId="2" borderId="0" xfId="8" applyNumberFormat="1" applyFont="1" applyFill="1">
      <alignment vertical="top"/>
    </xf>
    <xf numFmtId="37" fontId="12" fillId="6" borderId="0" xfId="8" applyNumberFormat="1" applyFont="1" applyFill="1">
      <alignment vertical="top"/>
    </xf>
    <xf numFmtId="37" fontId="12" fillId="6" borderId="0" xfId="8" applyNumberFormat="1" applyFont="1" applyFill="1" applyAlignment="1">
      <alignment horizontal="right" vertical="top"/>
    </xf>
    <xf numFmtId="37" fontId="16" fillId="6" borderId="0" xfId="8" applyNumberFormat="1" applyFont="1" applyFill="1">
      <alignment vertical="top"/>
    </xf>
    <xf numFmtId="37" fontId="19" fillId="0" borderId="0" xfId="8" applyNumberFormat="1" applyFont="1">
      <alignment vertical="top"/>
    </xf>
    <xf numFmtId="37" fontId="12" fillId="0" borderId="0" xfId="8" applyNumberFormat="1" applyFont="1" applyAlignment="1">
      <alignment horizontal="right"/>
    </xf>
    <xf numFmtId="37" fontId="9" fillId="2" borderId="0" xfId="8" applyNumberFormat="1" applyFont="1" applyFill="1" applyAlignment="1">
      <alignment horizontal="right" vertical="top"/>
    </xf>
    <xf numFmtId="37" fontId="15" fillId="0" borderId="0" xfId="8" applyNumberFormat="1" applyFont="1" applyAlignment="1">
      <alignment horizontal="left" vertical="top"/>
    </xf>
    <xf numFmtId="164" fontId="14" fillId="3" borderId="0" xfId="2" applyFont="1" applyFill="1">
      <alignment vertical="top"/>
    </xf>
    <xf numFmtId="166" fontId="11" fillId="0" borderId="0" xfId="8" applyFont="1" applyFill="1">
      <alignment vertical="top"/>
    </xf>
    <xf numFmtId="168" fontId="12" fillId="0" borderId="0" xfId="5" applyNumberFormat="1" applyFont="1" applyFill="1">
      <alignment vertical="top"/>
    </xf>
    <xf numFmtId="168" fontId="8" fillId="0" borderId="0" xfId="5" applyNumberFormat="1" applyFont="1" applyFill="1">
      <alignment vertical="top"/>
    </xf>
    <xf numFmtId="168" fontId="11" fillId="0" borderId="0" xfId="5" applyNumberFormat="1" applyFont="1" applyFill="1">
      <alignment vertical="top"/>
    </xf>
    <xf numFmtId="39" fontId="11" fillId="0" borderId="0" xfId="8" applyNumberFormat="1" applyFont="1">
      <alignment vertical="top"/>
    </xf>
    <xf numFmtId="166" fontId="9" fillId="0" borderId="0" xfId="0" applyFont="1" applyFill="1" applyBorder="1">
      <alignment vertical="top"/>
    </xf>
    <xf numFmtId="164" fontId="11" fillId="0" borderId="0" xfId="2" applyFont="1" applyFill="1">
      <alignment vertical="top"/>
    </xf>
    <xf numFmtId="166" fontId="8" fillId="10" borderId="0" xfId="8" applyFont="1" applyFill="1">
      <alignment vertical="top"/>
    </xf>
    <xf numFmtId="166" fontId="19" fillId="10" borderId="0" xfId="8" applyFont="1" applyFill="1" applyBorder="1">
      <alignment vertical="top"/>
    </xf>
    <xf numFmtId="164" fontId="29" fillId="0" borderId="0" xfId="2" applyFont="1">
      <alignment vertical="top"/>
    </xf>
    <xf numFmtId="164" fontId="9" fillId="0" borderId="0" xfId="2" applyFont="1" applyBorder="1">
      <alignment vertical="top"/>
    </xf>
    <xf numFmtId="37" fontId="16" fillId="0" borderId="0" xfId="0" applyNumberFormat="1" applyFont="1" applyFill="1">
      <alignment vertical="top"/>
    </xf>
    <xf numFmtId="164" fontId="9" fillId="0" borderId="0" xfId="2" applyFont="1" applyFill="1" applyBorder="1">
      <alignment vertical="top"/>
    </xf>
    <xf numFmtId="164" fontId="9" fillId="0" borderId="0" xfId="2" applyFont="1">
      <alignment vertical="top"/>
    </xf>
    <xf numFmtId="169" fontId="8" fillId="0" borderId="0" xfId="1" applyFont="1" applyFill="1">
      <alignment vertical="top"/>
    </xf>
    <xf numFmtId="168" fontId="8" fillId="0" borderId="0" xfId="0" applyNumberFormat="1" applyFont="1" applyFill="1">
      <alignment vertical="top"/>
    </xf>
    <xf numFmtId="169" fontId="11" fillId="0" borderId="0" xfId="1" applyFont="1">
      <alignment vertical="top"/>
    </xf>
    <xf numFmtId="37" fontId="10" fillId="0" borderId="0" xfId="8" applyNumberFormat="1" applyFont="1">
      <alignment vertical="top"/>
    </xf>
    <xf numFmtId="164" fontId="28" fillId="0" borderId="0" xfId="2" applyFont="1">
      <alignment vertical="top"/>
    </xf>
    <xf numFmtId="166" fontId="29" fillId="0" borderId="0" xfId="8" applyFont="1">
      <alignment vertical="top"/>
    </xf>
    <xf numFmtId="167" fontId="29" fillId="0" borderId="0" xfId="5" applyFont="1">
      <alignment vertical="top"/>
    </xf>
    <xf numFmtId="37" fontId="24" fillId="0" borderId="0" xfId="8" applyNumberFormat="1" applyFont="1">
      <alignment vertical="top"/>
    </xf>
    <xf numFmtId="37" fontId="24" fillId="6" borderId="0" xfId="8" applyNumberFormat="1" applyFont="1" applyFill="1">
      <alignment vertical="top"/>
    </xf>
    <xf numFmtId="168" fontId="24" fillId="0" borderId="0" xfId="5" applyNumberFormat="1" applyFont="1" applyFill="1">
      <alignment vertical="top"/>
    </xf>
    <xf numFmtId="174" fontId="24" fillId="0" borderId="0" xfId="1" applyNumberFormat="1" applyFont="1">
      <alignment vertical="top"/>
    </xf>
    <xf numFmtId="166" fontId="28" fillId="0" borderId="0" xfId="0" applyFont="1">
      <alignment vertical="top"/>
    </xf>
    <xf numFmtId="166" fontId="30" fillId="0" borderId="0" xfId="0" applyFont="1">
      <alignment vertical="top"/>
    </xf>
    <xf numFmtId="164" fontId="13" fillId="0" borderId="0" xfId="2" applyFont="1">
      <alignment vertical="top"/>
    </xf>
    <xf numFmtId="164" fontId="9" fillId="2" borderId="0" xfId="2" applyFont="1" applyFill="1">
      <alignment vertical="top"/>
    </xf>
    <xf numFmtId="164" fontId="9" fillId="7" borderId="6" xfId="2" applyFont="1" applyFill="1" applyBorder="1">
      <alignment vertical="top"/>
    </xf>
    <xf numFmtId="166" fontId="21" fillId="0" borderId="0" xfId="8" applyFont="1" applyFill="1">
      <alignment vertical="top"/>
    </xf>
    <xf numFmtId="166" fontId="24" fillId="0" borderId="0" xfId="0" applyFont="1">
      <alignment vertical="top"/>
    </xf>
    <xf numFmtId="166" fontId="21" fillId="0" borderId="0" xfId="0" applyFont="1" applyFill="1">
      <alignment vertical="top"/>
    </xf>
    <xf numFmtId="166" fontId="29" fillId="0" borderId="0" xfId="0" applyFont="1">
      <alignment vertical="top"/>
    </xf>
    <xf numFmtId="169" fontId="21" fillId="0" borderId="0" xfId="1" applyFont="1">
      <alignment vertical="top"/>
    </xf>
    <xf numFmtId="169" fontId="10" fillId="7" borderId="0" xfId="1" applyFont="1" applyFill="1">
      <alignment vertical="top"/>
    </xf>
    <xf numFmtId="169" fontId="21" fillId="0" borderId="0" xfId="1" applyFont="1" applyFill="1">
      <alignment vertical="top"/>
    </xf>
    <xf numFmtId="166" fontId="21" fillId="7" borderId="0" xfId="8" applyFont="1" applyFill="1">
      <alignment vertical="top"/>
    </xf>
    <xf numFmtId="166" fontId="21" fillId="7" borderId="0" xfId="8" applyFont="1" applyFill="1" applyAlignment="1">
      <alignment horizontal="right" vertical="top"/>
    </xf>
    <xf numFmtId="166" fontId="21" fillId="0" borderId="0" xfId="8" applyFont="1" applyFill="1" applyAlignment="1">
      <alignment horizontal="right" vertical="top"/>
    </xf>
    <xf numFmtId="37" fontId="10" fillId="0" borderId="0" xfId="2" applyNumberFormat="1" applyFont="1" applyFill="1">
      <alignment vertical="top"/>
    </xf>
    <xf numFmtId="166" fontId="8" fillId="8" borderId="0" xfId="8" applyFont="1" applyFill="1">
      <alignment vertical="top"/>
    </xf>
    <xf numFmtId="166" fontId="29" fillId="0" borderId="10" xfId="8" applyFont="1" applyBorder="1">
      <alignment vertical="top"/>
    </xf>
    <xf numFmtId="37" fontId="24" fillId="0" borderId="10" xfId="8" applyNumberFormat="1" applyFont="1" applyBorder="1">
      <alignment vertical="top"/>
    </xf>
    <xf numFmtId="166" fontId="21" fillId="0" borderId="10" xfId="8" applyFont="1" applyBorder="1">
      <alignment vertical="top"/>
    </xf>
    <xf numFmtId="166" fontId="21" fillId="0" borderId="10" xfId="8" applyFont="1" applyFill="1" applyBorder="1">
      <alignment vertical="top"/>
    </xf>
    <xf numFmtId="166" fontId="24" fillId="0" borderId="10" xfId="8" applyFont="1" applyBorder="1">
      <alignment vertical="top"/>
    </xf>
    <xf numFmtId="166" fontId="30" fillId="0" borderId="0" xfId="8" applyFont="1">
      <alignment vertical="top"/>
    </xf>
    <xf numFmtId="166" fontId="12" fillId="0" borderId="10" xfId="8" applyFont="1" applyBorder="1">
      <alignment vertical="top"/>
    </xf>
    <xf numFmtId="175" fontId="9" fillId="2" borderId="0" xfId="5" applyNumberFormat="1" applyFont="1" applyFill="1">
      <alignment vertical="top"/>
    </xf>
    <xf numFmtId="166" fontId="12" fillId="0" borderId="10" xfId="0" applyFont="1" applyBorder="1">
      <alignment vertical="top"/>
    </xf>
    <xf numFmtId="166" fontId="24" fillId="0" borderId="10" xfId="0" applyFont="1" applyBorder="1">
      <alignment vertical="top"/>
    </xf>
    <xf numFmtId="166" fontId="8" fillId="0" borderId="10" xfId="0" applyFont="1" applyBorder="1">
      <alignment vertical="top"/>
    </xf>
    <xf numFmtId="166" fontId="9" fillId="8" borderId="0" xfId="0" applyFont="1" applyFill="1">
      <alignment vertical="top"/>
    </xf>
    <xf numFmtId="166" fontId="8" fillId="0" borderId="10" xfId="0" applyFont="1" applyFill="1" applyBorder="1">
      <alignment vertical="top"/>
    </xf>
    <xf numFmtId="37" fontId="16" fillId="0" borderId="0" xfId="8" applyNumberFormat="1" applyFont="1" applyFill="1">
      <alignment vertical="top"/>
    </xf>
    <xf numFmtId="37" fontId="12" fillId="0" borderId="0" xfId="8" applyNumberFormat="1" applyFont="1" applyFill="1">
      <alignment vertical="top"/>
    </xf>
    <xf numFmtId="37" fontId="24" fillId="0" borderId="0" xfId="8" applyNumberFormat="1" applyFont="1" applyFill="1">
      <alignment vertical="top"/>
    </xf>
    <xf numFmtId="37" fontId="12" fillId="0" borderId="0" xfId="8" applyNumberFormat="1" applyFont="1" applyFill="1" applyAlignment="1">
      <alignment horizontal="right" vertical="top"/>
    </xf>
    <xf numFmtId="37" fontId="9" fillId="0" borderId="0" xfId="8" applyNumberFormat="1" applyFont="1" applyFill="1">
      <alignment vertical="top"/>
    </xf>
    <xf numFmtId="37" fontId="26" fillId="8" borderId="0" xfId="8" applyNumberFormat="1" applyFont="1" applyFill="1">
      <alignment vertical="top"/>
    </xf>
    <xf numFmtId="37" fontId="12" fillId="12" borderId="0" xfId="8" applyNumberFormat="1" applyFont="1" applyFill="1">
      <alignment vertical="top"/>
    </xf>
    <xf numFmtId="37" fontId="24" fillId="12" borderId="0" xfId="8" applyNumberFormat="1" applyFont="1" applyFill="1">
      <alignment vertical="top"/>
    </xf>
    <xf numFmtId="37" fontId="8" fillId="12" borderId="0" xfId="8" applyNumberFormat="1" applyFont="1" applyFill="1">
      <alignment vertical="top"/>
    </xf>
    <xf numFmtId="37" fontId="8" fillId="12" borderId="0" xfId="2" applyNumberFormat="1" applyFont="1" applyFill="1">
      <alignment vertical="top"/>
    </xf>
    <xf numFmtId="37" fontId="8" fillId="8" borderId="0" xfId="8" applyNumberFormat="1" applyFont="1" applyFill="1">
      <alignment vertical="top"/>
    </xf>
    <xf numFmtId="164" fontId="12" fillId="0" borderId="10" xfId="2" applyFont="1" applyBorder="1">
      <alignment vertical="top"/>
    </xf>
    <xf numFmtId="164" fontId="13" fillId="0" borderId="10" xfId="2" applyFont="1" applyBorder="1">
      <alignment vertical="top"/>
    </xf>
    <xf numFmtId="164" fontId="8" fillId="0" borderId="10" xfId="2" applyFont="1" applyBorder="1">
      <alignment vertical="top"/>
    </xf>
    <xf numFmtId="164" fontId="8" fillId="0" borderId="10" xfId="2" applyFont="1" applyFill="1" applyBorder="1">
      <alignment vertical="top"/>
    </xf>
    <xf numFmtId="164" fontId="9" fillId="0" borderId="10" xfId="2" applyFont="1" applyFill="1" applyBorder="1">
      <alignment vertical="top"/>
    </xf>
    <xf numFmtId="166" fontId="19" fillId="0" borderId="0" xfId="0" applyFont="1">
      <alignment vertical="top"/>
    </xf>
    <xf numFmtId="164" fontId="8" fillId="7" borderId="0" xfId="2" applyFont="1" applyFill="1">
      <alignment vertical="top"/>
    </xf>
    <xf numFmtId="166" fontId="8" fillId="12" borderId="0" xfId="8" applyFont="1" applyFill="1">
      <alignment vertical="top"/>
    </xf>
    <xf numFmtId="166" fontId="8" fillId="11" borderId="0" xfId="8" applyFont="1" applyFill="1">
      <alignment vertical="top"/>
    </xf>
    <xf numFmtId="166" fontId="8" fillId="10" borderId="0" xfId="8" applyFont="1" applyFill="1" applyBorder="1">
      <alignment vertical="top"/>
    </xf>
    <xf numFmtId="37" fontId="31" fillId="0" borderId="0" xfId="0" applyNumberFormat="1" applyFont="1">
      <alignment vertical="top"/>
    </xf>
    <xf numFmtId="37" fontId="18" fillId="0" borderId="0" xfId="0" applyNumberFormat="1" applyFont="1">
      <alignment vertical="top"/>
    </xf>
    <xf numFmtId="37" fontId="31" fillId="0" borderId="0" xfId="2" applyNumberFormat="1" applyFont="1" applyFill="1" applyBorder="1">
      <alignment vertical="top"/>
    </xf>
    <xf numFmtId="177" fontId="16" fillId="6" borderId="0" xfId="0" applyNumberFormat="1" applyFont="1" applyFill="1">
      <alignment vertical="top"/>
    </xf>
    <xf numFmtId="177" fontId="12" fillId="6" borderId="0" xfId="0" applyNumberFormat="1" applyFont="1" applyFill="1">
      <alignment vertical="top"/>
    </xf>
    <xf numFmtId="177" fontId="12" fillId="4" borderId="0" xfId="0" applyNumberFormat="1" applyFont="1" applyFill="1">
      <alignment vertical="top"/>
    </xf>
    <xf numFmtId="37" fontId="10" fillId="0" borderId="0" xfId="0" applyNumberFormat="1" applyFont="1" applyAlignment="1">
      <alignment horizontal="right" vertical="top"/>
    </xf>
    <xf numFmtId="37" fontId="10" fillId="0" borderId="0" xfId="0" applyNumberFormat="1" applyFont="1" applyFill="1">
      <alignment vertical="top"/>
    </xf>
    <xf numFmtId="37" fontId="10" fillId="7" borderId="5" xfId="0" applyNumberFormat="1" applyFont="1" applyFill="1" applyBorder="1">
      <alignment vertical="top"/>
    </xf>
    <xf numFmtId="177" fontId="12" fillId="0" borderId="0" xfId="0" applyNumberFormat="1" applyFont="1">
      <alignment vertical="top"/>
    </xf>
    <xf numFmtId="177" fontId="13" fillId="0" borderId="0" xfId="0" applyNumberFormat="1" applyFont="1">
      <alignment vertical="top"/>
    </xf>
    <xf numFmtId="177" fontId="9" fillId="0" borderId="0" xfId="0" applyNumberFormat="1" applyFont="1" applyAlignment="1">
      <alignment horizontal="right" vertical="top"/>
    </xf>
    <xf numFmtId="177" fontId="9" fillId="0" borderId="0" xfId="0" applyNumberFormat="1" applyFont="1">
      <alignment vertical="top"/>
    </xf>
    <xf numFmtId="37" fontId="10" fillId="7" borderId="6" xfId="0" applyNumberFormat="1" applyFont="1" applyFill="1" applyBorder="1">
      <alignment vertical="top"/>
    </xf>
    <xf numFmtId="0" fontId="18" fillId="0" borderId="0" xfId="6" applyFont="1" applyBorder="1"/>
    <xf numFmtId="177" fontId="16" fillId="0" borderId="0" xfId="0" applyNumberFormat="1" applyFont="1" applyFill="1">
      <alignment vertical="top"/>
    </xf>
    <xf numFmtId="177" fontId="12" fillId="0" borderId="0" xfId="0" applyNumberFormat="1" applyFont="1" applyFill="1">
      <alignment vertical="top"/>
    </xf>
    <xf numFmtId="177" fontId="21" fillId="0" borderId="0" xfId="0" applyNumberFormat="1" applyFont="1" applyFill="1">
      <alignment vertical="top"/>
    </xf>
    <xf numFmtId="177" fontId="24" fillId="0" borderId="0" xfId="0" applyNumberFormat="1" applyFont="1" applyFill="1">
      <alignment vertical="top"/>
    </xf>
    <xf numFmtId="177" fontId="32" fillId="0" borderId="0" xfId="0" applyNumberFormat="1" applyFont="1" applyFill="1">
      <alignment vertical="top"/>
    </xf>
    <xf numFmtId="177" fontId="9" fillId="0" borderId="0" xfId="0" applyNumberFormat="1" applyFont="1" applyFill="1">
      <alignment vertical="top"/>
    </xf>
    <xf numFmtId="177" fontId="11" fillId="0" borderId="0" xfId="0" applyNumberFormat="1" applyFont="1" applyFill="1">
      <alignment vertical="top"/>
    </xf>
    <xf numFmtId="169" fontId="11" fillId="0" borderId="0" xfId="1" applyFont="1" applyFill="1">
      <alignment vertical="top"/>
    </xf>
    <xf numFmtId="169" fontId="9" fillId="0" borderId="0" xfId="1" applyFont="1" applyFill="1">
      <alignment vertical="top"/>
    </xf>
    <xf numFmtId="166" fontId="8" fillId="0" borderId="0" xfId="0" applyFont="1" applyFill="1" applyBorder="1">
      <alignment vertical="top"/>
    </xf>
    <xf numFmtId="37" fontId="31" fillId="0" borderId="0" xfId="0" applyNumberFormat="1" applyFont="1" applyFill="1">
      <alignment vertical="top"/>
    </xf>
    <xf numFmtId="37" fontId="18" fillId="0" borderId="0" xfId="0" applyNumberFormat="1" applyFont="1" applyFill="1">
      <alignment vertical="top"/>
    </xf>
    <xf numFmtId="37" fontId="10" fillId="0" borderId="0" xfId="0" applyNumberFormat="1" applyFont="1" applyFill="1" applyAlignment="1">
      <alignment horizontal="right" vertical="top"/>
    </xf>
    <xf numFmtId="177" fontId="10" fillId="0" borderId="0" xfId="0" applyNumberFormat="1" applyFont="1">
      <alignment vertical="top"/>
    </xf>
    <xf numFmtId="167" fontId="11" fillId="0" borderId="0" xfId="1" applyNumberFormat="1" applyFont="1" applyFill="1">
      <alignment vertical="top"/>
    </xf>
    <xf numFmtId="177" fontId="31" fillId="0" borderId="0" xfId="0" applyNumberFormat="1" applyFont="1">
      <alignment vertical="top"/>
    </xf>
    <xf numFmtId="177" fontId="18" fillId="0" borderId="0" xfId="0" applyNumberFormat="1" applyFont="1">
      <alignment vertical="top"/>
    </xf>
    <xf numFmtId="177" fontId="10" fillId="0" borderId="0" xfId="0" applyNumberFormat="1" applyFont="1" applyAlignment="1">
      <alignment horizontal="right" vertical="top"/>
    </xf>
    <xf numFmtId="177" fontId="10" fillId="0" borderId="0" xfId="0" applyNumberFormat="1" applyFont="1" applyFill="1">
      <alignment vertical="top"/>
    </xf>
    <xf numFmtId="169" fontId="21" fillId="8" borderId="0" xfId="1" applyFont="1" applyFill="1">
      <alignment vertical="top"/>
    </xf>
    <xf numFmtId="166" fontId="21" fillId="8" borderId="0" xfId="8" applyFont="1" applyFill="1">
      <alignment vertical="top"/>
    </xf>
    <xf numFmtId="37" fontId="24" fillId="0" borderId="0" xfId="0" applyNumberFormat="1" applyFont="1">
      <alignment vertical="top"/>
    </xf>
    <xf numFmtId="37" fontId="21" fillId="0" borderId="0" xfId="0" applyNumberFormat="1" applyFont="1">
      <alignment vertical="top"/>
    </xf>
    <xf numFmtId="37" fontId="21" fillId="0" borderId="0" xfId="2" applyNumberFormat="1" applyFont="1" applyFill="1" applyBorder="1">
      <alignment vertical="top"/>
    </xf>
    <xf numFmtId="37" fontId="9" fillId="0" borderId="0" xfId="2" applyNumberFormat="1" applyFont="1" applyFill="1" applyBorder="1">
      <alignment vertical="top"/>
    </xf>
    <xf numFmtId="37" fontId="21" fillId="8" borderId="0" xfId="0" applyNumberFormat="1" applyFont="1" applyFill="1">
      <alignment vertical="top"/>
    </xf>
    <xf numFmtId="178" fontId="8" fillId="7" borderId="0" xfId="2" applyNumberFormat="1" applyFont="1" applyFill="1">
      <alignment vertical="top"/>
    </xf>
    <xf numFmtId="39" fontId="8" fillId="7" borderId="0" xfId="0" applyNumberFormat="1" applyFont="1" applyFill="1">
      <alignment vertical="top"/>
    </xf>
    <xf numFmtId="166" fontId="8" fillId="7" borderId="0" xfId="0" applyFont="1" applyFill="1">
      <alignment vertical="top"/>
    </xf>
    <xf numFmtId="37" fontId="28" fillId="0" borderId="0" xfId="0" applyNumberFormat="1" applyFont="1">
      <alignment vertical="top"/>
    </xf>
    <xf numFmtId="37" fontId="30" fillId="0" borderId="0" xfId="0" applyNumberFormat="1" applyFont="1">
      <alignment vertical="top"/>
    </xf>
    <xf numFmtId="37" fontId="8" fillId="8" borderId="0" xfId="2" applyNumberFormat="1" applyFont="1" applyFill="1">
      <alignment vertical="top"/>
    </xf>
    <xf numFmtId="164" fontId="11" fillId="10" borderId="0" xfId="2" applyFont="1" applyFill="1">
      <alignment vertical="top"/>
    </xf>
    <xf numFmtId="37" fontId="8" fillId="10" borderId="0" xfId="0" applyNumberFormat="1" applyFont="1" applyFill="1">
      <alignment vertical="top"/>
    </xf>
    <xf numFmtId="37" fontId="8" fillId="10" borderId="0" xfId="2" applyNumberFormat="1" applyFont="1" applyFill="1">
      <alignment vertical="top"/>
    </xf>
    <xf numFmtId="166" fontId="8" fillId="10" borderId="0" xfId="0" applyFont="1" applyFill="1">
      <alignment vertical="top"/>
    </xf>
    <xf numFmtId="164" fontId="21" fillId="10" borderId="0" xfId="2" applyFont="1" applyFill="1">
      <alignment vertical="top"/>
    </xf>
    <xf numFmtId="164" fontId="8" fillId="10" borderId="0" xfId="2" applyFont="1" applyFill="1">
      <alignment vertical="top"/>
    </xf>
    <xf numFmtId="39" fontId="8" fillId="8" borderId="0" xfId="0" applyNumberFormat="1" applyFont="1" applyFill="1">
      <alignment vertical="top"/>
    </xf>
    <xf numFmtId="166" fontId="11" fillId="0" borderId="0" xfId="0" applyFont="1" applyFill="1" applyAlignment="1">
      <alignment horizontal="right" vertical="top"/>
    </xf>
    <xf numFmtId="177" fontId="29" fillId="0" borderId="0" xfId="0" applyNumberFormat="1" applyFont="1" applyFill="1">
      <alignment vertical="top"/>
    </xf>
    <xf numFmtId="177" fontId="29" fillId="0" borderId="0" xfId="0" applyNumberFormat="1" applyFont="1">
      <alignment vertical="top"/>
    </xf>
    <xf numFmtId="37" fontId="13" fillId="0" borderId="0" xfId="8" applyNumberFormat="1" applyFont="1">
      <alignment vertical="top"/>
    </xf>
    <xf numFmtId="37" fontId="9" fillId="0" borderId="0" xfId="2" applyNumberFormat="1" applyFont="1" applyFill="1">
      <alignment vertical="top"/>
    </xf>
    <xf numFmtId="164" fontId="9" fillId="3" borderId="0" xfId="2" applyFont="1" applyFill="1">
      <alignment vertical="top"/>
    </xf>
    <xf numFmtId="177" fontId="17" fillId="6" borderId="0" xfId="0" applyNumberFormat="1" applyFont="1" applyFill="1">
      <alignment vertical="top"/>
    </xf>
    <xf numFmtId="177" fontId="9" fillId="0" borderId="0" xfId="2" applyNumberFormat="1" applyFont="1" applyFill="1">
      <alignment vertical="top"/>
    </xf>
    <xf numFmtId="166" fontId="9" fillId="0" borderId="0" xfId="8" applyFont="1" applyFill="1">
      <alignment vertical="top"/>
    </xf>
    <xf numFmtId="166" fontId="13" fillId="0" borderId="10" xfId="0" applyFont="1" applyBorder="1">
      <alignment vertical="top"/>
    </xf>
    <xf numFmtId="166" fontId="9" fillId="0" borderId="10" xfId="0" applyFont="1" applyBorder="1">
      <alignment vertical="top"/>
    </xf>
    <xf numFmtId="166" fontId="15" fillId="0" borderId="0" xfId="0" applyFont="1">
      <alignment vertical="top"/>
    </xf>
    <xf numFmtId="177" fontId="17" fillId="0" borderId="0" xfId="0" applyNumberFormat="1" applyFont="1" applyFill="1">
      <alignment vertical="top"/>
    </xf>
    <xf numFmtId="177" fontId="13" fillId="0" borderId="0" xfId="0" applyNumberFormat="1" applyFont="1" applyFill="1">
      <alignment vertical="top"/>
    </xf>
    <xf numFmtId="169" fontId="13" fillId="0" borderId="0" xfId="1" applyFont="1" applyFill="1">
      <alignment vertical="top"/>
    </xf>
    <xf numFmtId="37" fontId="13" fillId="6" borderId="0" xfId="8" applyNumberFormat="1" applyFont="1" applyFill="1">
      <alignment vertical="top"/>
    </xf>
    <xf numFmtId="37" fontId="9" fillId="8" borderId="0" xfId="0" applyNumberFormat="1" applyFont="1" applyFill="1">
      <alignment vertical="top"/>
    </xf>
    <xf numFmtId="166" fontId="9" fillId="0" borderId="0" xfId="0" applyFont="1" applyFill="1" applyAlignment="1">
      <alignment horizontal="right" vertical="top"/>
    </xf>
    <xf numFmtId="177" fontId="9" fillId="7" borderId="0" xfId="0" applyNumberFormat="1" applyFont="1" applyFill="1" applyAlignment="1">
      <alignment horizontal="right" vertical="top"/>
    </xf>
    <xf numFmtId="177" fontId="9" fillId="0" borderId="0" xfId="0" applyNumberFormat="1" applyFont="1" applyFill="1" applyAlignment="1">
      <alignment horizontal="right" vertical="top"/>
    </xf>
    <xf numFmtId="166" fontId="9" fillId="0" borderId="0" xfId="8" applyFont="1">
      <alignment vertical="top"/>
    </xf>
    <xf numFmtId="169" fontId="9" fillId="7" borderId="0" xfId="1" applyFont="1" applyFill="1">
      <alignment vertical="top"/>
    </xf>
    <xf numFmtId="166" fontId="13" fillId="0" borderId="0" xfId="8" applyFont="1">
      <alignment vertical="top"/>
    </xf>
    <xf numFmtId="164" fontId="9" fillId="0" borderId="0" xfId="2" applyFont="1" applyFill="1">
      <alignment vertical="top"/>
    </xf>
    <xf numFmtId="166" fontId="9" fillId="0" borderId="10" xfId="8" applyFont="1" applyBorder="1">
      <alignment vertical="top"/>
    </xf>
    <xf numFmtId="37" fontId="13" fillId="0" borderId="0" xfId="8" applyNumberFormat="1" applyFont="1" applyFill="1">
      <alignment vertical="top"/>
    </xf>
    <xf numFmtId="166" fontId="9" fillId="7" borderId="0" xfId="8" applyFont="1" applyFill="1" applyAlignment="1">
      <alignment horizontal="right" vertical="top"/>
    </xf>
    <xf numFmtId="164" fontId="9" fillId="7" borderId="0" xfId="2" applyFont="1" applyFill="1">
      <alignment vertical="top"/>
    </xf>
    <xf numFmtId="166" fontId="9" fillId="0" borderId="0" xfId="8" applyFont="1" applyFill="1" applyAlignment="1">
      <alignment horizontal="right" vertical="top"/>
    </xf>
    <xf numFmtId="37" fontId="13" fillId="0" borderId="10" xfId="8" applyNumberFormat="1" applyFont="1" applyBorder="1">
      <alignment vertical="top"/>
    </xf>
    <xf numFmtId="166" fontId="9" fillId="0" borderId="10" xfId="8" applyFont="1" applyFill="1" applyBorder="1">
      <alignment vertical="top"/>
    </xf>
    <xf numFmtId="166" fontId="13" fillId="0" borderId="10" xfId="8" applyFont="1" applyBorder="1">
      <alignment vertical="top"/>
    </xf>
    <xf numFmtId="166" fontId="9" fillId="0" borderId="9" xfId="8" applyFont="1" applyBorder="1">
      <alignment vertical="top"/>
    </xf>
    <xf numFmtId="166" fontId="9" fillId="0" borderId="0" xfId="8" applyFont="1" applyBorder="1">
      <alignment vertical="top"/>
    </xf>
    <xf numFmtId="166" fontId="9" fillId="0" borderId="0" xfId="8" applyFont="1" applyFill="1" applyBorder="1">
      <alignment vertical="top"/>
    </xf>
    <xf numFmtId="166" fontId="9" fillId="0" borderId="8" xfId="8" applyFont="1" applyBorder="1">
      <alignment vertical="top"/>
    </xf>
    <xf numFmtId="166" fontId="9" fillId="10" borderId="8" xfId="8" applyFont="1" applyFill="1" applyBorder="1">
      <alignment vertical="top"/>
    </xf>
    <xf numFmtId="169" fontId="9" fillId="7" borderId="0" xfId="1" applyFont="1" applyFill="1" applyBorder="1">
      <alignment vertical="top"/>
    </xf>
    <xf numFmtId="166" fontId="9" fillId="10" borderId="0" xfId="8" applyFont="1" applyFill="1">
      <alignment vertical="top"/>
    </xf>
    <xf numFmtId="166" fontId="9" fillId="0" borderId="10" xfId="0" applyFont="1" applyFill="1" applyBorder="1">
      <alignment vertical="top"/>
    </xf>
    <xf numFmtId="37" fontId="9" fillId="0" borderId="0" xfId="1" applyNumberFormat="1" applyFont="1" applyFill="1">
      <alignment vertical="top"/>
    </xf>
    <xf numFmtId="166" fontId="9" fillId="0" borderId="0" xfId="2" applyNumberFormat="1" applyFont="1" applyFill="1">
      <alignment vertical="top"/>
    </xf>
    <xf numFmtId="167" fontId="9" fillId="0" borderId="0" xfId="5" applyFont="1">
      <alignment vertical="top"/>
    </xf>
    <xf numFmtId="37" fontId="9" fillId="0" borderId="0" xfId="8" applyNumberFormat="1" applyFont="1" applyAlignment="1">
      <alignment horizontal="right" vertical="top"/>
    </xf>
    <xf numFmtId="37" fontId="16" fillId="0" borderId="0" xfId="8" applyNumberFormat="1" applyFont="1">
      <alignment vertical="top"/>
    </xf>
    <xf numFmtId="177" fontId="16" fillId="0" borderId="0" xfId="0" applyNumberFormat="1" applyFont="1">
      <alignment vertical="top"/>
    </xf>
    <xf numFmtId="166" fontId="16" fillId="0" borderId="10" xfId="0" applyFont="1" applyBorder="1">
      <alignment vertical="top"/>
    </xf>
    <xf numFmtId="166" fontId="16" fillId="0" borderId="0" xfId="0" applyFont="1">
      <alignment vertical="top"/>
    </xf>
    <xf numFmtId="164" fontId="16" fillId="0" borderId="0" xfId="2" applyFont="1">
      <alignment vertical="top"/>
    </xf>
    <xf numFmtId="166" fontId="32" fillId="0" borderId="0" xfId="0" applyFont="1">
      <alignment vertical="top"/>
    </xf>
    <xf numFmtId="169" fontId="32" fillId="0" borderId="0" xfId="1" applyFont="1" applyFill="1">
      <alignment vertical="top"/>
    </xf>
    <xf numFmtId="166" fontId="16" fillId="0" borderId="0" xfId="8" applyFont="1">
      <alignment vertical="top"/>
    </xf>
    <xf numFmtId="166" fontId="16" fillId="0" borderId="10" xfId="8" applyFont="1" applyBorder="1">
      <alignment vertical="top"/>
    </xf>
    <xf numFmtId="177" fontId="32" fillId="10" borderId="0" xfId="0" applyNumberFormat="1" applyFont="1" applyFill="1">
      <alignment vertical="top"/>
    </xf>
    <xf numFmtId="177" fontId="9" fillId="10" borderId="0" xfId="0" applyNumberFormat="1" applyFont="1" applyFill="1">
      <alignment vertical="top"/>
    </xf>
    <xf numFmtId="177" fontId="13" fillId="10" borderId="0" xfId="0" applyNumberFormat="1" applyFont="1" applyFill="1">
      <alignment vertical="top"/>
    </xf>
    <xf numFmtId="169" fontId="12" fillId="0" borderId="0" xfId="1" applyFont="1" applyFill="1">
      <alignment vertical="top"/>
    </xf>
    <xf numFmtId="166" fontId="12" fillId="0" borderId="0" xfId="0" applyFont="1" applyFill="1">
      <alignment vertical="top"/>
    </xf>
    <xf numFmtId="177" fontId="12" fillId="10" borderId="0" xfId="0" applyNumberFormat="1" applyFont="1" applyFill="1">
      <alignment vertical="top"/>
    </xf>
    <xf numFmtId="177" fontId="28" fillId="0" borderId="0" xfId="0" applyNumberFormat="1" applyFont="1" applyFill="1">
      <alignment vertical="top"/>
    </xf>
    <xf numFmtId="177" fontId="30" fillId="0" borderId="0" xfId="0" applyNumberFormat="1" applyFont="1" applyFill="1">
      <alignment vertical="top"/>
    </xf>
    <xf numFmtId="37" fontId="30" fillId="0" borderId="0" xfId="8" applyNumberFormat="1" applyFont="1">
      <alignment vertical="top"/>
    </xf>
    <xf numFmtId="174" fontId="9" fillId="0" borderId="0" xfId="1" applyNumberFormat="1" applyFont="1" applyFill="1">
      <alignment vertical="top"/>
    </xf>
    <xf numFmtId="178" fontId="8" fillId="8" borderId="0" xfId="2" applyNumberFormat="1" applyFont="1" applyFill="1">
      <alignment vertical="top"/>
    </xf>
    <xf numFmtId="178" fontId="8" fillId="0" borderId="0" xfId="2" applyNumberFormat="1" applyFont="1">
      <alignment vertical="top"/>
    </xf>
    <xf numFmtId="166" fontId="32" fillId="0" borderId="0" xfId="0" applyFont="1" applyFill="1">
      <alignment vertical="top"/>
    </xf>
    <xf numFmtId="166" fontId="13" fillId="0" borderId="0" xfId="0" applyFont="1" applyFill="1">
      <alignment vertical="top"/>
    </xf>
    <xf numFmtId="166" fontId="28" fillId="0" borderId="0" xfId="0" applyFont="1" applyFill="1">
      <alignment vertical="top"/>
    </xf>
    <xf numFmtId="166" fontId="30" fillId="0" borderId="0" xfId="0" applyFont="1" applyFill="1">
      <alignment vertical="top"/>
    </xf>
    <xf numFmtId="166" fontId="9" fillId="0" borderId="0" xfId="0" applyFont="1" applyAlignment="1">
      <alignment horizontal="right" vertical="top"/>
    </xf>
    <xf numFmtId="168" fontId="32" fillId="0" borderId="0" xfId="0" applyNumberFormat="1" applyFont="1">
      <alignment vertical="top"/>
    </xf>
    <xf numFmtId="168" fontId="12" fillId="0" borderId="0" xfId="0" applyNumberFormat="1" applyFont="1">
      <alignment vertical="top"/>
    </xf>
    <xf numFmtId="168" fontId="13" fillId="0" borderId="0" xfId="0" applyNumberFormat="1" applyFont="1">
      <alignment vertical="top"/>
    </xf>
    <xf numFmtId="168" fontId="9" fillId="0" borderId="0" xfId="0" applyNumberFormat="1" applyFont="1">
      <alignment vertical="top"/>
    </xf>
    <xf numFmtId="177" fontId="32" fillId="0" borderId="0" xfId="0" applyNumberFormat="1" applyFont="1">
      <alignment vertical="top"/>
    </xf>
    <xf numFmtId="37" fontId="11" fillId="7" borderId="0" xfId="8" applyNumberFormat="1" applyFont="1" applyFill="1" applyAlignment="1">
      <alignment horizontal="right" vertical="top"/>
    </xf>
    <xf numFmtId="37" fontId="21" fillId="0" borderId="0" xfId="8" applyNumberFormat="1" applyFont="1" applyFill="1">
      <alignment vertical="top"/>
    </xf>
    <xf numFmtId="167" fontId="21" fillId="0" borderId="0" xfId="5" applyFont="1" applyFill="1">
      <alignment vertical="top"/>
    </xf>
    <xf numFmtId="166" fontId="11" fillId="8" borderId="0" xfId="0" applyFont="1" applyFill="1">
      <alignment vertical="top"/>
    </xf>
    <xf numFmtId="166" fontId="9" fillId="7" borderId="0" xfId="0" applyFont="1" applyFill="1">
      <alignment vertical="top"/>
    </xf>
    <xf numFmtId="37" fontId="29" fillId="12" borderId="0" xfId="8" applyNumberFormat="1" applyFont="1" applyFill="1">
      <alignment vertical="top"/>
    </xf>
    <xf numFmtId="37" fontId="21" fillId="12" borderId="0" xfId="8" applyNumberFormat="1" applyFont="1" applyFill="1">
      <alignment vertical="top"/>
    </xf>
    <xf numFmtId="37" fontId="21" fillId="12" borderId="0" xfId="2" applyNumberFormat="1" applyFont="1" applyFill="1">
      <alignment vertical="top"/>
    </xf>
    <xf numFmtId="166" fontId="21" fillId="12" borderId="0" xfId="8" applyFont="1" applyFill="1">
      <alignment vertical="top"/>
    </xf>
    <xf numFmtId="166" fontId="24" fillId="0" borderId="0" xfId="0" applyFont="1" applyFill="1">
      <alignment vertical="top"/>
    </xf>
    <xf numFmtId="166" fontId="16" fillId="0" borderId="0" xfId="0" applyFont="1" applyFill="1">
      <alignment vertical="top"/>
    </xf>
    <xf numFmtId="37" fontId="9" fillId="6" borderId="0" xfId="8" applyNumberFormat="1" applyFont="1" applyFill="1" applyAlignment="1">
      <alignment horizontal="right" vertical="top"/>
    </xf>
    <xf numFmtId="37" fontId="9" fillId="0" borderId="0" xfId="8" applyNumberFormat="1" applyFont="1" applyFill="1" applyAlignment="1">
      <alignment horizontal="right" vertical="top"/>
    </xf>
    <xf numFmtId="166" fontId="16" fillId="10" borderId="0" xfId="0" applyFont="1" applyFill="1">
      <alignment vertical="top"/>
    </xf>
    <xf numFmtId="166" fontId="12" fillId="10" borderId="0" xfId="0" applyFont="1" applyFill="1">
      <alignment vertical="top"/>
    </xf>
    <xf numFmtId="166" fontId="13" fillId="10" borderId="0" xfId="0" applyFont="1" applyFill="1">
      <alignment vertical="top"/>
    </xf>
    <xf numFmtId="166" fontId="9" fillId="10" borderId="0" xfId="0" applyFont="1" applyFill="1">
      <alignment vertical="top"/>
    </xf>
    <xf numFmtId="166" fontId="9" fillId="7" borderId="0" xfId="0" applyFont="1" applyFill="1" applyAlignment="1">
      <alignment horizontal="right" vertical="top"/>
    </xf>
    <xf numFmtId="37" fontId="9" fillId="10" borderId="0" xfId="8" applyNumberFormat="1" applyFont="1" applyFill="1">
      <alignment vertical="top"/>
    </xf>
    <xf numFmtId="166" fontId="16" fillId="0" borderId="10" xfId="0" applyFont="1" applyFill="1" applyBorder="1">
      <alignment vertical="top"/>
    </xf>
    <xf numFmtId="166" fontId="12" fillId="0" borderId="10" xfId="0" applyFont="1" applyFill="1" applyBorder="1">
      <alignment vertical="top"/>
    </xf>
    <xf numFmtId="166" fontId="13" fillId="0" borderId="10" xfId="0" applyFont="1" applyFill="1" applyBorder="1">
      <alignment vertical="top"/>
    </xf>
    <xf numFmtId="37" fontId="9" fillId="0" borderId="10" xfId="8" applyNumberFormat="1" applyFont="1" applyFill="1" applyBorder="1">
      <alignment vertical="top"/>
    </xf>
    <xf numFmtId="166" fontId="27" fillId="0" borderId="0" xfId="0" applyFont="1">
      <alignment vertical="top"/>
    </xf>
    <xf numFmtId="166" fontId="14" fillId="0" borderId="0" xfId="0" applyFont="1">
      <alignment vertical="top"/>
    </xf>
    <xf numFmtId="166" fontId="14" fillId="3" borderId="0" xfId="0" applyFont="1" applyFill="1">
      <alignment vertical="top"/>
    </xf>
    <xf numFmtId="166" fontId="15" fillId="0" borderId="0" xfId="0" applyFont="1" applyBorder="1">
      <alignment vertical="top"/>
    </xf>
    <xf numFmtId="166" fontId="12" fillId="0" borderId="0" xfId="0" applyFont="1" applyFill="1" applyBorder="1">
      <alignment vertical="top"/>
    </xf>
    <xf numFmtId="166" fontId="16" fillId="6" borderId="0" xfId="0" applyFont="1" applyFill="1">
      <alignment vertical="top"/>
    </xf>
    <xf numFmtId="166" fontId="12" fillId="6" borderId="0" xfId="0" applyFont="1" applyFill="1">
      <alignment vertical="top"/>
    </xf>
    <xf numFmtId="166" fontId="17" fillId="6" borderId="0" xfId="0" applyFont="1" applyFill="1">
      <alignment vertical="top"/>
    </xf>
    <xf numFmtId="166" fontId="9" fillId="6" borderId="0" xfId="0" applyFont="1" applyFill="1">
      <alignment vertical="top"/>
    </xf>
    <xf numFmtId="166" fontId="12" fillId="12" borderId="0" xfId="0" applyFont="1" applyFill="1">
      <alignment vertical="top"/>
    </xf>
    <xf numFmtId="166" fontId="11" fillId="10" borderId="0" xfId="0" applyFont="1" applyFill="1">
      <alignment vertical="top"/>
    </xf>
    <xf numFmtId="37" fontId="36" fillId="0" borderId="0" xfId="8" applyNumberFormat="1" applyFont="1">
      <alignment vertical="top"/>
    </xf>
    <xf numFmtId="169" fontId="36" fillId="0" borderId="0" xfId="1" applyFont="1">
      <alignment vertical="top"/>
    </xf>
    <xf numFmtId="169" fontId="16" fillId="0" borderId="0" xfId="1" applyFont="1">
      <alignment vertical="top"/>
    </xf>
    <xf numFmtId="37" fontId="21" fillId="0" borderId="0" xfId="0" applyNumberFormat="1" applyFont="1" applyFill="1">
      <alignment vertical="top"/>
    </xf>
    <xf numFmtId="166" fontId="31" fillId="0" borderId="0" xfId="0" applyFont="1">
      <alignment vertical="top"/>
    </xf>
    <xf numFmtId="164" fontId="36" fillId="0" borderId="0" xfId="2" applyFont="1">
      <alignment vertical="top"/>
    </xf>
    <xf numFmtId="164" fontId="30" fillId="0" borderId="0" xfId="2" applyFont="1">
      <alignment vertical="top"/>
    </xf>
    <xf numFmtId="164" fontId="36" fillId="0" borderId="0" xfId="2" applyFont="1" applyFill="1">
      <alignment vertical="top"/>
    </xf>
    <xf numFmtId="166" fontId="36" fillId="0" borderId="0" xfId="0" applyFont="1" applyFill="1">
      <alignment vertical="top"/>
    </xf>
    <xf numFmtId="166" fontId="9" fillId="0" borderId="9" xfId="0" applyFont="1" applyFill="1" applyBorder="1">
      <alignment vertical="top"/>
    </xf>
    <xf numFmtId="166" fontId="9" fillId="0" borderId="8" xfId="0" applyFont="1" applyFill="1" applyBorder="1">
      <alignment vertical="top"/>
    </xf>
    <xf numFmtId="166" fontId="9" fillId="10" borderId="8" xfId="0" applyFont="1" applyFill="1" applyBorder="1">
      <alignment vertical="top"/>
    </xf>
    <xf numFmtId="179" fontId="9" fillId="0" borderId="0" xfId="1" applyNumberFormat="1" applyFont="1">
      <alignment vertical="top"/>
    </xf>
    <xf numFmtId="166" fontId="8" fillId="13" borderId="0" xfId="0" applyFont="1" applyFill="1">
      <alignment vertical="top"/>
    </xf>
    <xf numFmtId="17" fontId="35" fillId="13" borderId="0" xfId="0" applyNumberFormat="1" applyFont="1" applyFill="1">
      <alignment vertical="top"/>
    </xf>
    <xf numFmtId="166" fontId="37" fillId="13" borderId="0" xfId="0" applyFont="1" applyFill="1">
      <alignment vertical="top"/>
    </xf>
    <xf numFmtId="169" fontId="36" fillId="0" borderId="0" xfId="1" applyFont="1" applyFill="1">
      <alignment vertical="top"/>
    </xf>
    <xf numFmtId="166" fontId="9" fillId="7" borderId="0" xfId="0" applyFont="1" applyFill="1" applyBorder="1" applyAlignment="1">
      <alignment horizontal="right" vertical="top"/>
    </xf>
    <xf numFmtId="177" fontId="9" fillId="7" borderId="0" xfId="0" applyNumberFormat="1" applyFont="1" applyFill="1" applyBorder="1" applyAlignment="1">
      <alignment horizontal="right" vertical="top"/>
    </xf>
    <xf numFmtId="37" fontId="12" fillId="0" borderId="10" xfId="0" applyNumberFormat="1" applyFont="1" applyBorder="1">
      <alignment vertical="top"/>
    </xf>
    <xf numFmtId="37" fontId="13" fillId="0" borderId="10" xfId="0" applyNumberFormat="1" applyFont="1" applyBorder="1">
      <alignment vertical="top"/>
    </xf>
    <xf numFmtId="37" fontId="8" fillId="0" borderId="10" xfId="0" applyNumberFormat="1" applyFont="1" applyBorder="1">
      <alignment vertical="top"/>
    </xf>
    <xf numFmtId="37" fontId="9" fillId="0" borderId="10" xfId="0" applyNumberFormat="1" applyFont="1" applyFill="1" applyBorder="1">
      <alignment vertical="top"/>
    </xf>
    <xf numFmtId="166" fontId="9" fillId="7" borderId="5" xfId="0" applyFont="1" applyFill="1" applyBorder="1">
      <alignment vertical="top"/>
    </xf>
    <xf numFmtId="166" fontId="9" fillId="0" borderId="0" xfId="0" applyFont="1" applyBorder="1">
      <alignment vertical="top"/>
    </xf>
    <xf numFmtId="166" fontId="26" fillId="0" borderId="0" xfId="0" applyFont="1">
      <alignment vertical="top"/>
    </xf>
    <xf numFmtId="164" fontId="12" fillId="0" borderId="0" xfId="2" applyFont="1" applyFill="1">
      <alignment vertical="top"/>
    </xf>
    <xf numFmtId="37" fontId="29" fillId="0" borderId="0" xfId="8" applyNumberFormat="1" applyFont="1" applyFill="1">
      <alignment vertical="top"/>
    </xf>
    <xf numFmtId="37" fontId="21" fillId="0" borderId="0" xfId="8" applyNumberFormat="1" applyFont="1" applyFill="1" applyAlignment="1">
      <alignment horizontal="right" vertical="top"/>
    </xf>
    <xf numFmtId="37" fontId="32" fillId="0" borderId="0" xfId="8" applyNumberFormat="1" applyFont="1" applyFill="1">
      <alignment vertical="top"/>
    </xf>
    <xf numFmtId="164" fontId="13" fillId="0" borderId="0" xfId="2" applyFont="1" applyFill="1">
      <alignment vertical="top"/>
    </xf>
    <xf numFmtId="164" fontId="16" fillId="0" borderId="0" xfId="2" applyFont="1" applyFill="1">
      <alignment vertical="top"/>
    </xf>
    <xf numFmtId="37" fontId="10" fillId="0" borderId="0" xfId="8" applyNumberFormat="1" applyFont="1" applyFill="1">
      <alignment vertical="top"/>
    </xf>
    <xf numFmtId="166" fontId="10" fillId="0" borderId="0" xfId="8" applyFont="1" applyFill="1">
      <alignment vertical="top"/>
    </xf>
    <xf numFmtId="167" fontId="9" fillId="0" borderId="0" xfId="0" applyNumberFormat="1" applyFont="1" applyFill="1">
      <alignment vertical="top"/>
    </xf>
    <xf numFmtId="166" fontId="39" fillId="0" borderId="0" xfId="0" applyFont="1">
      <alignment vertical="top"/>
    </xf>
    <xf numFmtId="166" fontId="26" fillId="0" borderId="10" xfId="0" applyFont="1" applyBorder="1">
      <alignment vertical="top"/>
    </xf>
    <xf numFmtId="37" fontId="9" fillId="0" borderId="10" xfId="8" applyNumberFormat="1" applyFont="1" applyBorder="1">
      <alignment vertical="top"/>
    </xf>
    <xf numFmtId="37" fontId="9" fillId="0" borderId="10" xfId="2" applyNumberFormat="1" applyFont="1" applyFill="1" applyBorder="1">
      <alignment vertical="top"/>
    </xf>
    <xf numFmtId="164" fontId="9" fillId="10" borderId="0" xfId="2" applyFont="1" applyFill="1">
      <alignment vertical="top"/>
    </xf>
    <xf numFmtId="166" fontId="32" fillId="13" borderId="0" xfId="0" applyFont="1" applyFill="1">
      <alignment vertical="top"/>
    </xf>
    <xf numFmtId="37" fontId="9" fillId="13" borderId="0" xfId="8" applyNumberFormat="1" applyFont="1" applyFill="1">
      <alignment vertical="top"/>
    </xf>
    <xf numFmtId="164" fontId="32" fillId="13" borderId="0" xfId="2" applyFont="1" applyFill="1">
      <alignment vertical="top"/>
    </xf>
    <xf numFmtId="166" fontId="32" fillId="15" borderId="0" xfId="0" applyFont="1" applyFill="1">
      <alignment vertical="top"/>
    </xf>
    <xf numFmtId="37" fontId="9" fillId="15" borderId="0" xfId="8" applyNumberFormat="1" applyFont="1" applyFill="1">
      <alignment vertical="top"/>
    </xf>
    <xf numFmtId="37" fontId="9" fillId="15" borderId="0" xfId="2" applyNumberFormat="1" applyFont="1" applyFill="1">
      <alignment vertical="top"/>
    </xf>
    <xf numFmtId="37" fontId="32" fillId="15" borderId="0" xfId="8" applyNumberFormat="1" applyFont="1" applyFill="1">
      <alignment vertical="top"/>
    </xf>
    <xf numFmtId="37" fontId="32" fillId="15" borderId="0" xfId="2" applyNumberFormat="1" applyFont="1" applyFill="1">
      <alignment vertical="top"/>
    </xf>
    <xf numFmtId="164" fontId="32" fillId="15" borderId="0" xfId="2" applyFont="1" applyFill="1">
      <alignment vertical="top"/>
    </xf>
    <xf numFmtId="166" fontId="32" fillId="15" borderId="0" xfId="8" applyFont="1" applyFill="1">
      <alignment vertical="top"/>
    </xf>
    <xf numFmtId="37" fontId="9" fillId="13" borderId="0" xfId="2" applyNumberFormat="1" applyFont="1" applyFill="1">
      <alignment vertical="top"/>
    </xf>
    <xf numFmtId="164" fontId="9" fillId="13" borderId="0" xfId="2" applyFont="1" applyFill="1">
      <alignment vertical="top"/>
    </xf>
    <xf numFmtId="166" fontId="32" fillId="13" borderId="0" xfId="0" applyFont="1" applyFill="1" applyAlignment="1">
      <alignment horizontal="right" vertical="top"/>
    </xf>
    <xf numFmtId="166" fontId="16" fillId="0" borderId="0" xfId="8" applyFont="1" applyFill="1">
      <alignment vertical="top"/>
    </xf>
    <xf numFmtId="166" fontId="12" fillId="0" borderId="0" xfId="8" applyFont="1" applyFill="1">
      <alignment vertical="top"/>
    </xf>
    <xf numFmtId="166" fontId="13" fillId="0" borderId="0" xfId="8" applyFont="1" applyFill="1">
      <alignment vertical="top"/>
    </xf>
    <xf numFmtId="164" fontId="9" fillId="3" borderId="0" xfId="2" applyFont="1" applyFill="1" applyAlignment="1">
      <alignment horizontal="right" vertical="top"/>
    </xf>
    <xf numFmtId="166" fontId="9" fillId="0" borderId="9" xfId="0" applyFont="1" applyBorder="1">
      <alignment vertical="top"/>
    </xf>
    <xf numFmtId="164" fontId="32" fillId="13" borderId="0" xfId="2" applyFont="1" applyFill="1" applyAlignment="1">
      <alignment horizontal="right" vertical="top"/>
    </xf>
    <xf numFmtId="37" fontId="32" fillId="15" borderId="0" xfId="8" applyNumberFormat="1" applyFont="1" applyFill="1" applyAlignment="1">
      <alignment horizontal="right" vertical="top"/>
    </xf>
    <xf numFmtId="164" fontId="32" fillId="15" borderId="0" xfId="2" applyFont="1" applyFill="1" applyAlignment="1">
      <alignment horizontal="right" vertical="top"/>
    </xf>
    <xf numFmtId="37" fontId="9" fillId="10" borderId="0" xfId="2" applyNumberFormat="1" applyFont="1" applyFill="1">
      <alignment vertical="top"/>
    </xf>
    <xf numFmtId="166" fontId="35" fillId="13" borderId="0" xfId="0" applyFont="1" applyFill="1">
      <alignment vertical="top"/>
    </xf>
    <xf numFmtId="164" fontId="11" fillId="0" borderId="0" xfId="0" applyNumberFormat="1" applyFont="1">
      <alignment vertical="top"/>
    </xf>
    <xf numFmtId="37" fontId="31" fillId="0" borderId="0" xfId="8" applyNumberFormat="1" applyFont="1">
      <alignment vertical="top"/>
    </xf>
    <xf numFmtId="37" fontId="18" fillId="0" borderId="0" xfId="8" applyNumberFormat="1" applyFont="1">
      <alignment vertical="top"/>
    </xf>
    <xf numFmtId="37" fontId="10" fillId="10" borderId="0" xfId="8" applyNumberFormat="1" applyFont="1" applyFill="1">
      <alignment vertical="top"/>
    </xf>
    <xf numFmtId="37" fontId="10" fillId="10" borderId="0" xfId="2" applyNumberFormat="1" applyFont="1" applyFill="1">
      <alignment vertical="top"/>
    </xf>
    <xf numFmtId="166" fontId="3" fillId="0" borderId="0" xfId="0" applyFont="1">
      <alignment vertical="top"/>
    </xf>
    <xf numFmtId="166" fontId="18" fillId="0" borderId="0" xfId="0" applyFont="1">
      <alignment vertical="top"/>
    </xf>
    <xf numFmtId="37" fontId="10" fillId="0" borderId="0" xfId="8" applyNumberFormat="1" applyFont="1" applyAlignment="1">
      <alignment horizontal="left" vertical="top"/>
    </xf>
    <xf numFmtId="37" fontId="10" fillId="2" borderId="0" xfId="8" applyNumberFormat="1" applyFont="1" applyFill="1">
      <alignment vertical="top"/>
    </xf>
    <xf numFmtId="166" fontId="10" fillId="13" borderId="0" xfId="0" applyFont="1" applyFill="1">
      <alignment vertical="top"/>
    </xf>
    <xf numFmtId="164" fontId="11" fillId="3" borderId="0" xfId="2" applyFont="1" applyFill="1">
      <alignment vertical="top"/>
    </xf>
    <xf numFmtId="37" fontId="27" fillId="0" borderId="0" xfId="8" applyNumberFormat="1" applyFont="1">
      <alignment vertical="top"/>
    </xf>
    <xf numFmtId="166" fontId="32" fillId="14" borderId="0" xfId="0" applyFont="1" applyFill="1">
      <alignment vertical="top"/>
    </xf>
    <xf numFmtId="166" fontId="8" fillId="0" borderId="0" xfId="0" applyFont="1" applyAlignment="1">
      <alignment vertical="center" wrapText="1"/>
    </xf>
    <xf numFmtId="166" fontId="19" fillId="0" borderId="0" xfId="0" applyFont="1" applyAlignment="1">
      <alignment horizontal="center" vertical="center" wrapText="1"/>
    </xf>
    <xf numFmtId="169" fontId="19" fillId="0" borderId="0" xfId="1" applyFont="1">
      <alignment vertical="top"/>
    </xf>
    <xf numFmtId="166" fontId="8" fillId="10" borderId="14" xfId="0" applyFont="1" applyFill="1" applyBorder="1">
      <alignment vertical="top"/>
    </xf>
    <xf numFmtId="166" fontId="8" fillId="7" borderId="5" xfId="0" applyFont="1" applyFill="1" applyBorder="1">
      <alignment vertical="top"/>
    </xf>
    <xf numFmtId="166" fontId="25" fillId="0" borderId="0" xfId="0" applyFont="1" applyFill="1" applyBorder="1">
      <alignment vertical="top"/>
    </xf>
    <xf numFmtId="166" fontId="25" fillId="10" borderId="5" xfId="0" applyFont="1" applyFill="1" applyBorder="1">
      <alignment vertical="top"/>
    </xf>
    <xf numFmtId="166" fontId="19" fillId="0" borderId="0" xfId="0" applyFont="1" applyFill="1" applyBorder="1">
      <alignment vertical="top"/>
    </xf>
    <xf numFmtId="164" fontId="8" fillId="10" borderId="13" xfId="2" applyFont="1" applyFill="1" applyBorder="1">
      <alignment vertical="top"/>
    </xf>
    <xf numFmtId="166" fontId="8" fillId="0" borderId="14" xfId="0" applyFont="1" applyBorder="1">
      <alignment vertical="top"/>
    </xf>
    <xf numFmtId="166" fontId="25" fillId="10" borderId="15" xfId="0" applyFont="1" applyFill="1" applyBorder="1">
      <alignment vertical="top"/>
    </xf>
    <xf numFmtId="166" fontId="25" fillId="10" borderId="16" xfId="0" applyFont="1" applyFill="1" applyBorder="1">
      <alignment vertical="top"/>
    </xf>
    <xf numFmtId="166" fontId="25" fillId="10" borderId="13" xfId="0" applyFont="1" applyFill="1" applyBorder="1">
      <alignment vertical="top"/>
    </xf>
    <xf numFmtId="164" fontId="8" fillId="10" borderId="14" xfId="2" applyFont="1" applyFill="1" applyBorder="1">
      <alignment vertical="top"/>
    </xf>
    <xf numFmtId="166" fontId="8" fillId="7" borderId="17" xfId="0" applyFont="1" applyFill="1" applyBorder="1">
      <alignment vertical="top"/>
    </xf>
    <xf numFmtId="166" fontId="8" fillId="10" borderId="16" xfId="0" applyFont="1" applyFill="1" applyBorder="1">
      <alignment vertical="top"/>
    </xf>
    <xf numFmtId="166" fontId="40" fillId="0" borderId="0" xfId="0" applyFont="1">
      <alignment vertical="top"/>
    </xf>
    <xf numFmtId="166" fontId="41" fillId="0" borderId="0" xfId="0" applyFont="1">
      <alignment vertical="top"/>
    </xf>
    <xf numFmtId="166" fontId="42" fillId="2" borderId="0" xfId="0" applyFont="1" applyFill="1" applyAlignment="1">
      <alignment vertical="top" wrapText="1"/>
    </xf>
    <xf numFmtId="169" fontId="8" fillId="2" borderId="0" xfId="1" applyFont="1" applyFill="1" applyBorder="1">
      <alignment vertical="top"/>
    </xf>
    <xf numFmtId="169" fontId="43" fillId="2" borderId="0" xfId="1" applyFont="1" applyFill="1" applyBorder="1">
      <alignment vertical="top"/>
    </xf>
    <xf numFmtId="166" fontId="44" fillId="0" borderId="0" xfId="0" applyFont="1">
      <alignment vertical="top"/>
    </xf>
    <xf numFmtId="166" fontId="45" fillId="0" borderId="0" xfId="0" applyFont="1">
      <alignment vertical="top"/>
    </xf>
    <xf numFmtId="166" fontId="10" fillId="10" borderId="0" xfId="0" applyFont="1" applyFill="1">
      <alignment vertical="top"/>
    </xf>
    <xf numFmtId="166" fontId="26" fillId="10" borderId="0" xfId="0" applyFont="1" applyFill="1">
      <alignment vertical="top"/>
    </xf>
    <xf numFmtId="166" fontId="8" fillId="0" borderId="0" xfId="0" quotePrefix="1" applyFont="1">
      <alignment vertical="top"/>
    </xf>
    <xf numFmtId="166" fontId="20" fillId="0" borderId="0" xfId="6" applyNumberFormat="1" applyFont="1" applyAlignment="1">
      <alignment vertical="top"/>
    </xf>
    <xf numFmtId="166" fontId="8" fillId="0" borderId="0" xfId="0" applyFont="1" applyAlignment="1">
      <alignment vertical="top" wrapText="1"/>
    </xf>
    <xf numFmtId="164" fontId="9" fillId="7" borderId="0" xfId="2" applyFont="1" applyFill="1" applyBorder="1">
      <alignment vertical="top"/>
    </xf>
    <xf numFmtId="37" fontId="11" fillId="0" borderId="0" xfId="8" applyNumberFormat="1" applyFont="1" applyFill="1">
      <alignment vertical="top"/>
    </xf>
    <xf numFmtId="37" fontId="9" fillId="7" borderId="0" xfId="8" applyNumberFormat="1" applyFont="1" applyFill="1" applyBorder="1" applyAlignment="1">
      <alignment horizontal="right" vertical="top"/>
    </xf>
    <xf numFmtId="37" fontId="29" fillId="0" borderId="0" xfId="0" applyNumberFormat="1" applyFont="1">
      <alignment vertical="top"/>
    </xf>
    <xf numFmtId="37" fontId="9" fillId="7" borderId="0" xfId="8" applyNumberFormat="1" applyFont="1" applyFill="1" applyAlignment="1">
      <alignment horizontal="right"/>
    </xf>
    <xf numFmtId="37" fontId="11" fillId="0" borderId="0" xfId="8" applyNumberFormat="1" applyFont="1" applyFill="1" applyAlignment="1">
      <alignment horizontal="right"/>
    </xf>
    <xf numFmtId="166" fontId="21" fillId="8" borderId="0" xfId="0" applyFont="1" applyFill="1">
      <alignment vertical="top"/>
    </xf>
    <xf numFmtId="37" fontId="21" fillId="0" borderId="0" xfId="2" applyNumberFormat="1" applyFont="1" applyFill="1">
      <alignment vertical="top"/>
    </xf>
    <xf numFmtId="166" fontId="21" fillId="7" borderId="0" xfId="0" applyFont="1" applyFill="1" applyAlignment="1">
      <alignment horizontal="right" vertical="top"/>
    </xf>
    <xf numFmtId="166" fontId="11" fillId="0" borderId="0" xfId="8" applyFont="1" applyFill="1" applyAlignment="1">
      <alignment horizontal="right" vertical="top"/>
    </xf>
    <xf numFmtId="37" fontId="11" fillId="0" borderId="5" xfId="8" applyNumberFormat="1" applyFont="1" applyFill="1" applyBorder="1">
      <alignment vertical="top"/>
    </xf>
    <xf numFmtId="37" fontId="11" fillId="0" borderId="5" xfId="8" applyNumberFormat="1" applyFont="1" applyFill="1" applyBorder="1" applyAlignment="1">
      <alignment horizontal="right" vertical="top"/>
    </xf>
    <xf numFmtId="177" fontId="11" fillId="0" borderId="0" xfId="0" applyNumberFormat="1" applyFont="1" applyFill="1" applyAlignment="1">
      <alignment horizontal="right" vertical="top"/>
    </xf>
    <xf numFmtId="37" fontId="11" fillId="0" borderId="0" xfId="0" applyNumberFormat="1" applyFont="1" applyFill="1" applyAlignment="1">
      <alignment horizontal="right" vertical="top"/>
    </xf>
    <xf numFmtId="39" fontId="8" fillId="2" borderId="0" xfId="8" applyNumberFormat="1" applyFont="1" applyFill="1">
      <alignment vertical="top"/>
    </xf>
    <xf numFmtId="169" fontId="11" fillId="0" borderId="0" xfId="1" applyFont="1" applyFill="1" applyBorder="1">
      <alignment vertical="top"/>
    </xf>
    <xf numFmtId="37" fontId="10" fillId="2" borderId="0" xfId="0" applyNumberFormat="1" applyFont="1" applyFill="1">
      <alignment vertical="top"/>
    </xf>
    <xf numFmtId="166" fontId="0" fillId="2" borderId="0" xfId="0" applyFill="1">
      <alignment vertical="top"/>
    </xf>
    <xf numFmtId="166" fontId="46" fillId="0" borderId="0" xfId="0" applyFont="1">
      <alignment vertical="top"/>
    </xf>
    <xf numFmtId="164" fontId="10" fillId="0" borderId="0" xfId="2" applyFont="1" applyFill="1">
      <alignment vertical="top"/>
    </xf>
    <xf numFmtId="177" fontId="11" fillId="0" borderId="0" xfId="0" applyNumberFormat="1" applyFont="1">
      <alignment vertical="top"/>
    </xf>
    <xf numFmtId="180" fontId="28" fillId="0" borderId="0" xfId="0" applyNumberFormat="1" applyFont="1" applyAlignment="1">
      <alignment horizontal="right"/>
    </xf>
    <xf numFmtId="164" fontId="10" fillId="0" borderId="0" xfId="2" applyFont="1">
      <alignment vertical="top"/>
    </xf>
    <xf numFmtId="166" fontId="47" fillId="3" borderId="0" xfId="0" applyFont="1" applyFill="1" applyAlignment="1">
      <alignment horizontal="center" vertical="top"/>
    </xf>
    <xf numFmtId="166" fontId="47" fillId="0" borderId="0" xfId="0" applyFont="1">
      <alignment vertical="top"/>
    </xf>
    <xf numFmtId="166" fontId="48" fillId="0" borderId="0" xfId="0" applyFont="1">
      <alignment vertical="top"/>
    </xf>
    <xf numFmtId="166" fontId="10" fillId="0" borderId="10" xfId="0" applyFont="1" applyBorder="1">
      <alignment vertical="top"/>
    </xf>
    <xf numFmtId="181" fontId="8" fillId="0" borderId="0" xfId="0" applyNumberFormat="1" applyFont="1">
      <alignment vertical="top"/>
    </xf>
    <xf numFmtId="166" fontId="11" fillId="0" borderId="0" xfId="0" applyFont="1" applyAlignment="1">
      <alignment horizontal="right"/>
    </xf>
    <xf numFmtId="167" fontId="11" fillId="0" borderId="0" xfId="0" applyNumberFormat="1" applyFont="1" applyAlignment="1">
      <alignment horizontal="right"/>
    </xf>
    <xf numFmtId="177" fontId="11" fillId="0" borderId="0" xfId="0" applyNumberFormat="1" applyFont="1" applyAlignment="1">
      <alignment horizontal="right"/>
    </xf>
    <xf numFmtId="180" fontId="11" fillId="0" borderId="0" xfId="0" applyNumberFormat="1" applyFont="1" applyAlignment="1">
      <alignment horizontal="right"/>
    </xf>
    <xf numFmtId="37" fontId="11" fillId="0" borderId="0" xfId="0" applyNumberFormat="1" applyFont="1" applyAlignment="1">
      <alignment horizontal="right"/>
    </xf>
    <xf numFmtId="164" fontId="10" fillId="3" borderId="0" xfId="2" applyFont="1" applyFill="1">
      <alignment vertical="top"/>
    </xf>
    <xf numFmtId="179" fontId="11" fillId="0" borderId="0" xfId="0" applyNumberFormat="1" applyFont="1" applyAlignment="1">
      <alignment horizontal="right"/>
    </xf>
    <xf numFmtId="166" fontId="9" fillId="0" borderId="0" xfId="0" applyFont="1" applyAlignment="1">
      <alignment horizontal="right"/>
    </xf>
    <xf numFmtId="179" fontId="9" fillId="0" borderId="0" xfId="0" applyNumberFormat="1" applyFont="1" applyAlignment="1">
      <alignment horizontal="right"/>
    </xf>
    <xf numFmtId="166" fontId="21" fillId="0" borderId="0" xfId="0" applyFont="1" applyAlignment="1">
      <alignment horizontal="right"/>
    </xf>
    <xf numFmtId="179" fontId="21" fillId="0" borderId="0" xfId="0" applyNumberFormat="1" applyFont="1" applyAlignment="1">
      <alignment horizontal="right"/>
    </xf>
    <xf numFmtId="166" fontId="46" fillId="0" borderId="0" xfId="3" applyNumberFormat="1" applyFont="1">
      <alignment vertical="top"/>
    </xf>
    <xf numFmtId="165" fontId="47" fillId="0" borderId="0" xfId="3" applyFont="1">
      <alignment vertical="top"/>
    </xf>
    <xf numFmtId="182" fontId="47" fillId="0" borderId="0" xfId="3" applyNumberFormat="1" applyFont="1">
      <alignment vertical="top"/>
    </xf>
    <xf numFmtId="166" fontId="11" fillId="3" borderId="0" xfId="0" applyFont="1" applyFill="1">
      <alignment vertical="top"/>
    </xf>
    <xf numFmtId="37" fontId="49" fillId="0" borderId="0" xfId="0" applyNumberFormat="1" applyFont="1" applyAlignment="1">
      <alignment horizontal="left" vertical="top"/>
    </xf>
    <xf numFmtId="166" fontId="2" fillId="2" borderId="0" xfId="0" applyFont="1" applyFill="1">
      <alignment vertical="top"/>
    </xf>
    <xf numFmtId="176" fontId="11" fillId="3" borderId="0" xfId="8" applyNumberFormat="1" applyFont="1" applyFill="1" applyAlignment="1">
      <alignment horizontal="right" vertical="top"/>
    </xf>
    <xf numFmtId="166" fontId="11" fillId="3" borderId="0" xfId="0" applyFont="1" applyFill="1" applyAlignment="1">
      <alignment horizontal="right" vertical="top"/>
    </xf>
    <xf numFmtId="164" fontId="9" fillId="0" borderId="0" xfId="8" applyNumberFormat="1" applyFont="1">
      <alignment vertical="top"/>
    </xf>
    <xf numFmtId="164" fontId="9" fillId="0" borderId="0" xfId="3" applyNumberFormat="1" applyFont="1" applyFill="1">
      <alignment vertical="top"/>
    </xf>
    <xf numFmtId="37" fontId="9" fillId="0" borderId="0" xfId="3" applyNumberFormat="1" applyFont="1" applyFill="1">
      <alignment vertical="top"/>
    </xf>
    <xf numFmtId="176" fontId="9" fillId="0" borderId="0" xfId="8" applyNumberFormat="1" applyFont="1">
      <alignment vertical="top"/>
    </xf>
    <xf numFmtId="169" fontId="9" fillId="7" borderId="18" xfId="1" applyFont="1" applyFill="1" applyBorder="1">
      <alignment vertical="top"/>
    </xf>
    <xf numFmtId="0" fontId="9" fillId="0" borderId="0" xfId="0" applyNumberFormat="1" applyFont="1">
      <alignment vertical="top"/>
    </xf>
    <xf numFmtId="166" fontId="31" fillId="0" borderId="0" xfId="0" applyFont="1" applyFill="1">
      <alignment vertical="top"/>
    </xf>
    <xf numFmtId="166" fontId="18" fillId="0" borderId="0" xfId="0" applyFont="1" applyFill="1">
      <alignment vertical="top"/>
    </xf>
    <xf numFmtId="166" fontId="31" fillId="0" borderId="10" xfId="0" applyFont="1" applyFill="1" applyBorder="1">
      <alignment vertical="top"/>
    </xf>
    <xf numFmtId="166" fontId="18" fillId="0" borderId="10" xfId="0" applyFont="1" applyFill="1" applyBorder="1">
      <alignment vertical="top"/>
    </xf>
    <xf numFmtId="166" fontId="10" fillId="0" borderId="10" xfId="0" applyFont="1" applyFill="1" applyBorder="1">
      <alignment vertical="top"/>
    </xf>
    <xf numFmtId="37" fontId="10" fillId="0" borderId="10" xfId="8" applyNumberFormat="1" applyFont="1" applyFill="1" applyBorder="1">
      <alignment vertical="top"/>
    </xf>
    <xf numFmtId="177" fontId="31" fillId="0" borderId="0" xfId="0" applyNumberFormat="1" applyFont="1" applyFill="1">
      <alignment vertical="top"/>
    </xf>
    <xf numFmtId="177" fontId="18" fillId="0" borderId="0" xfId="0" applyNumberFormat="1" applyFont="1" applyFill="1">
      <alignment vertical="top"/>
    </xf>
    <xf numFmtId="166" fontId="31" fillId="0" borderId="0" xfId="8" applyFont="1">
      <alignment vertical="top"/>
    </xf>
    <xf numFmtId="166" fontId="18" fillId="0" borderId="0" xfId="8" applyFont="1">
      <alignment vertical="top"/>
    </xf>
    <xf numFmtId="166" fontId="10" fillId="0" borderId="0" xfId="8" applyFont="1" applyAlignment="1">
      <alignment horizontal="right" vertical="top"/>
    </xf>
    <xf numFmtId="166" fontId="11" fillId="0" borderId="0" xfId="8" applyFont="1" applyBorder="1">
      <alignment vertical="top"/>
    </xf>
    <xf numFmtId="166" fontId="50" fillId="13" borderId="0" xfId="0" applyFont="1" applyFill="1" applyAlignment="1">
      <alignment horizontal="right"/>
    </xf>
    <xf numFmtId="17" fontId="38" fillId="13" borderId="0" xfId="7" applyNumberFormat="1" applyFont="1" applyFill="1">
      <alignment vertical="top"/>
    </xf>
    <xf numFmtId="166" fontId="38" fillId="13" borderId="0" xfId="0" applyFont="1" applyFill="1">
      <alignment vertical="top"/>
    </xf>
    <xf numFmtId="166" fontId="50" fillId="13" borderId="0" xfId="0" applyFont="1" applyFill="1" applyAlignment="1"/>
    <xf numFmtId="0" fontId="0" fillId="0" borderId="0" xfId="0" applyNumberFormat="1">
      <alignment vertical="top"/>
    </xf>
    <xf numFmtId="37" fontId="9" fillId="0" borderId="11" xfId="0" applyNumberFormat="1" applyFont="1" applyFill="1" applyBorder="1">
      <alignment vertical="top"/>
    </xf>
    <xf numFmtId="39" fontId="9" fillId="0" borderId="11" xfId="0" applyNumberFormat="1" applyFont="1" applyFill="1" applyBorder="1">
      <alignment vertical="top"/>
    </xf>
    <xf numFmtId="39" fontId="10" fillId="7" borderId="5" xfId="0" applyNumberFormat="1" applyFont="1" applyFill="1" applyBorder="1">
      <alignment vertical="top"/>
    </xf>
    <xf numFmtId="37" fontId="21" fillId="7" borderId="5" xfId="0" applyNumberFormat="1" applyFont="1" applyFill="1" applyBorder="1">
      <alignment vertical="top"/>
    </xf>
    <xf numFmtId="37" fontId="8" fillId="7" borderId="5" xfId="0" quotePrefix="1" applyNumberFormat="1" applyFont="1" applyFill="1" applyBorder="1">
      <alignment vertical="top"/>
    </xf>
    <xf numFmtId="166" fontId="47" fillId="3" borderId="0" xfId="0" applyFont="1" applyFill="1" applyAlignment="1">
      <alignment horizontal="right" vertical="top"/>
    </xf>
    <xf numFmtId="37" fontId="11" fillId="0" borderId="0" xfId="8" applyNumberFormat="1" applyFont="1" applyFill="1" applyAlignment="1">
      <alignment horizontal="right" vertical="top"/>
    </xf>
    <xf numFmtId="37" fontId="11" fillId="0" borderId="0" xfId="8" applyNumberFormat="1" applyFont="1" applyFill="1" applyAlignment="1">
      <alignment horizontal="left" vertical="top"/>
    </xf>
    <xf numFmtId="164" fontId="11" fillId="0" borderId="0" xfId="2" applyFont="1" applyFill="1" applyBorder="1">
      <alignment vertical="top"/>
    </xf>
    <xf numFmtId="37" fontId="8" fillId="0" borderId="0" xfId="0" applyNumberFormat="1" applyFont="1" applyAlignment="1">
      <alignment horizontal="right" vertical="top"/>
    </xf>
    <xf numFmtId="37" fontId="8" fillId="11" borderId="0" xfId="0" applyNumberFormat="1" applyFont="1" applyFill="1">
      <alignment vertical="top"/>
    </xf>
    <xf numFmtId="166" fontId="21" fillId="0" borderId="10" xfId="0" applyFont="1" applyBorder="1">
      <alignment vertical="top"/>
    </xf>
    <xf numFmtId="166" fontId="21" fillId="0" borderId="10" xfId="0" applyFont="1" applyFill="1" applyBorder="1">
      <alignment vertical="top"/>
    </xf>
    <xf numFmtId="179" fontId="21" fillId="0" borderId="0" xfId="1" applyNumberFormat="1" applyFont="1">
      <alignment vertical="top"/>
    </xf>
    <xf numFmtId="179" fontId="11" fillId="0" borderId="0" xfId="1" applyNumberFormat="1" applyFont="1">
      <alignment vertical="top"/>
    </xf>
    <xf numFmtId="169" fontId="0" fillId="0" borderId="0" xfId="1" applyFont="1">
      <alignment vertical="top"/>
    </xf>
    <xf numFmtId="169" fontId="48" fillId="0" borderId="0" xfId="1" applyFont="1">
      <alignment vertical="top"/>
    </xf>
    <xf numFmtId="164" fontId="11" fillId="0" borderId="0" xfId="2" applyFont="1" applyBorder="1">
      <alignment vertical="top"/>
    </xf>
    <xf numFmtId="164" fontId="0" fillId="0" borderId="0" xfId="2" applyFont="1">
      <alignment vertical="top"/>
    </xf>
    <xf numFmtId="166" fontId="0" fillId="7" borderId="0" xfId="0" applyFill="1">
      <alignment vertical="top"/>
    </xf>
    <xf numFmtId="37" fontId="8" fillId="0" borderId="0" xfId="0" applyNumberFormat="1" applyFont="1" applyAlignment="1">
      <alignment vertical="top" wrapText="1"/>
    </xf>
    <xf numFmtId="166" fontId="10" fillId="0" borderId="0" xfId="0" applyFont="1" applyAlignment="1">
      <alignment horizontal="right"/>
    </xf>
    <xf numFmtId="166" fontId="51" fillId="10" borderId="0" xfId="0" applyFont="1" applyFill="1">
      <alignment vertical="top"/>
    </xf>
    <xf numFmtId="174" fontId="21" fillId="0" borderId="0" xfId="1" applyNumberFormat="1" applyFont="1">
      <alignment vertical="top"/>
    </xf>
    <xf numFmtId="169" fontId="11" fillId="0" borderId="0" xfId="8" applyNumberFormat="1" applyFont="1">
      <alignment vertical="top"/>
    </xf>
    <xf numFmtId="168" fontId="9" fillId="0" borderId="0" xfId="8" applyNumberFormat="1" applyFont="1">
      <alignment vertical="top"/>
    </xf>
    <xf numFmtId="167" fontId="9" fillId="7" borderId="0" xfId="5" applyFont="1" applyFill="1">
      <alignment vertical="top"/>
    </xf>
    <xf numFmtId="167" fontId="11" fillId="0" borderId="0" xfId="5" applyFont="1">
      <alignment vertical="top"/>
    </xf>
    <xf numFmtId="166" fontId="55" fillId="13" borderId="0" xfId="0" applyFont="1" applyFill="1">
      <alignment vertical="top"/>
    </xf>
    <xf numFmtId="166" fontId="52" fillId="10" borderId="0" xfId="9" applyFill="1">
      <alignment vertical="top"/>
    </xf>
    <xf numFmtId="166" fontId="0" fillId="10" borderId="0" xfId="0" applyFill="1">
      <alignment vertical="top"/>
    </xf>
    <xf numFmtId="166" fontId="0" fillId="7" borderId="0" xfId="0" applyFill="1" applyAlignment="1">
      <alignment horizontal="right" vertical="top"/>
    </xf>
    <xf numFmtId="166" fontId="9" fillId="0" borderId="19" xfId="8" applyFont="1" applyBorder="1">
      <alignment vertical="top"/>
    </xf>
    <xf numFmtId="166" fontId="9" fillId="7" borderId="19" xfId="8" applyFont="1" applyFill="1" applyBorder="1">
      <alignment vertical="top"/>
    </xf>
    <xf numFmtId="166" fontId="0" fillId="10" borderId="19" xfId="0" applyFill="1" applyBorder="1">
      <alignment vertical="top"/>
    </xf>
    <xf numFmtId="177" fontId="10" fillId="7" borderId="0" xfId="0" applyNumberFormat="1" applyFont="1" applyFill="1" applyBorder="1" applyAlignment="1">
      <alignment horizontal="right" vertical="top"/>
    </xf>
    <xf numFmtId="166" fontId="0" fillId="7" borderId="20" xfId="0" applyFill="1" applyBorder="1" applyAlignment="1">
      <alignment horizontal="right" vertical="top" wrapText="1"/>
    </xf>
    <xf numFmtId="166" fontId="9" fillId="9" borderId="0" xfId="0" applyFont="1" applyFill="1" applyBorder="1" applyAlignment="1">
      <alignment horizontal="right" vertical="top"/>
    </xf>
    <xf numFmtId="177" fontId="9" fillId="9" borderId="0" xfId="0" applyNumberFormat="1" applyFont="1" applyFill="1" applyBorder="1" applyAlignment="1">
      <alignment horizontal="right" vertical="top"/>
    </xf>
    <xf numFmtId="169" fontId="9" fillId="9" borderId="0" xfId="1" applyFont="1" applyFill="1" applyBorder="1">
      <alignment vertical="top"/>
    </xf>
    <xf numFmtId="169" fontId="9" fillId="9" borderId="0" xfId="1" applyFont="1" applyFill="1">
      <alignment vertical="top"/>
    </xf>
    <xf numFmtId="37" fontId="9" fillId="9" borderId="0" xfId="8" applyNumberFormat="1" applyFont="1" applyFill="1" applyBorder="1" applyAlignment="1">
      <alignment horizontal="right" vertical="top"/>
    </xf>
    <xf numFmtId="166" fontId="21" fillId="9" borderId="0" xfId="8" applyFont="1" applyFill="1">
      <alignment vertical="top"/>
    </xf>
    <xf numFmtId="166" fontId="9" fillId="9" borderId="19" xfId="8" applyFont="1" applyFill="1" applyBorder="1">
      <alignment vertical="top"/>
    </xf>
    <xf numFmtId="166" fontId="9" fillId="9" borderId="0" xfId="0" applyFont="1" applyFill="1">
      <alignment vertical="top"/>
    </xf>
    <xf numFmtId="166" fontId="0" fillId="9" borderId="0" xfId="0" applyFill="1">
      <alignment vertical="top"/>
    </xf>
    <xf numFmtId="169" fontId="21" fillId="9" borderId="0" xfId="1" applyFont="1" applyFill="1">
      <alignment vertical="top"/>
    </xf>
    <xf numFmtId="166" fontId="0" fillId="0" borderId="0" xfId="0" applyAlignment="1">
      <alignment horizontal="center" vertical="top"/>
    </xf>
    <xf numFmtId="0" fontId="1" fillId="0" borderId="0" xfId="23" applyAlignment="1">
      <alignment vertical="top"/>
    </xf>
    <xf numFmtId="0" fontId="1" fillId="10" borderId="21" xfId="23" applyFill="1" applyBorder="1" applyAlignment="1">
      <alignment vertical="top"/>
    </xf>
    <xf numFmtId="0" fontId="1" fillId="10" borderId="24" xfId="23" applyFill="1" applyBorder="1" applyAlignment="1">
      <alignment vertical="top"/>
    </xf>
    <xf numFmtId="0" fontId="56" fillId="10" borderId="25" xfId="23" applyFont="1" applyFill="1" applyBorder="1" applyAlignment="1">
      <alignment vertical="top"/>
    </xf>
    <xf numFmtId="0" fontId="1" fillId="10" borderId="26" xfId="23" applyFill="1" applyBorder="1" applyAlignment="1">
      <alignment vertical="top"/>
    </xf>
    <xf numFmtId="0" fontId="1" fillId="10" borderId="27" xfId="23" applyFill="1" applyBorder="1" applyAlignment="1">
      <alignment vertical="top"/>
    </xf>
    <xf numFmtId="0" fontId="1" fillId="10" borderId="28" xfId="23" applyFill="1" applyBorder="1" applyAlignment="1">
      <alignment vertical="top"/>
    </xf>
    <xf numFmtId="0" fontId="56" fillId="10" borderId="29" xfId="23" applyFont="1" applyFill="1" applyBorder="1" applyAlignment="1">
      <alignment vertical="top"/>
    </xf>
    <xf numFmtId="0" fontId="56" fillId="10" borderId="12" xfId="23" applyFont="1" applyFill="1" applyBorder="1" applyAlignment="1">
      <alignment vertical="top"/>
    </xf>
    <xf numFmtId="0" fontId="56" fillId="10" borderId="26" xfId="23" applyFont="1" applyFill="1" applyBorder="1" applyAlignment="1">
      <alignment vertical="top"/>
    </xf>
    <xf numFmtId="0" fontId="1" fillId="10" borderId="30" xfId="23" applyFill="1" applyBorder="1" applyAlignment="1">
      <alignment vertical="top"/>
    </xf>
    <xf numFmtId="0" fontId="1" fillId="10" borderId="31" xfId="23" applyFill="1" applyBorder="1" applyAlignment="1">
      <alignment vertical="top"/>
    </xf>
    <xf numFmtId="0" fontId="1" fillId="10" borderId="32" xfId="23" applyFill="1" applyBorder="1" applyAlignment="1">
      <alignment vertical="top"/>
    </xf>
    <xf numFmtId="0" fontId="56" fillId="10" borderId="13" xfId="23" applyFont="1" applyFill="1" applyBorder="1" applyAlignment="1">
      <alignment vertical="top"/>
    </xf>
    <xf numFmtId="0" fontId="56" fillId="10" borderId="31" xfId="23" applyFont="1" applyFill="1" applyBorder="1" applyAlignment="1">
      <alignment vertical="top"/>
    </xf>
    <xf numFmtId="0" fontId="56" fillId="10" borderId="32" xfId="23" applyFont="1" applyFill="1" applyBorder="1" applyAlignment="1">
      <alignment vertical="top"/>
    </xf>
    <xf numFmtId="0" fontId="1" fillId="10" borderId="33" xfId="23" applyFill="1" applyBorder="1" applyAlignment="1">
      <alignment vertical="top"/>
    </xf>
    <xf numFmtId="0" fontId="1" fillId="10" borderId="35" xfId="23" applyFill="1" applyBorder="1" applyAlignment="1">
      <alignment vertical="top"/>
    </xf>
    <xf numFmtId="166" fontId="58" fillId="0" borderId="0" xfId="0" applyFont="1">
      <alignment vertical="top"/>
    </xf>
    <xf numFmtId="169" fontId="9" fillId="9" borderId="19" xfId="1" applyFont="1" applyFill="1" applyBorder="1">
      <alignment vertical="top"/>
    </xf>
    <xf numFmtId="166" fontId="9" fillId="0" borderId="19" xfId="0" applyFont="1" applyBorder="1">
      <alignment vertical="top"/>
    </xf>
    <xf numFmtId="169" fontId="9" fillId="7" borderId="19" xfId="1" applyFont="1" applyFill="1" applyBorder="1">
      <alignment vertical="top"/>
    </xf>
    <xf numFmtId="37" fontId="9" fillId="0" borderId="19" xfId="1" applyNumberFormat="1" applyFont="1" applyFill="1" applyBorder="1">
      <alignment vertical="top"/>
    </xf>
    <xf numFmtId="166" fontId="9" fillId="9" borderId="19" xfId="0" applyFont="1" applyFill="1" applyBorder="1" applyAlignment="1">
      <alignment horizontal="right" vertical="top"/>
    </xf>
    <xf numFmtId="177" fontId="9" fillId="0" borderId="19" xfId="0" applyNumberFormat="1" applyFont="1" applyFill="1" applyBorder="1">
      <alignment vertical="top"/>
    </xf>
    <xf numFmtId="166" fontId="9" fillId="7" borderId="19" xfId="0" applyFont="1" applyFill="1" applyBorder="1" applyAlignment="1">
      <alignment horizontal="right" vertical="top"/>
    </xf>
    <xf numFmtId="166" fontId="36" fillId="0" borderId="0" xfId="8" applyFont="1">
      <alignment vertical="top"/>
    </xf>
    <xf numFmtId="166" fontId="59" fillId="0" borderId="0" xfId="0" applyFont="1">
      <alignment vertical="top"/>
    </xf>
    <xf numFmtId="37" fontId="36" fillId="0" borderId="0" xfId="0" applyNumberFormat="1" applyFont="1">
      <alignment vertical="top"/>
    </xf>
    <xf numFmtId="169" fontId="36" fillId="0" borderId="5" xfId="1" applyFont="1" applyFill="1" applyBorder="1">
      <alignment vertical="top"/>
    </xf>
    <xf numFmtId="164" fontId="36" fillId="0" borderId="0" xfId="2" applyFont="1" applyFill="1" applyAlignment="1">
      <alignment horizontal="right" vertical="top"/>
    </xf>
    <xf numFmtId="169" fontId="36" fillId="0" borderId="0" xfId="1" applyFont="1" applyFill="1" applyAlignment="1">
      <alignment horizontal="right" vertical="top"/>
    </xf>
    <xf numFmtId="166" fontId="0" fillId="0" borderId="0" xfId="0" applyFill="1">
      <alignment vertical="top"/>
    </xf>
    <xf numFmtId="164" fontId="9" fillId="0" borderId="19" xfId="2" applyFont="1" applyFill="1" applyBorder="1">
      <alignment vertical="top"/>
    </xf>
    <xf numFmtId="164" fontId="21" fillId="0" borderId="0" xfId="2" applyFont="1" applyFill="1">
      <alignment vertical="top"/>
    </xf>
    <xf numFmtId="164" fontId="9" fillId="0" borderId="19" xfId="2" applyFont="1" applyBorder="1">
      <alignment vertical="top"/>
    </xf>
    <xf numFmtId="166" fontId="56" fillId="0" borderId="0" xfId="0" applyFont="1">
      <alignment vertical="top"/>
    </xf>
    <xf numFmtId="179" fontId="0" fillId="0" borderId="0" xfId="1" applyNumberFormat="1" applyFont="1">
      <alignment vertical="top"/>
    </xf>
    <xf numFmtId="179" fontId="21" fillId="10" borderId="0" xfId="1" applyNumberFormat="1" applyFont="1" applyFill="1">
      <alignment vertical="top"/>
    </xf>
    <xf numFmtId="164" fontId="11" fillId="7" borderId="0" xfId="2" applyFont="1" applyFill="1">
      <alignment vertical="top"/>
    </xf>
    <xf numFmtId="166" fontId="0" fillId="0" borderId="0" xfId="0" applyAlignment="1">
      <alignment horizontal="right" vertical="top"/>
    </xf>
    <xf numFmtId="164" fontId="0" fillId="7" borderId="0" xfId="2" applyFont="1" applyFill="1">
      <alignment vertical="top"/>
    </xf>
    <xf numFmtId="166" fontId="0" fillId="0" borderId="0" xfId="0" applyFont="1">
      <alignment vertical="top"/>
    </xf>
    <xf numFmtId="166" fontId="0" fillId="0" borderId="0" xfId="0" applyAlignment="1"/>
    <xf numFmtId="166" fontId="0" fillId="7" borderId="0" xfId="0" applyFill="1" applyAlignment="1"/>
    <xf numFmtId="167" fontId="0" fillId="7" borderId="0" xfId="5" applyFont="1" applyFill="1">
      <alignment vertical="top"/>
    </xf>
    <xf numFmtId="175" fontId="8" fillId="0" borderId="0" xfId="5" applyNumberFormat="1" applyFont="1">
      <alignment vertical="top"/>
    </xf>
    <xf numFmtId="167" fontId="11" fillId="0" borderId="0" xfId="5" applyFont="1" applyFill="1">
      <alignment vertical="top"/>
    </xf>
    <xf numFmtId="164" fontId="21" fillId="0" borderId="0" xfId="0" applyNumberFormat="1" applyFont="1">
      <alignment vertical="top"/>
    </xf>
    <xf numFmtId="164" fontId="0" fillId="0" borderId="36" xfId="2" applyFont="1" applyBorder="1">
      <alignment vertical="top"/>
    </xf>
    <xf numFmtId="166" fontId="0" fillId="9" borderId="36" xfId="0" applyFill="1" applyBorder="1">
      <alignment vertical="top"/>
    </xf>
    <xf numFmtId="166" fontId="0" fillId="0" borderId="36" xfId="0" applyBorder="1">
      <alignment vertical="top"/>
    </xf>
    <xf numFmtId="166" fontId="0" fillId="10" borderId="36" xfId="0" applyFill="1" applyBorder="1">
      <alignment vertical="top"/>
    </xf>
    <xf numFmtId="166" fontId="0" fillId="7" borderId="36" xfId="0" applyFill="1" applyBorder="1">
      <alignment vertical="top"/>
    </xf>
    <xf numFmtId="164" fontId="11" fillId="0" borderId="0" xfId="0" applyNumberFormat="1" applyFont="1" applyAlignment="1">
      <alignment horizontal="right" vertical="top"/>
    </xf>
    <xf numFmtId="164" fontId="29" fillId="0" borderId="0" xfId="0" applyNumberFormat="1" applyFont="1">
      <alignment vertical="top"/>
    </xf>
    <xf numFmtId="164" fontId="60" fillId="0" borderId="0" xfId="0" applyNumberFormat="1" applyFont="1">
      <alignment vertical="top"/>
    </xf>
    <xf numFmtId="164" fontId="21" fillId="0" borderId="0" xfId="0" applyNumberFormat="1" applyFont="1" applyAlignment="1">
      <alignment horizontal="right" vertical="top"/>
    </xf>
    <xf numFmtId="164" fontId="11" fillId="10" borderId="0" xfId="0" applyNumberFormat="1" applyFont="1" applyFill="1">
      <alignment vertical="top"/>
    </xf>
    <xf numFmtId="164" fontId="21" fillId="10" borderId="0" xfId="0" applyNumberFormat="1" applyFont="1" applyFill="1">
      <alignment vertical="top"/>
    </xf>
    <xf numFmtId="166" fontId="0" fillId="17" borderId="0" xfId="0" applyFill="1">
      <alignment vertical="top"/>
    </xf>
    <xf numFmtId="166" fontId="55" fillId="17" borderId="0" xfId="0" applyFont="1" applyFill="1">
      <alignment vertical="top"/>
    </xf>
    <xf numFmtId="164" fontId="1" fillId="0" borderId="0" xfId="2" applyFont="1">
      <alignment vertical="top"/>
    </xf>
    <xf numFmtId="166" fontId="1" fillId="0" borderId="0" xfId="0" applyFont="1" applyAlignment="1">
      <alignment horizontal="right" vertical="top"/>
    </xf>
    <xf numFmtId="164" fontId="9" fillId="10" borderId="19" xfId="2" applyFont="1" applyFill="1" applyBorder="1">
      <alignment vertical="top"/>
    </xf>
    <xf numFmtId="166" fontId="9" fillId="10" borderId="19" xfId="8" applyFont="1" applyFill="1" applyBorder="1">
      <alignment vertical="top"/>
    </xf>
    <xf numFmtId="166" fontId="21" fillId="10" borderId="0" xfId="0" applyFont="1" applyFill="1">
      <alignment vertical="top"/>
    </xf>
    <xf numFmtId="166" fontId="21" fillId="10" borderId="0" xfId="8" applyFont="1" applyFill="1">
      <alignment vertical="top"/>
    </xf>
    <xf numFmtId="164" fontId="15" fillId="0" borderId="0" xfId="2" applyFont="1" applyBorder="1">
      <alignment vertical="top"/>
    </xf>
    <xf numFmtId="164" fontId="15" fillId="0" borderId="0" xfId="2" applyFont="1">
      <alignment vertical="top"/>
    </xf>
    <xf numFmtId="164" fontId="12" fillId="6" borderId="0" xfId="2" applyFont="1" applyFill="1">
      <alignment vertical="top"/>
    </xf>
    <xf numFmtId="164" fontId="8" fillId="0" borderId="0" xfId="2" quotePrefix="1" applyFont="1">
      <alignment vertical="top"/>
    </xf>
    <xf numFmtId="164" fontId="8" fillId="0" borderId="0" xfId="2" quotePrefix="1" applyFont="1" applyFill="1">
      <alignment vertical="top"/>
    </xf>
    <xf numFmtId="164" fontId="16" fillId="6" borderId="0" xfId="2" applyFont="1" applyFill="1">
      <alignment vertical="top"/>
    </xf>
    <xf numFmtId="164" fontId="48" fillId="0" borderId="0" xfId="2" applyFont="1">
      <alignment vertical="top"/>
    </xf>
    <xf numFmtId="164" fontId="8" fillId="12" borderId="0" xfId="2" applyFont="1" applyFill="1">
      <alignment vertical="top"/>
    </xf>
    <xf numFmtId="164" fontId="19" fillId="0" borderId="0" xfId="2" applyFont="1">
      <alignment vertical="top"/>
    </xf>
    <xf numFmtId="164" fontId="8" fillId="0" borderId="0" xfId="2" applyFont="1" applyFill="1" applyBorder="1">
      <alignment vertical="top"/>
    </xf>
    <xf numFmtId="164" fontId="19" fillId="0" borderId="0" xfId="2" applyFont="1" applyFill="1" applyBorder="1">
      <alignment vertical="top"/>
    </xf>
    <xf numFmtId="164" fontId="8" fillId="8" borderId="0" xfId="2" applyFont="1" applyFill="1" applyBorder="1">
      <alignment vertical="top"/>
    </xf>
    <xf numFmtId="164" fontId="14" fillId="0" borderId="0" xfId="2" applyFont="1">
      <alignment vertical="top"/>
    </xf>
    <xf numFmtId="164" fontId="8" fillId="7" borderId="5" xfId="2" applyFont="1" applyFill="1" applyBorder="1">
      <alignment vertical="top"/>
    </xf>
    <xf numFmtId="164" fontId="8" fillId="7" borderId="6" xfId="2" applyFont="1" applyFill="1" applyBorder="1">
      <alignment vertical="top"/>
    </xf>
    <xf numFmtId="164" fontId="9" fillId="7" borderId="5" xfId="2" applyFont="1" applyFill="1" applyBorder="1">
      <alignment vertical="top"/>
    </xf>
    <xf numFmtId="166" fontId="8" fillId="7" borderId="6" xfId="0" applyFont="1" applyFill="1" applyBorder="1">
      <alignment vertical="top"/>
    </xf>
    <xf numFmtId="179" fontId="8" fillId="7" borderId="5" xfId="1" applyNumberFormat="1" applyFont="1" applyFill="1" applyBorder="1">
      <alignment vertical="top"/>
    </xf>
    <xf numFmtId="179" fontId="9" fillId="7" borderId="5" xfId="1" applyNumberFormat="1" applyFont="1" applyFill="1" applyBorder="1">
      <alignment vertical="top"/>
    </xf>
    <xf numFmtId="166" fontId="9" fillId="7" borderId="6" xfId="0" applyFont="1" applyFill="1" applyBorder="1">
      <alignment vertical="top"/>
    </xf>
    <xf numFmtId="37" fontId="10" fillId="0" borderId="19" xfId="1" applyNumberFormat="1" applyFont="1" applyFill="1" applyBorder="1">
      <alignment vertical="top"/>
    </xf>
    <xf numFmtId="37" fontId="9" fillId="7" borderId="0" xfId="0" applyNumberFormat="1" applyFont="1" applyFill="1">
      <alignment vertical="top"/>
    </xf>
    <xf numFmtId="166" fontId="9" fillId="7" borderId="0" xfId="0" applyFont="1" applyFill="1" applyBorder="1">
      <alignment vertical="top"/>
    </xf>
    <xf numFmtId="166" fontId="29" fillId="0" borderId="0" xfId="0" applyFont="1" applyFill="1">
      <alignment vertical="top"/>
    </xf>
    <xf numFmtId="169" fontId="21" fillId="7" borderId="0" xfId="1" applyFont="1" applyFill="1" applyAlignment="1">
      <alignment horizontal="right" vertical="top"/>
    </xf>
    <xf numFmtId="166" fontId="9" fillId="0" borderId="0" xfId="8" applyFont="1" applyAlignment="1">
      <alignment horizontal="right" vertical="top"/>
    </xf>
    <xf numFmtId="166" fontId="11" fillId="0" borderId="0" xfId="8" applyFont="1" applyAlignment="1">
      <alignment horizontal="right" vertical="top"/>
    </xf>
    <xf numFmtId="166" fontId="57" fillId="0" borderId="0" xfId="0" applyFont="1" applyAlignment="1">
      <alignment horizontal="right" vertical="top"/>
    </xf>
    <xf numFmtId="166" fontId="0" fillId="0" borderId="0" xfId="0" applyBorder="1">
      <alignment vertical="top"/>
    </xf>
    <xf numFmtId="166" fontId="56" fillId="0" borderId="0" xfId="0" applyFont="1" applyBorder="1">
      <alignment vertical="top"/>
    </xf>
    <xf numFmtId="164" fontId="0" fillId="0" borderId="0" xfId="2" applyFont="1" applyBorder="1">
      <alignment vertical="top"/>
    </xf>
    <xf numFmtId="164" fontId="0" fillId="0" borderId="0" xfId="2" applyFont="1" applyBorder="1" applyAlignment="1">
      <alignment horizontal="right" vertical="top"/>
    </xf>
    <xf numFmtId="166" fontId="0" fillId="0" borderId="0" xfId="0" applyBorder="1" applyAlignment="1">
      <alignment horizontal="right" vertical="top"/>
    </xf>
    <xf numFmtId="169" fontId="21" fillId="7" borderId="0" xfId="1" applyFont="1" applyFill="1" applyBorder="1" applyAlignment="1">
      <alignment horizontal="right" vertical="top"/>
    </xf>
    <xf numFmtId="166" fontId="0" fillId="7" borderId="0" xfId="0" applyFill="1" applyBorder="1">
      <alignment vertical="top"/>
    </xf>
    <xf numFmtId="166" fontId="0" fillId="9" borderId="0" xfId="0" applyFill="1" applyBorder="1">
      <alignment vertical="top"/>
    </xf>
    <xf numFmtId="166" fontId="57" fillId="0" borderId="0" xfId="0" applyFont="1" applyBorder="1" applyAlignment="1">
      <alignment horizontal="right" vertical="top"/>
    </xf>
    <xf numFmtId="166" fontId="48" fillId="0" borderId="9" xfId="0" applyFont="1" applyBorder="1">
      <alignment vertical="top"/>
    </xf>
    <xf numFmtId="166" fontId="0" fillId="0" borderId="9" xfId="0" applyBorder="1">
      <alignment vertical="top"/>
    </xf>
    <xf numFmtId="166" fontId="57" fillId="0" borderId="8" xfId="0" applyFont="1" applyBorder="1" applyAlignment="1">
      <alignment horizontal="right" vertical="top"/>
    </xf>
    <xf numFmtId="166" fontId="0" fillId="0" borderId="8" xfId="0" applyBorder="1">
      <alignment vertical="top"/>
    </xf>
    <xf numFmtId="166" fontId="9" fillId="7" borderId="0" xfId="8" applyFont="1" applyFill="1" applyBorder="1" applyAlignment="1">
      <alignment horizontal="right" vertical="top"/>
    </xf>
    <xf numFmtId="166" fontId="56" fillId="0" borderId="9" xfId="0" applyFont="1" applyBorder="1">
      <alignment vertical="top"/>
    </xf>
    <xf numFmtId="164" fontId="0" fillId="0" borderId="9" xfId="2" applyFont="1" applyBorder="1">
      <alignment vertical="top"/>
    </xf>
    <xf numFmtId="164" fontId="0" fillId="0" borderId="9" xfId="2" applyFont="1" applyBorder="1" applyAlignment="1">
      <alignment horizontal="right" vertical="top"/>
    </xf>
    <xf numFmtId="166" fontId="0" fillId="0" borderId="9" xfId="0" applyBorder="1" applyAlignment="1">
      <alignment horizontal="right" vertical="top"/>
    </xf>
    <xf numFmtId="177" fontId="9" fillId="7" borderId="9" xfId="0" applyNumberFormat="1" applyFont="1" applyFill="1" applyBorder="1" applyAlignment="1">
      <alignment horizontal="right" vertical="top"/>
    </xf>
    <xf numFmtId="169" fontId="0" fillId="7" borderId="9" xfId="1" applyFont="1" applyFill="1" applyBorder="1">
      <alignment vertical="top"/>
    </xf>
    <xf numFmtId="166" fontId="0" fillId="10" borderId="0" xfId="0" applyFill="1" applyBorder="1">
      <alignment vertical="top"/>
    </xf>
    <xf numFmtId="166" fontId="9" fillId="7" borderId="0" xfId="8" applyFont="1" applyFill="1" applyBorder="1">
      <alignment vertical="top"/>
    </xf>
    <xf numFmtId="166" fontId="48" fillId="0" borderId="13" xfId="0" applyFont="1" applyBorder="1" applyAlignment="1">
      <alignment horizontal="center" vertical="top"/>
    </xf>
    <xf numFmtId="166" fontId="10" fillId="0" borderId="0" xfId="2" applyNumberFormat="1" applyFont="1" applyFill="1">
      <alignment vertical="top"/>
    </xf>
    <xf numFmtId="166" fontId="36" fillId="0" borderId="0" xfId="0" applyFont="1">
      <alignment vertical="top"/>
    </xf>
    <xf numFmtId="164" fontId="21" fillId="7" borderId="5" xfId="2" applyFont="1" applyFill="1" applyBorder="1">
      <alignment vertical="top"/>
    </xf>
    <xf numFmtId="17" fontId="21" fillId="7" borderId="5" xfId="7" applyNumberFormat="1" applyFont="1" applyFill="1" applyBorder="1">
      <alignment vertical="top"/>
    </xf>
    <xf numFmtId="37" fontId="21" fillId="7" borderId="5" xfId="8" applyNumberFormat="1" applyFont="1" applyFill="1" applyBorder="1" applyAlignment="1">
      <alignment horizontal="right" vertical="top"/>
    </xf>
    <xf numFmtId="37" fontId="8" fillId="7" borderId="5" xfId="0" applyNumberFormat="1" applyFont="1" applyFill="1" applyBorder="1" applyAlignment="1">
      <alignment horizontal="right" vertical="top"/>
    </xf>
    <xf numFmtId="166" fontId="9" fillId="7" borderId="5" xfId="8" applyFont="1" applyFill="1" applyBorder="1">
      <alignment vertical="top"/>
    </xf>
    <xf numFmtId="166" fontId="9" fillId="7" borderId="5" xfId="8" applyFont="1" applyFill="1" applyBorder="1" applyAlignment="1">
      <alignment horizontal="right" vertical="top"/>
    </xf>
    <xf numFmtId="166" fontId="36" fillId="0" borderId="0" xfId="8" applyFont="1" applyFill="1" applyAlignment="1">
      <alignment horizontal="right" vertical="top"/>
    </xf>
    <xf numFmtId="166" fontId="10" fillId="9" borderId="0" xfId="0" applyFont="1" applyFill="1">
      <alignment vertical="top"/>
    </xf>
    <xf numFmtId="169" fontId="10" fillId="0" borderId="0" xfId="1" applyFont="1">
      <alignment vertical="top"/>
    </xf>
    <xf numFmtId="169" fontId="10" fillId="10" borderId="0" xfId="1" applyFont="1" applyFill="1">
      <alignment vertical="top"/>
    </xf>
    <xf numFmtId="166" fontId="2" fillId="10" borderId="0" xfId="0" applyFont="1" applyFill="1">
      <alignment vertical="top"/>
    </xf>
    <xf numFmtId="166" fontId="10" fillId="7" borderId="0" xfId="0" applyFont="1" applyFill="1">
      <alignment vertical="top"/>
    </xf>
    <xf numFmtId="37" fontId="21" fillId="0" borderId="0" xfId="0" applyNumberFormat="1" applyFont="1" applyAlignment="1">
      <alignment horizontal="right" vertical="top"/>
    </xf>
    <xf numFmtId="183" fontId="16" fillId="6" borderId="0" xfId="0" applyNumberFormat="1" applyFont="1" applyFill="1">
      <alignment vertical="top"/>
    </xf>
    <xf numFmtId="183" fontId="12" fillId="4" borderId="0" xfId="0" applyNumberFormat="1" applyFont="1" applyFill="1">
      <alignment vertical="top"/>
    </xf>
    <xf numFmtId="183" fontId="8" fillId="0" borderId="0" xfId="0" applyNumberFormat="1" applyFont="1">
      <alignment vertical="top"/>
    </xf>
    <xf numFmtId="183" fontId="12" fillId="0" borderId="0" xfId="0" applyNumberFormat="1" applyFont="1">
      <alignment vertical="top"/>
    </xf>
    <xf numFmtId="183" fontId="13" fillId="0" borderId="0" xfId="0" applyNumberFormat="1" applyFont="1">
      <alignment vertical="top"/>
    </xf>
    <xf numFmtId="183" fontId="8" fillId="0" borderId="0" xfId="2" applyNumberFormat="1" applyFont="1" applyFill="1">
      <alignment vertical="top"/>
    </xf>
    <xf numFmtId="183" fontId="31" fillId="0" borderId="0" xfId="0" applyNumberFormat="1" applyFont="1">
      <alignment vertical="top"/>
    </xf>
    <xf numFmtId="183" fontId="18" fillId="0" borderId="0" xfId="0" applyNumberFormat="1" applyFont="1">
      <alignment vertical="top"/>
    </xf>
    <xf numFmtId="183" fontId="10" fillId="0" borderId="0" xfId="0" applyNumberFormat="1" applyFont="1">
      <alignment vertical="top"/>
    </xf>
    <xf numFmtId="183" fontId="10" fillId="0" borderId="0" xfId="2" applyNumberFormat="1" applyFont="1" applyFill="1">
      <alignment vertical="top"/>
    </xf>
    <xf numFmtId="183" fontId="10" fillId="7" borderId="5" xfId="0" applyNumberFormat="1" applyFont="1" applyFill="1" applyBorder="1">
      <alignment vertical="top"/>
    </xf>
    <xf numFmtId="183" fontId="8" fillId="7" borderId="5" xfId="0" applyNumberFormat="1" applyFont="1" applyFill="1" applyBorder="1">
      <alignment vertical="top"/>
    </xf>
    <xf numFmtId="184" fontId="8" fillId="7" borderId="5" xfId="0" applyNumberFormat="1" applyFont="1" applyFill="1" applyBorder="1">
      <alignment vertical="top"/>
    </xf>
    <xf numFmtId="183" fontId="21" fillId="0" borderId="0" xfId="0" applyNumberFormat="1" applyFont="1" applyFill="1">
      <alignment vertical="top"/>
    </xf>
    <xf numFmtId="183" fontId="8" fillId="0" borderId="0" xfId="0" applyNumberFormat="1" applyFont="1" applyFill="1">
      <alignment vertical="top"/>
    </xf>
    <xf numFmtId="183" fontId="10" fillId="0" borderId="5" xfId="0" applyNumberFormat="1" applyFont="1" applyFill="1" applyBorder="1">
      <alignment vertical="top"/>
    </xf>
    <xf numFmtId="183" fontId="8" fillId="0" borderId="5" xfId="0" applyNumberFormat="1" applyFont="1" applyFill="1" applyBorder="1">
      <alignment vertical="top"/>
    </xf>
    <xf numFmtId="184" fontId="8" fillId="0" borderId="5" xfId="0" applyNumberFormat="1" applyFont="1" applyFill="1" applyBorder="1">
      <alignment vertical="top"/>
    </xf>
    <xf numFmtId="183" fontId="10" fillId="7" borderId="3" xfId="0" applyNumberFormat="1" applyFont="1" applyFill="1" applyBorder="1">
      <alignment vertical="top"/>
    </xf>
    <xf numFmtId="183" fontId="8" fillId="7" borderId="3" xfId="0" applyNumberFormat="1" applyFont="1" applyFill="1" applyBorder="1">
      <alignment vertical="top"/>
    </xf>
    <xf numFmtId="183" fontId="10" fillId="7" borderId="7" xfId="0" applyNumberFormat="1" applyFont="1" applyFill="1" applyBorder="1">
      <alignment vertical="top"/>
    </xf>
    <xf numFmtId="183" fontId="8" fillId="7" borderId="7" xfId="0" applyNumberFormat="1" applyFont="1" applyFill="1" applyBorder="1">
      <alignment vertical="top"/>
    </xf>
    <xf numFmtId="184" fontId="8" fillId="7" borderId="3" xfId="0" applyNumberFormat="1" applyFont="1" applyFill="1" applyBorder="1">
      <alignment vertical="top"/>
    </xf>
    <xf numFmtId="184" fontId="8" fillId="7" borderId="7" xfId="0" applyNumberFormat="1" applyFont="1" applyFill="1" applyBorder="1">
      <alignment vertical="top"/>
    </xf>
    <xf numFmtId="183" fontId="10" fillId="0" borderId="0" xfId="0" applyNumberFormat="1" applyFont="1" applyFill="1">
      <alignment vertical="top"/>
    </xf>
    <xf numFmtId="177" fontId="11" fillId="0" borderId="0" xfId="0" applyNumberFormat="1" applyFont="1" applyBorder="1">
      <alignment vertical="top"/>
    </xf>
    <xf numFmtId="169" fontId="10" fillId="0" borderId="0" xfId="1" applyFont="1" applyFill="1">
      <alignment vertical="top"/>
    </xf>
    <xf numFmtId="37" fontId="10" fillId="7" borderId="0" xfId="0" applyNumberFormat="1" applyFont="1" applyFill="1" applyBorder="1">
      <alignment vertical="top"/>
    </xf>
    <xf numFmtId="164" fontId="31" fillId="0" borderId="0" xfId="2" applyFont="1">
      <alignment vertical="top"/>
    </xf>
    <xf numFmtId="164" fontId="18" fillId="0" borderId="0" xfId="2" applyFont="1">
      <alignment vertical="top"/>
    </xf>
    <xf numFmtId="169" fontId="0" fillId="7" borderId="5" xfId="1" applyFont="1" applyFill="1" applyBorder="1">
      <alignment vertical="top"/>
    </xf>
    <xf numFmtId="164" fontId="10" fillId="7" borderId="5" xfId="2" applyFont="1" applyFill="1" applyBorder="1">
      <alignment vertical="top"/>
    </xf>
    <xf numFmtId="169" fontId="2" fillId="7" borderId="5" xfId="1" applyFont="1" applyFill="1" applyBorder="1">
      <alignment vertical="top"/>
    </xf>
    <xf numFmtId="169" fontId="11" fillId="0" borderId="0" xfId="0" applyNumberFormat="1" applyFont="1">
      <alignment vertical="top"/>
    </xf>
    <xf numFmtId="166" fontId="10" fillId="0" borderId="0" xfId="0" applyFont="1" applyAlignment="1">
      <alignment wrapText="1"/>
    </xf>
    <xf numFmtId="169" fontId="10" fillId="7" borderId="5" xfId="1" applyFont="1" applyFill="1" applyBorder="1">
      <alignment vertical="top"/>
    </xf>
    <xf numFmtId="183" fontId="8" fillId="7" borderId="6" xfId="0" applyNumberFormat="1" applyFont="1" applyFill="1" applyBorder="1">
      <alignment vertical="top"/>
    </xf>
    <xf numFmtId="164" fontId="11" fillId="0" borderId="0" xfId="8" applyNumberFormat="1" applyFont="1">
      <alignment vertical="top"/>
    </xf>
    <xf numFmtId="167" fontId="10" fillId="0" borderId="0" xfId="5" applyFont="1">
      <alignment vertical="top"/>
    </xf>
    <xf numFmtId="164" fontId="21" fillId="0" borderId="0" xfId="8" applyNumberFormat="1" applyFont="1">
      <alignment vertical="top"/>
    </xf>
    <xf numFmtId="37" fontId="21" fillId="0" borderId="0" xfId="8" applyNumberFormat="1" applyFont="1">
      <alignment vertical="top"/>
    </xf>
    <xf numFmtId="37" fontId="10" fillId="0" borderId="0" xfId="2" applyNumberFormat="1" applyFont="1" applyFill="1" applyBorder="1">
      <alignment vertical="top"/>
    </xf>
    <xf numFmtId="166" fontId="9" fillId="0" borderId="12" xfId="8" applyFont="1" applyBorder="1">
      <alignment vertical="top"/>
    </xf>
    <xf numFmtId="166" fontId="16" fillId="8" borderId="0" xfId="0" applyFont="1" applyFill="1">
      <alignment vertical="top"/>
    </xf>
    <xf numFmtId="166" fontId="12" fillId="8" borderId="0" xfId="0" applyFont="1" applyFill="1">
      <alignment vertical="top"/>
    </xf>
    <xf numFmtId="166" fontId="13" fillId="8" borderId="0" xfId="0" applyFont="1" applyFill="1">
      <alignment vertical="top"/>
    </xf>
    <xf numFmtId="184" fontId="10" fillId="7" borderId="5" xfId="0" applyNumberFormat="1" applyFont="1" applyFill="1" applyBorder="1">
      <alignment vertical="top"/>
    </xf>
    <xf numFmtId="184" fontId="11" fillId="0" borderId="0" xfId="8" applyNumberFormat="1" applyFont="1">
      <alignment vertical="top"/>
    </xf>
    <xf numFmtId="164" fontId="10" fillId="7" borderId="0" xfId="2" applyFont="1" applyFill="1" applyBorder="1">
      <alignment vertical="top"/>
    </xf>
    <xf numFmtId="166" fontId="11" fillId="0" borderId="0" xfId="2" applyNumberFormat="1" applyFont="1">
      <alignment vertical="top"/>
    </xf>
    <xf numFmtId="166" fontId="29" fillId="0" borderId="10" xfId="0" applyFont="1" applyBorder="1">
      <alignment vertical="top"/>
    </xf>
    <xf numFmtId="184" fontId="8" fillId="7" borderId="6" xfId="0" applyNumberFormat="1" applyFont="1" applyFill="1" applyBorder="1">
      <alignment vertical="top"/>
    </xf>
    <xf numFmtId="184" fontId="8" fillId="7" borderId="4" xfId="0" applyNumberFormat="1" applyFont="1" applyFill="1" applyBorder="1">
      <alignment vertical="top"/>
    </xf>
    <xf numFmtId="184" fontId="8" fillId="7" borderId="2" xfId="0" applyNumberFormat="1" applyFont="1" applyFill="1" applyBorder="1">
      <alignment vertical="top"/>
    </xf>
    <xf numFmtId="184" fontId="10" fillId="0" borderId="0" xfId="0" applyNumberFormat="1" applyFont="1" applyFill="1" applyBorder="1">
      <alignment vertical="top"/>
    </xf>
    <xf numFmtId="166" fontId="10" fillId="0" borderId="0" xfId="2" applyNumberFormat="1" applyFont="1">
      <alignment vertical="top"/>
    </xf>
    <xf numFmtId="37" fontId="9" fillId="7" borderId="5" xfId="8" applyNumberFormat="1" applyFont="1" applyFill="1" applyBorder="1">
      <alignment vertical="top"/>
    </xf>
    <xf numFmtId="184" fontId="10" fillId="7" borderId="7" xfId="0" applyNumberFormat="1" applyFont="1" applyFill="1" applyBorder="1">
      <alignment vertical="top"/>
    </xf>
    <xf numFmtId="184" fontId="10" fillId="7" borderId="3" xfId="0" applyNumberFormat="1" applyFont="1" applyFill="1" applyBorder="1">
      <alignment vertical="top"/>
    </xf>
    <xf numFmtId="164" fontId="2" fillId="7" borderId="0" xfId="2" applyFont="1" applyFill="1">
      <alignment vertical="top"/>
    </xf>
    <xf numFmtId="164" fontId="11" fillId="0" borderId="0" xfId="0" applyNumberFormat="1" applyFont="1" applyFill="1">
      <alignment vertical="top"/>
    </xf>
    <xf numFmtId="166" fontId="9" fillId="0" borderId="0" xfId="2" applyNumberFormat="1" applyFont="1" applyFill="1" applyBorder="1">
      <alignment vertical="top"/>
    </xf>
    <xf numFmtId="166" fontId="9" fillId="0" borderId="12" xfId="0" applyFont="1" applyFill="1" applyBorder="1">
      <alignment vertical="top"/>
    </xf>
    <xf numFmtId="37" fontId="9" fillId="8" borderId="0" xfId="8" applyNumberFormat="1" applyFont="1" applyFill="1">
      <alignment vertical="top"/>
    </xf>
    <xf numFmtId="169" fontId="21" fillId="0" borderId="0" xfId="1" applyFont="1" applyFill="1" applyBorder="1">
      <alignment vertical="top"/>
    </xf>
    <xf numFmtId="166" fontId="21" fillId="7" borderId="5" xfId="0" applyFont="1" applyFill="1" applyBorder="1">
      <alignment vertical="top"/>
    </xf>
    <xf numFmtId="166" fontId="9" fillId="0" borderId="0" xfId="1" applyNumberFormat="1" applyFont="1">
      <alignment vertical="top"/>
    </xf>
    <xf numFmtId="166" fontId="21" fillId="0" borderId="12" xfId="0" applyFont="1" applyFill="1" applyBorder="1">
      <alignment vertical="top"/>
    </xf>
    <xf numFmtId="37" fontId="21" fillId="0" borderId="12" xfId="0" applyNumberFormat="1" applyFont="1" applyFill="1" applyBorder="1">
      <alignment vertical="top"/>
    </xf>
    <xf numFmtId="166" fontId="0" fillId="8" borderId="0" xfId="0" applyFill="1">
      <alignment vertical="top"/>
    </xf>
    <xf numFmtId="164" fontId="0" fillId="8" borderId="0" xfId="2" applyFont="1" applyFill="1">
      <alignment vertical="top"/>
    </xf>
    <xf numFmtId="169" fontId="0" fillId="8" borderId="0" xfId="1" applyFont="1" applyFill="1">
      <alignment vertical="top"/>
    </xf>
    <xf numFmtId="166" fontId="10" fillId="0" borderId="12" xfId="0" applyFont="1" applyFill="1" applyBorder="1">
      <alignment vertical="top"/>
    </xf>
    <xf numFmtId="166" fontId="9" fillId="8" borderId="0" xfId="0" applyFont="1" applyFill="1" applyAlignment="1">
      <alignment horizontal="right" vertical="top"/>
    </xf>
    <xf numFmtId="37" fontId="10" fillId="0" borderId="0" xfId="8" applyNumberFormat="1" applyFont="1" applyAlignment="1">
      <alignment horizontal="right" vertical="top"/>
    </xf>
    <xf numFmtId="177" fontId="9" fillId="6" borderId="0" xfId="0" applyNumberFormat="1" applyFont="1" applyFill="1" applyAlignment="1">
      <alignment horizontal="right" vertical="top"/>
    </xf>
    <xf numFmtId="177" fontId="11" fillId="0" borderId="0" xfId="0" applyNumberFormat="1" applyFont="1" applyBorder="1" applyAlignment="1">
      <alignment horizontal="right" vertical="top"/>
    </xf>
    <xf numFmtId="166" fontId="21" fillId="0" borderId="10" xfId="0" applyFont="1" applyBorder="1" applyAlignment="1">
      <alignment horizontal="right" vertical="top"/>
    </xf>
    <xf numFmtId="164" fontId="11" fillId="0" borderId="0" xfId="2" applyFont="1" applyAlignment="1">
      <alignment horizontal="right" vertical="top"/>
    </xf>
    <xf numFmtId="166" fontId="9" fillId="0" borderId="10" xfId="0" applyFont="1" applyBorder="1" applyAlignment="1">
      <alignment horizontal="right" vertical="top"/>
    </xf>
    <xf numFmtId="169" fontId="9" fillId="0" borderId="0" xfId="1" applyFont="1" applyAlignment="1">
      <alignment horizontal="right" vertical="top"/>
    </xf>
    <xf numFmtId="168" fontId="9" fillId="0" borderId="0" xfId="0" applyNumberFormat="1" applyFont="1" applyAlignment="1">
      <alignment horizontal="right" vertical="top"/>
    </xf>
    <xf numFmtId="169" fontId="9" fillId="0" borderId="0" xfId="1" applyFont="1" applyFill="1" applyAlignment="1">
      <alignment horizontal="right" vertical="top"/>
    </xf>
    <xf numFmtId="177" fontId="10" fillId="0" borderId="0" xfId="0" applyNumberFormat="1" applyFont="1" applyFill="1" applyAlignment="1">
      <alignment horizontal="right" vertical="top"/>
    </xf>
    <xf numFmtId="177" fontId="9" fillId="10" borderId="0" xfId="0" applyNumberFormat="1" applyFont="1" applyFill="1" applyAlignment="1">
      <alignment horizontal="right" vertical="top"/>
    </xf>
    <xf numFmtId="166" fontId="8" fillId="0" borderId="0" xfId="0" applyFont="1" applyAlignment="1">
      <alignment horizontal="right" vertical="top"/>
    </xf>
    <xf numFmtId="177" fontId="21" fillId="0" borderId="0" xfId="0" applyNumberFormat="1" applyFont="1" applyFill="1" applyAlignment="1">
      <alignment horizontal="right" vertical="top"/>
    </xf>
    <xf numFmtId="164" fontId="9" fillId="0" borderId="0" xfId="2" applyFont="1" applyAlignment="1">
      <alignment horizontal="right" vertical="top"/>
    </xf>
    <xf numFmtId="164" fontId="10" fillId="0" borderId="0" xfId="2" applyFont="1" applyAlignment="1">
      <alignment horizontal="right" vertical="top"/>
    </xf>
    <xf numFmtId="166" fontId="21" fillId="0" borderId="0" xfId="8" applyFont="1" applyAlignment="1">
      <alignment horizontal="right" vertical="top"/>
    </xf>
    <xf numFmtId="166" fontId="9" fillId="0" borderId="10" xfId="8" applyFont="1" applyBorder="1" applyAlignment="1">
      <alignment horizontal="right" vertical="top"/>
    </xf>
    <xf numFmtId="164" fontId="11" fillId="0" borderId="0" xfId="2" applyFont="1" applyFill="1" applyAlignment="1">
      <alignment horizontal="right" vertical="top"/>
    </xf>
    <xf numFmtId="169" fontId="11" fillId="0" borderId="0" xfId="1" applyFont="1" applyAlignment="1">
      <alignment horizontal="right" vertical="top"/>
    </xf>
    <xf numFmtId="166" fontId="21" fillId="0" borderId="0" xfId="0" applyFont="1" applyFill="1" applyAlignment="1">
      <alignment horizontal="right" vertical="top"/>
    </xf>
    <xf numFmtId="164" fontId="9" fillId="0" borderId="0" xfId="2" applyFont="1" applyFill="1" applyAlignment="1">
      <alignment horizontal="right" vertical="top"/>
    </xf>
    <xf numFmtId="166" fontId="10" fillId="0" borderId="0" xfId="0" applyFont="1" applyAlignment="1">
      <alignment horizontal="right" vertical="top"/>
    </xf>
    <xf numFmtId="166" fontId="9" fillId="10" borderId="0" xfId="0" applyFont="1" applyFill="1" applyAlignment="1">
      <alignment horizontal="right" vertical="top"/>
    </xf>
    <xf numFmtId="166" fontId="9" fillId="0" borderId="10" xfId="0" applyFont="1" applyFill="1" applyBorder="1" applyAlignment="1">
      <alignment horizontal="right" vertical="top"/>
    </xf>
    <xf numFmtId="166" fontId="8" fillId="0" borderId="10" xfId="0" applyFont="1" applyBorder="1" applyAlignment="1">
      <alignment horizontal="right" vertical="top"/>
    </xf>
    <xf numFmtId="166" fontId="10" fillId="0" borderId="0" xfId="0" applyFont="1" applyFill="1" applyAlignment="1">
      <alignment horizontal="right" vertical="top"/>
    </xf>
    <xf numFmtId="166" fontId="10" fillId="0" borderId="10" xfId="0" applyFont="1" applyFill="1" applyBorder="1" applyAlignment="1">
      <alignment horizontal="right" vertical="top"/>
    </xf>
    <xf numFmtId="166" fontId="8" fillId="10" borderId="0" xfId="0" applyFont="1" applyFill="1" applyAlignment="1">
      <alignment horizontal="right" vertical="top"/>
    </xf>
    <xf numFmtId="37" fontId="21" fillId="12" borderId="0" xfId="8" applyNumberFormat="1" applyFont="1" applyFill="1" applyAlignment="1">
      <alignment horizontal="right" vertical="top"/>
    </xf>
    <xf numFmtId="166" fontId="9" fillId="8" borderId="0" xfId="8" applyFont="1" applyFill="1">
      <alignment vertical="top"/>
    </xf>
    <xf numFmtId="166" fontId="11" fillId="8" borderId="0" xfId="0" applyFont="1" applyFill="1" applyAlignment="1">
      <alignment horizontal="right" vertical="top"/>
    </xf>
    <xf numFmtId="166" fontId="2" fillId="0" borderId="0" xfId="0" applyFont="1" applyAlignment="1">
      <alignment horizontal="right" vertical="top"/>
    </xf>
    <xf numFmtId="166" fontId="10" fillId="0" borderId="12" xfId="8" applyFont="1" applyBorder="1">
      <alignment vertical="top"/>
    </xf>
    <xf numFmtId="169" fontId="21" fillId="9" borderId="0" xfId="1" applyFont="1" applyFill="1" applyBorder="1" applyAlignment="1">
      <alignment horizontal="right" vertical="top"/>
    </xf>
    <xf numFmtId="166" fontId="61" fillId="10" borderId="0" xfId="0" applyFont="1" applyFill="1">
      <alignment vertical="top"/>
    </xf>
    <xf numFmtId="177" fontId="21" fillId="7" borderId="0" xfId="0" applyNumberFormat="1" applyFont="1" applyFill="1" applyBorder="1" applyAlignment="1">
      <alignment horizontal="right" vertical="top"/>
    </xf>
    <xf numFmtId="169" fontId="21" fillId="7" borderId="0" xfId="1" applyFont="1" applyFill="1" applyBorder="1">
      <alignment vertical="top"/>
    </xf>
    <xf numFmtId="166" fontId="61" fillId="0" borderId="0" xfId="0" applyFont="1">
      <alignment vertical="top"/>
    </xf>
    <xf numFmtId="164" fontId="10" fillId="7" borderId="0" xfId="2" applyFont="1" applyFill="1">
      <alignment vertical="top"/>
    </xf>
    <xf numFmtId="164" fontId="11" fillId="0" borderId="0" xfId="1" applyNumberFormat="1" applyFont="1" applyFill="1">
      <alignment vertical="top"/>
    </xf>
    <xf numFmtId="37" fontId="29" fillId="0" borderId="0" xfId="8" applyNumberFormat="1" applyFont="1">
      <alignment vertical="top"/>
    </xf>
    <xf numFmtId="37" fontId="21" fillId="0" borderId="0" xfId="8" applyNumberFormat="1" applyFont="1" applyAlignment="1">
      <alignment horizontal="right" vertical="top"/>
    </xf>
    <xf numFmtId="164" fontId="21" fillId="0" borderId="0" xfId="1" applyNumberFormat="1" applyFont="1" applyFill="1">
      <alignment vertical="top"/>
    </xf>
    <xf numFmtId="169" fontId="21" fillId="9" borderId="0" xfId="1" applyFont="1" applyFill="1" applyAlignment="1">
      <alignment horizontal="right" vertical="top"/>
    </xf>
    <xf numFmtId="169" fontId="11" fillId="0" borderId="0" xfId="1" applyFont="1" applyFill="1" applyAlignment="1">
      <alignment horizontal="right" vertical="top"/>
    </xf>
    <xf numFmtId="169" fontId="8" fillId="7" borderId="6" xfId="1" applyFont="1" applyFill="1" applyBorder="1">
      <alignment vertical="top"/>
    </xf>
    <xf numFmtId="169" fontId="11" fillId="0" borderId="0" xfId="0" applyNumberFormat="1" applyFont="1" applyFill="1">
      <alignment vertical="top"/>
    </xf>
    <xf numFmtId="37" fontId="21" fillId="9" borderId="0" xfId="8" applyNumberFormat="1" applyFont="1" applyFill="1" applyBorder="1" applyAlignment="1">
      <alignment horizontal="right" vertical="top"/>
    </xf>
    <xf numFmtId="166" fontId="21" fillId="7" borderId="0" xfId="0" applyFont="1" applyFill="1">
      <alignment vertical="top"/>
    </xf>
    <xf numFmtId="0" fontId="56" fillId="10" borderId="22" xfId="23" applyFont="1" applyFill="1" applyBorder="1" applyAlignment="1">
      <alignment horizontal="center" vertical="top"/>
    </xf>
    <xf numFmtId="0" fontId="56" fillId="10" borderId="23" xfId="23" applyFont="1" applyFill="1" applyBorder="1" applyAlignment="1">
      <alignment horizontal="center" vertical="top"/>
    </xf>
    <xf numFmtId="164" fontId="1" fillId="0" borderId="0" xfId="2" applyFont="1" applyAlignment="1">
      <alignment horizontal="right" vertical="top"/>
    </xf>
    <xf numFmtId="164" fontId="0" fillId="0" borderId="0" xfId="2" applyFont="1" applyAlignment="1">
      <alignment horizontal="right" vertical="top"/>
    </xf>
    <xf numFmtId="169" fontId="9" fillId="7" borderId="0" xfId="1" applyFont="1" applyFill="1" applyBorder="1" applyAlignment="1">
      <alignment horizontal="right" vertical="top"/>
    </xf>
    <xf numFmtId="37" fontId="8" fillId="0" borderId="12" xfId="0" applyNumberFormat="1" applyFont="1" applyBorder="1">
      <alignment vertical="top"/>
    </xf>
    <xf numFmtId="37" fontId="8" fillId="0" borderId="12" xfId="2" applyNumberFormat="1" applyFont="1" applyFill="1" applyBorder="1">
      <alignment vertical="top"/>
    </xf>
    <xf numFmtId="37" fontId="9" fillId="0" borderId="12" xfId="0" applyNumberFormat="1" applyFont="1" applyFill="1" applyBorder="1">
      <alignment vertical="top"/>
    </xf>
    <xf numFmtId="37" fontId="31" fillId="0" borderId="0" xfId="0" applyNumberFormat="1" applyFont="1" applyBorder="1">
      <alignment vertical="top"/>
    </xf>
    <xf numFmtId="37" fontId="18" fillId="0" borderId="0" xfId="0" applyNumberFormat="1" applyFont="1" applyBorder="1">
      <alignment vertical="top"/>
    </xf>
    <xf numFmtId="37" fontId="10" fillId="0" borderId="0" xfId="0" applyNumberFormat="1" applyFont="1" applyBorder="1">
      <alignment vertical="top"/>
    </xf>
    <xf numFmtId="166" fontId="2" fillId="0" borderId="0" xfId="0" applyFont="1" applyBorder="1" applyAlignment="1">
      <alignment wrapText="1"/>
    </xf>
    <xf numFmtId="37" fontId="10" fillId="0" borderId="0" xfId="0" applyNumberFormat="1" applyFont="1" applyFill="1" applyBorder="1">
      <alignment vertical="top"/>
    </xf>
    <xf numFmtId="37" fontId="10" fillId="11" borderId="0" xfId="0" applyNumberFormat="1" applyFont="1" applyFill="1">
      <alignment vertical="top"/>
    </xf>
    <xf numFmtId="166" fontId="21" fillId="7" borderId="5" xfId="8" applyFont="1" applyFill="1" applyBorder="1">
      <alignment vertical="top"/>
    </xf>
    <xf numFmtId="166" fontId="2" fillId="7" borderId="0" xfId="0" applyFont="1" applyFill="1" applyBorder="1">
      <alignment vertical="top"/>
    </xf>
    <xf numFmtId="166" fontId="2" fillId="0" borderId="0" xfId="0" applyFont="1" applyBorder="1">
      <alignment vertical="top"/>
    </xf>
    <xf numFmtId="166" fontId="2" fillId="9" borderId="0" xfId="0" applyFont="1" applyFill="1" applyBorder="1">
      <alignment vertical="top"/>
    </xf>
    <xf numFmtId="166" fontId="9" fillId="0" borderId="12" xfId="0" applyFont="1" applyBorder="1">
      <alignment vertical="top"/>
    </xf>
    <xf numFmtId="166" fontId="62" fillId="0" borderId="8" xfId="0" applyFont="1" applyBorder="1" applyAlignment="1">
      <alignment horizontal="right" vertical="top"/>
    </xf>
    <xf numFmtId="166" fontId="2" fillId="0" borderId="8" xfId="0" applyFont="1" applyBorder="1">
      <alignment vertical="top"/>
    </xf>
    <xf numFmtId="166" fontId="16" fillId="10" borderId="0" xfId="8" applyFont="1" applyFill="1">
      <alignment vertical="top"/>
    </xf>
    <xf numFmtId="166" fontId="12" fillId="10" borderId="0" xfId="8" applyFont="1" applyFill="1">
      <alignment vertical="top"/>
    </xf>
    <xf numFmtId="166" fontId="13" fillId="10" borderId="0" xfId="8" applyFont="1" applyFill="1">
      <alignment vertical="top"/>
    </xf>
    <xf numFmtId="166" fontId="9" fillId="10" borderId="0" xfId="8" applyFont="1" applyFill="1" applyAlignment="1">
      <alignment horizontal="right" vertical="top"/>
    </xf>
    <xf numFmtId="167" fontId="9" fillId="10" borderId="0" xfId="5" applyFont="1" applyFill="1">
      <alignment vertical="top"/>
    </xf>
    <xf numFmtId="0" fontId="56" fillId="10" borderId="22" xfId="23" applyFont="1" applyFill="1" applyBorder="1" applyAlignment="1">
      <alignment horizontal="left" vertical="top"/>
    </xf>
    <xf numFmtId="3" fontId="48" fillId="0" borderId="13" xfId="2" applyNumberFormat="1" applyFont="1" applyBorder="1">
      <alignment vertical="top"/>
    </xf>
    <xf numFmtId="3" fontId="48" fillId="0" borderId="34" xfId="2" applyNumberFormat="1" applyFont="1" applyBorder="1">
      <alignment vertical="top"/>
    </xf>
    <xf numFmtId="166" fontId="48" fillId="0" borderId="26" xfId="0" applyFont="1" applyBorder="1" applyAlignment="1">
      <alignment horizontal="center" vertical="top"/>
    </xf>
    <xf numFmtId="0" fontId="56" fillId="10" borderId="24" xfId="23" applyFont="1" applyFill="1" applyBorder="1" applyAlignment="1">
      <alignment horizontal="center" vertical="top"/>
    </xf>
    <xf numFmtId="0" fontId="56" fillId="10" borderId="30" xfId="23" applyFont="1" applyFill="1" applyBorder="1" applyAlignment="1">
      <alignment vertical="top"/>
    </xf>
    <xf numFmtId="0" fontId="1" fillId="0" borderId="27" xfId="23" applyBorder="1" applyAlignment="1">
      <alignment vertical="top"/>
    </xf>
    <xf numFmtId="0" fontId="1" fillId="0" borderId="30" xfId="23" applyBorder="1" applyAlignment="1">
      <alignment vertical="top"/>
    </xf>
    <xf numFmtId="3" fontId="1" fillId="0" borderId="0" xfId="23" applyNumberFormat="1" applyAlignment="1">
      <alignment vertical="top"/>
    </xf>
    <xf numFmtId="3" fontId="56" fillId="10" borderId="23" xfId="23" applyNumberFormat="1" applyFont="1" applyFill="1" applyBorder="1" applyAlignment="1">
      <alignment horizontal="center" vertical="top"/>
    </xf>
    <xf numFmtId="3" fontId="56" fillId="10" borderId="12" xfId="23" applyNumberFormat="1" applyFont="1" applyFill="1" applyBorder="1" applyAlignment="1">
      <alignment vertical="top"/>
    </xf>
    <xf numFmtId="3" fontId="56" fillId="10" borderId="13" xfId="23" applyNumberFormat="1" applyFont="1" applyFill="1" applyBorder="1" applyAlignment="1">
      <alignment vertical="top"/>
    </xf>
    <xf numFmtId="3" fontId="48" fillId="0" borderId="13" xfId="23" applyNumberFormat="1" applyFont="1" applyBorder="1" applyAlignment="1">
      <alignment vertical="top"/>
    </xf>
    <xf numFmtId="3" fontId="48" fillId="0" borderId="34" xfId="23" applyNumberFormat="1" applyFont="1" applyBorder="1" applyAlignment="1">
      <alignment vertical="top"/>
    </xf>
    <xf numFmtId="167" fontId="48" fillId="0" borderId="13" xfId="5" applyFont="1" applyBorder="1">
      <alignment vertical="top"/>
    </xf>
    <xf numFmtId="0" fontId="1" fillId="10" borderId="0" xfId="23" applyFill="1" applyAlignment="1">
      <alignment vertical="top"/>
    </xf>
    <xf numFmtId="0" fontId="56" fillId="10" borderId="0" xfId="23" applyFont="1" applyFill="1" applyAlignment="1">
      <alignment vertical="top"/>
    </xf>
    <xf numFmtId="0" fontId="2" fillId="10" borderId="27" xfId="23" applyFont="1" applyFill="1" applyBorder="1" applyAlignment="1">
      <alignment vertical="top"/>
    </xf>
    <xf numFmtId="0" fontId="2" fillId="10" borderId="30" xfId="23" applyFont="1" applyFill="1" applyBorder="1" applyAlignment="1">
      <alignment vertical="top"/>
    </xf>
    <xf numFmtId="0" fontId="2" fillId="0" borderId="0" xfId="23" applyFont="1" applyAlignment="1">
      <alignment vertical="top"/>
    </xf>
    <xf numFmtId="0" fontId="2" fillId="10" borderId="33" xfId="23" applyFont="1" applyFill="1" applyBorder="1" applyAlignment="1">
      <alignment vertical="top"/>
    </xf>
    <xf numFmtId="0" fontId="2" fillId="10" borderId="35" xfId="23" applyFont="1" applyFill="1" applyBorder="1" applyAlignment="1">
      <alignment vertical="top"/>
    </xf>
    <xf numFmtId="0" fontId="2" fillId="10" borderId="38" xfId="23" applyFont="1" applyFill="1" applyBorder="1" applyAlignment="1">
      <alignment vertical="top"/>
    </xf>
    <xf numFmtId="0" fontId="2" fillId="0" borderId="27" xfId="23" applyFont="1" applyBorder="1" applyAlignment="1">
      <alignment vertical="top"/>
    </xf>
    <xf numFmtId="0" fontId="2" fillId="0" borderId="30" xfId="23" applyFont="1" applyBorder="1" applyAlignment="1">
      <alignment vertical="top"/>
    </xf>
    <xf numFmtId="0" fontId="61" fillId="0" borderId="16" xfId="23" applyFont="1" applyBorder="1" applyAlignment="1">
      <alignment vertical="top"/>
    </xf>
    <xf numFmtId="0" fontId="61" fillId="10" borderId="16" xfId="23" applyFont="1" applyFill="1" applyBorder="1" applyAlignment="1">
      <alignment vertical="top"/>
    </xf>
    <xf numFmtId="0" fontId="63" fillId="0" borderId="13" xfId="23" applyFont="1" applyBorder="1" applyAlignment="1">
      <alignment horizontal="center" vertical="top"/>
    </xf>
    <xf numFmtId="0" fontId="61" fillId="0" borderId="13" xfId="23" applyFont="1" applyBorder="1" applyAlignment="1">
      <alignment vertical="top"/>
    </xf>
    <xf numFmtId="0" fontId="61" fillId="0" borderId="13" xfId="23" applyFont="1" applyBorder="1" applyAlignment="1">
      <alignment horizontal="center" vertical="top"/>
    </xf>
    <xf numFmtId="0" fontId="61" fillId="10" borderId="13" xfId="23" applyFont="1" applyFill="1" applyBorder="1" applyAlignment="1">
      <alignment vertical="top"/>
    </xf>
    <xf numFmtId="0" fontId="61" fillId="0" borderId="13" xfId="23" quotePrefix="1" applyFont="1" applyBorder="1" applyAlignment="1">
      <alignment vertical="top"/>
    </xf>
    <xf numFmtId="0" fontId="61" fillId="0" borderId="34" xfId="23" applyFont="1" applyBorder="1" applyAlignment="1">
      <alignment vertical="top"/>
    </xf>
    <xf numFmtId="0" fontId="61" fillId="10" borderId="34" xfId="23" applyFont="1" applyFill="1" applyBorder="1" applyAlignment="1">
      <alignment vertical="top"/>
    </xf>
    <xf numFmtId="0" fontId="63" fillId="0" borderId="34" xfId="23" applyFont="1" applyBorder="1" applyAlignment="1">
      <alignment horizontal="center" vertical="top"/>
    </xf>
    <xf numFmtId="0" fontId="61" fillId="0" borderId="34" xfId="23" applyFont="1" applyBorder="1" applyAlignment="1">
      <alignment horizontal="center" vertical="top"/>
    </xf>
    <xf numFmtId="0" fontId="61" fillId="0" borderId="0" xfId="23" applyFont="1" applyAlignment="1">
      <alignment vertical="top"/>
    </xf>
    <xf numFmtId="0" fontId="63" fillId="10" borderId="22" xfId="23" applyFont="1" applyFill="1" applyBorder="1" applyAlignment="1">
      <alignment horizontal="left" vertical="top"/>
    </xf>
    <xf numFmtId="0" fontId="63" fillId="10" borderId="22" xfId="23" applyFont="1" applyFill="1" applyBorder="1" applyAlignment="1">
      <alignment horizontal="center" vertical="top"/>
    </xf>
    <xf numFmtId="0" fontId="63" fillId="10" borderId="23" xfId="23" applyFont="1" applyFill="1" applyBorder="1" applyAlignment="1">
      <alignment horizontal="center" vertical="top"/>
    </xf>
    <xf numFmtId="0" fontId="61" fillId="10" borderId="28" xfId="23" applyFont="1" applyFill="1" applyBorder="1" applyAlignment="1">
      <alignment vertical="top"/>
    </xf>
    <xf numFmtId="0" fontId="63" fillId="10" borderId="29" xfId="23" applyFont="1" applyFill="1" applyBorder="1" applyAlignment="1">
      <alignment vertical="top"/>
    </xf>
    <xf numFmtId="0" fontId="63" fillId="10" borderId="0" xfId="23" applyFont="1" applyFill="1" applyAlignment="1">
      <alignment vertical="top"/>
    </xf>
    <xf numFmtId="0" fontId="63" fillId="10" borderId="25" xfId="23" applyFont="1" applyFill="1" applyBorder="1" applyAlignment="1">
      <alignment vertical="top"/>
    </xf>
    <xf numFmtId="0" fontId="63" fillId="10" borderId="12" xfId="23" applyFont="1" applyFill="1" applyBorder="1" applyAlignment="1">
      <alignment vertical="top"/>
    </xf>
    <xf numFmtId="0" fontId="63" fillId="10" borderId="26" xfId="23" applyFont="1" applyFill="1" applyBorder="1" applyAlignment="1">
      <alignment vertical="top"/>
    </xf>
    <xf numFmtId="0" fontId="61" fillId="10" borderId="31" xfId="23" applyFont="1" applyFill="1" applyBorder="1" applyAlignment="1">
      <alignment vertical="top"/>
    </xf>
    <xf numFmtId="0" fontId="61" fillId="10" borderId="32" xfId="23" applyFont="1" applyFill="1" applyBorder="1" applyAlignment="1">
      <alignment vertical="top"/>
    </xf>
    <xf numFmtId="0" fontId="61" fillId="10" borderId="0" xfId="23" applyFont="1" applyFill="1" applyAlignment="1">
      <alignment vertical="top"/>
    </xf>
    <xf numFmtId="0" fontId="63" fillId="10" borderId="13" xfId="23" applyFont="1" applyFill="1" applyBorder="1" applyAlignment="1">
      <alignment vertical="top"/>
    </xf>
    <xf numFmtId="0" fontId="63" fillId="0" borderId="34" xfId="23" applyFont="1" applyBorder="1" applyAlignment="1">
      <alignment vertical="top"/>
    </xf>
    <xf numFmtId="0" fontId="63" fillId="0" borderId="13" xfId="23" applyFont="1" applyBorder="1" applyAlignment="1">
      <alignment vertical="top"/>
    </xf>
    <xf numFmtId="0" fontId="61" fillId="10" borderId="26" xfId="23" applyFont="1" applyFill="1" applyBorder="1" applyAlignment="1">
      <alignment vertical="top"/>
    </xf>
    <xf numFmtId="0" fontId="63" fillId="10" borderId="31" xfId="23" applyFont="1" applyFill="1" applyBorder="1" applyAlignment="1">
      <alignment vertical="top"/>
    </xf>
    <xf numFmtId="0" fontId="63" fillId="10" borderId="32" xfId="23" applyFont="1" applyFill="1" applyBorder="1" applyAlignment="1">
      <alignment vertical="top"/>
    </xf>
    <xf numFmtId="164" fontId="48" fillId="0" borderId="0" xfId="0" applyNumberFormat="1" applyFont="1">
      <alignment vertical="top"/>
    </xf>
    <xf numFmtId="166" fontId="47" fillId="3" borderId="0" xfId="0" applyFont="1" applyFill="1">
      <alignment vertical="top"/>
    </xf>
    <xf numFmtId="177" fontId="10" fillId="8" borderId="0" xfId="0" applyNumberFormat="1" applyFont="1" applyFill="1">
      <alignment vertical="top"/>
    </xf>
    <xf numFmtId="166" fontId="16" fillId="8" borderId="0" xfId="8" applyFont="1" applyFill="1">
      <alignment vertical="top"/>
    </xf>
    <xf numFmtId="166" fontId="12" fillId="8" borderId="0" xfId="8" applyFont="1" applyFill="1">
      <alignment vertical="top"/>
    </xf>
    <xf numFmtId="166" fontId="13" fillId="8" borderId="0" xfId="8" applyFont="1" applyFill="1">
      <alignment vertical="top"/>
    </xf>
    <xf numFmtId="166" fontId="9" fillId="8" borderId="0" xfId="8" applyFont="1" applyFill="1" applyAlignment="1">
      <alignment horizontal="right" vertical="top"/>
    </xf>
    <xf numFmtId="164" fontId="8" fillId="0" borderId="8" xfId="2" applyFont="1" applyBorder="1">
      <alignment vertical="top"/>
    </xf>
    <xf numFmtId="37" fontId="8" fillId="7" borderId="0" xfId="0" applyNumberFormat="1" applyFont="1" applyFill="1" applyBorder="1">
      <alignment vertical="top"/>
    </xf>
    <xf numFmtId="37" fontId="8" fillId="0" borderId="36" xfId="0" applyNumberFormat="1" applyFont="1" applyBorder="1">
      <alignment vertical="top"/>
    </xf>
    <xf numFmtId="166" fontId="2" fillId="7" borderId="0" xfId="0" applyFont="1" applyFill="1" applyBorder="1" applyAlignment="1">
      <alignment horizontal="right" wrapText="1"/>
    </xf>
    <xf numFmtId="166" fontId="2" fillId="7" borderId="0" xfId="0" applyFont="1" applyFill="1" applyBorder="1" applyAlignment="1">
      <alignment horizontal="right" vertical="top" wrapText="1"/>
    </xf>
    <xf numFmtId="179" fontId="10" fillId="0" borderId="0" xfId="1" applyNumberFormat="1" applyFont="1">
      <alignment vertical="top"/>
    </xf>
    <xf numFmtId="166" fontId="48" fillId="0" borderId="37" xfId="0" applyFont="1" applyBorder="1" applyAlignment="1">
      <alignment horizontal="center" vertical="top"/>
    </xf>
    <xf numFmtId="166" fontId="48" fillId="0" borderId="34" xfId="0" applyFont="1" applyBorder="1" applyAlignment="1">
      <alignment horizontal="center" vertical="top"/>
    </xf>
    <xf numFmtId="166" fontId="64" fillId="0" borderId="26" xfId="0" applyFont="1" applyBorder="1" applyAlignment="1">
      <alignment horizontal="center" vertical="top"/>
    </xf>
    <xf numFmtId="166" fontId="48" fillId="0" borderId="26" xfId="0" applyFont="1" applyFill="1" applyBorder="1" applyAlignment="1">
      <alignment horizontal="center" vertical="top"/>
    </xf>
    <xf numFmtId="166" fontId="48" fillId="0" borderId="13" xfId="0" applyFont="1" applyFill="1" applyBorder="1" applyAlignment="1">
      <alignment horizontal="center" vertical="top"/>
    </xf>
    <xf numFmtId="0" fontId="48" fillId="0" borderId="37" xfId="23" applyFont="1" applyBorder="1" applyAlignment="1">
      <alignment horizontal="center" vertical="top"/>
    </xf>
    <xf numFmtId="37" fontId="48" fillId="0" borderId="34" xfId="23" applyNumberFormat="1" applyFont="1" applyBorder="1" applyAlignment="1">
      <alignment horizontal="center" vertical="top"/>
    </xf>
    <xf numFmtId="0" fontId="48" fillId="0" borderId="34" xfId="23" applyFont="1" applyBorder="1" applyAlignment="1">
      <alignment horizontal="center" vertical="top"/>
    </xf>
    <xf numFmtId="166" fontId="21" fillId="16" borderId="0" xfId="0" applyFont="1" applyFill="1" applyBorder="1" applyAlignment="1">
      <alignment horizontal="left" vertical="top"/>
    </xf>
    <xf numFmtId="166" fontId="8" fillId="16" borderId="0" xfId="0" applyFont="1" applyFill="1" applyBorder="1" applyAlignment="1">
      <alignment horizontal="left" vertical="top" wrapText="1"/>
    </xf>
    <xf numFmtId="49" fontId="21" fillId="16" borderId="0" xfId="0" applyNumberFormat="1" applyFont="1" applyFill="1" applyBorder="1" applyAlignment="1">
      <alignment horizontal="left" vertical="top" wrapText="1"/>
    </xf>
  </cellXfs>
  <cellStyles count="24">
    <cellStyle name="DateLong" xfId="7"/>
    <cellStyle name="DateShort" xfId="3"/>
    <cellStyle name="DateShort 2" xfId="11"/>
    <cellStyle name="Factor" xfId="5"/>
    <cellStyle name="Factor 2" xfId="16"/>
    <cellStyle name="Factor 3" xfId="22"/>
    <cellStyle name="Factor 4" xfId="10"/>
    <cellStyle name="Hyperlink 2" xfId="17"/>
    <cellStyle name="Lien hypertexte" xfId="6" builtinId="8"/>
    <cellStyle name="Normal" xfId="0" builtinId="0" customBuiltin="1"/>
    <cellStyle name="Normal 2" xfId="8"/>
    <cellStyle name="Normal 2 2" xfId="13"/>
    <cellStyle name="Normal 3" xfId="15"/>
    <cellStyle name="Normal 35" xfId="18"/>
    <cellStyle name="Normal 35 3" xfId="19"/>
    <cellStyle name="Normal 4" xfId="14"/>
    <cellStyle name="Normal 5" xfId="9"/>
    <cellStyle name="Normal 6" xfId="23"/>
    <cellStyle name="Percent 2" xfId="21"/>
    <cellStyle name="Pourcentage" xfId="1" builtinId="5" customBuiltin="1"/>
    <cellStyle name="SourceNote" xfId="4"/>
    <cellStyle name="Year" xfId="2"/>
    <cellStyle name="Year 2" xfId="20"/>
    <cellStyle name="Year 3" xfId="12"/>
  </cellStyles>
  <dxfs count="235"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4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CCFFFF"/>
        </patternFill>
      </fill>
    </dxf>
    <dxf>
      <font>
        <b val="0"/>
        <i val="0"/>
        <condense val="0"/>
        <extend val="0"/>
      </font>
      <fill>
        <patternFill>
          <bgColor indexed="47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FF7F"/>
      <color rgb="FFC0C0C0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calcChain" Target="calcChain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Charts!$E$87</c:f>
          <c:strCache>
            <c:ptCount val="1"/>
            <c:pt idx="0">
              <c:v> PROJECT CASHFLOWS 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345345386578"/>
          <c:y val="9.1577876787855117E-2"/>
          <c:w val="0.87888703666290224"/>
          <c:h val="0.872361767223121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Charts!$E$92</c:f>
              <c:strCache>
                <c:ptCount val="1"/>
                <c:pt idx="0">
                  <c:v> Copper gross revenue (at realized prices)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Charts!$L$91:$AV$91</c15:sqref>
                  </c15:fullRef>
                </c:ext>
              </c:extLst>
              <c:f>Charts!$L$91:$AG$91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Charts!$L$92:$AV$92</c15:sqref>
                  </c15:fullRef>
                </c:ext>
              </c:extLst>
              <c:f>Charts!$L$92:$AG$92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56.882825869581119</c:v>
                </c:pt>
                <c:pt idx="5">
                  <c:v>537.90040239011887</c:v>
                </c:pt>
                <c:pt idx="6">
                  <c:v>466.86178216090872</c:v>
                </c:pt>
                <c:pt idx="7">
                  <c:v>846.94161577854641</c:v>
                </c:pt>
                <c:pt idx="8">
                  <c:v>827.43128123694396</c:v>
                </c:pt>
                <c:pt idx="9">
                  <c:v>827.53678415828165</c:v>
                </c:pt>
                <c:pt idx="10">
                  <c:v>855.37158418205354</c:v>
                </c:pt>
                <c:pt idx="11">
                  <c:v>870.43262455927129</c:v>
                </c:pt>
                <c:pt idx="12">
                  <c:v>871.18297689339511</c:v>
                </c:pt>
                <c:pt idx="13">
                  <c:v>878.19958614320012</c:v>
                </c:pt>
                <c:pt idx="14">
                  <c:v>869.03680141350003</c:v>
                </c:pt>
                <c:pt idx="15">
                  <c:v>864.81700401760008</c:v>
                </c:pt>
                <c:pt idx="16">
                  <c:v>890.0243598372424</c:v>
                </c:pt>
                <c:pt idx="17">
                  <c:v>904.18180084522714</c:v>
                </c:pt>
                <c:pt idx="18">
                  <c:v>900.89337784761744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05-44B2-AC86-95074DE616BF}"/>
            </c:ext>
          </c:extLst>
        </c:ser>
        <c:ser>
          <c:idx val="1"/>
          <c:order val="1"/>
          <c:tx>
            <c:strRef>
              <c:f>Charts!$E$93</c:f>
              <c:strCache>
                <c:ptCount val="1"/>
                <c:pt idx="0">
                  <c:v> Cobalt gross revenue (at realized prices)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Charts!$L$91:$AV$91</c15:sqref>
                  </c15:fullRef>
                </c:ext>
              </c:extLst>
              <c:f>Charts!$L$91:$AG$91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Charts!$L$93:$AV$93</c15:sqref>
                  </c15:fullRef>
                </c:ext>
              </c:extLst>
              <c:f>Charts!$L$93:$AG$93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10.253428059846346</c:v>
                </c:pt>
                <c:pt idx="5">
                  <c:v>408.69518197966062</c:v>
                </c:pt>
                <c:pt idx="6">
                  <c:v>334.11109565874864</c:v>
                </c:pt>
                <c:pt idx="7">
                  <c:v>707.98561665940747</c:v>
                </c:pt>
                <c:pt idx="8">
                  <c:v>962.82272674877015</c:v>
                </c:pt>
                <c:pt idx="9">
                  <c:v>459.45869682312974</c:v>
                </c:pt>
                <c:pt idx="10">
                  <c:v>342.2851374481404</c:v>
                </c:pt>
                <c:pt idx="11">
                  <c:v>533.32637908197103</c:v>
                </c:pt>
                <c:pt idx="12">
                  <c:v>519.95175299846198</c:v>
                </c:pt>
                <c:pt idx="13">
                  <c:v>491.01727649102816</c:v>
                </c:pt>
                <c:pt idx="14">
                  <c:v>529.29819445445742</c:v>
                </c:pt>
                <c:pt idx="15">
                  <c:v>528.53468233551689</c:v>
                </c:pt>
                <c:pt idx="16">
                  <c:v>510.64196185793799</c:v>
                </c:pt>
                <c:pt idx="17">
                  <c:v>586.28641494261217</c:v>
                </c:pt>
                <c:pt idx="18">
                  <c:v>619.55874553144668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05-44B2-AC86-95074DE616BF}"/>
            </c:ext>
          </c:extLst>
        </c:ser>
        <c:ser>
          <c:idx val="2"/>
          <c:order val="2"/>
          <c:tx>
            <c:strRef>
              <c:f>Charts!$E$101</c:f>
              <c:strCache>
                <c:ptCount val="1"/>
                <c:pt idx="0">
                  <c:v> Realization costs Cu and Co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22"/>
              <c:pt idx="0">
                <c:v>2014 </c:v>
              </c:pt>
              <c:pt idx="1">
                <c:v>2015 </c:v>
              </c:pt>
              <c:pt idx="2">
                <c:v>2016 </c:v>
              </c:pt>
              <c:pt idx="3">
                <c:v>2017 </c:v>
              </c:pt>
              <c:pt idx="4">
                <c:v>2018 </c:v>
              </c:pt>
              <c:pt idx="5">
                <c:v>2019 </c:v>
              </c:pt>
              <c:pt idx="6">
                <c:v>2020 </c:v>
              </c:pt>
              <c:pt idx="7">
                <c:v>2021 </c:v>
              </c:pt>
              <c:pt idx="8">
                <c:v>2022 </c:v>
              </c:pt>
              <c:pt idx="9">
                <c:v>2023 </c:v>
              </c:pt>
              <c:pt idx="10">
                <c:v>2024 </c:v>
              </c:pt>
              <c:pt idx="11">
                <c:v>2025 </c:v>
              </c:pt>
              <c:pt idx="12">
                <c:v>2026 </c:v>
              </c:pt>
              <c:pt idx="13">
                <c:v>2027 </c:v>
              </c:pt>
              <c:pt idx="14">
                <c:v>2028 </c:v>
              </c:pt>
              <c:pt idx="15">
                <c:v>2029 </c:v>
              </c:pt>
              <c:pt idx="16">
                <c:v>2030 </c:v>
              </c:pt>
              <c:pt idx="17">
                <c:v>2031 </c:v>
              </c:pt>
              <c:pt idx="18">
                <c:v>2032 </c:v>
              </c:pt>
              <c:pt idx="19">
                <c:v>2033 </c:v>
              </c:pt>
              <c:pt idx="20">
                <c:v>2034 </c:v>
              </c:pt>
              <c:pt idx="21">
                <c:v>2035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Charts!$L$101:$AV$101</c15:sqref>
                  </c15:fullRef>
                </c:ext>
              </c:extLst>
              <c:f>Charts!$L$101:$AG$101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05-44B2-AC86-95074DE616BF}"/>
            </c:ext>
          </c:extLst>
        </c:ser>
        <c:ser>
          <c:idx val="4"/>
          <c:order val="3"/>
          <c:tx>
            <c:strRef>
              <c:f>Charts!$E$103</c:f>
              <c:strCache>
                <c:ptCount val="1"/>
                <c:pt idx="0">
                  <c:v> Capital Costs inc. Sens.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22"/>
              <c:pt idx="0">
                <c:v>2014 </c:v>
              </c:pt>
              <c:pt idx="1">
                <c:v>2015 </c:v>
              </c:pt>
              <c:pt idx="2">
                <c:v>2016 </c:v>
              </c:pt>
              <c:pt idx="3">
                <c:v>2017 </c:v>
              </c:pt>
              <c:pt idx="4">
                <c:v>2018 </c:v>
              </c:pt>
              <c:pt idx="5">
                <c:v>2019 </c:v>
              </c:pt>
              <c:pt idx="6">
                <c:v>2020 </c:v>
              </c:pt>
              <c:pt idx="7">
                <c:v>2021 </c:v>
              </c:pt>
              <c:pt idx="8">
                <c:v>2022 </c:v>
              </c:pt>
              <c:pt idx="9">
                <c:v>2023 </c:v>
              </c:pt>
              <c:pt idx="10">
                <c:v>2024 </c:v>
              </c:pt>
              <c:pt idx="11">
                <c:v>2025 </c:v>
              </c:pt>
              <c:pt idx="12">
                <c:v>2026 </c:v>
              </c:pt>
              <c:pt idx="13">
                <c:v>2027 </c:v>
              </c:pt>
              <c:pt idx="14">
                <c:v>2028 </c:v>
              </c:pt>
              <c:pt idx="15">
                <c:v>2029 </c:v>
              </c:pt>
              <c:pt idx="16">
                <c:v>2030 </c:v>
              </c:pt>
              <c:pt idx="17">
                <c:v>2031 </c:v>
              </c:pt>
              <c:pt idx="18">
                <c:v>2032 </c:v>
              </c:pt>
              <c:pt idx="19">
                <c:v>2033 </c:v>
              </c:pt>
              <c:pt idx="20">
                <c:v>2034 </c:v>
              </c:pt>
              <c:pt idx="21">
                <c:v>2035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Charts!$L$103:$AV$103</c15:sqref>
                  </c15:fullRef>
                </c:ext>
              </c:extLst>
              <c:f>Charts!$L$103:$AG$103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-1010.1999999999999</c:v>
                </c:pt>
                <c:pt idx="5">
                  <c:v>-175.6</c:v>
                </c:pt>
                <c:pt idx="6">
                  <c:v>-59.637940489648081</c:v>
                </c:pt>
                <c:pt idx="7">
                  <c:v>-19.714240787317188</c:v>
                </c:pt>
                <c:pt idx="8">
                  <c:v>-22.205587260857488</c:v>
                </c:pt>
                <c:pt idx="9">
                  <c:v>-7.270379772582368</c:v>
                </c:pt>
                <c:pt idx="10">
                  <c:v>-32.762129135977283</c:v>
                </c:pt>
                <c:pt idx="11">
                  <c:v>-14.785349673189831</c:v>
                </c:pt>
                <c:pt idx="12">
                  <c:v>-37.291985621134906</c:v>
                </c:pt>
                <c:pt idx="13">
                  <c:v>-11.106368397789192</c:v>
                </c:pt>
                <c:pt idx="14">
                  <c:v>-24.717558956867318</c:v>
                </c:pt>
                <c:pt idx="15">
                  <c:v>-10.625875307545776</c:v>
                </c:pt>
                <c:pt idx="16">
                  <c:v>-47.657903486366287</c:v>
                </c:pt>
                <c:pt idx="17">
                  <c:v>-9.2044613597337044</c:v>
                </c:pt>
                <c:pt idx="18">
                  <c:v>-19.217189482619023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05-44B2-AC86-95074DE616BF}"/>
            </c:ext>
          </c:extLst>
        </c:ser>
        <c:ser>
          <c:idx val="3"/>
          <c:order val="4"/>
          <c:tx>
            <c:strRef>
              <c:f>Charts!$E$102</c:f>
              <c:strCache>
                <c:ptCount val="1"/>
                <c:pt idx="0">
                  <c:v> Operating costs, including Sens.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Lit>
              <c:ptCount val="22"/>
              <c:pt idx="0">
                <c:v>2014 </c:v>
              </c:pt>
              <c:pt idx="1">
                <c:v>2015 </c:v>
              </c:pt>
              <c:pt idx="2">
                <c:v>2016 </c:v>
              </c:pt>
              <c:pt idx="3">
                <c:v>2017 </c:v>
              </c:pt>
              <c:pt idx="4">
                <c:v>2018 </c:v>
              </c:pt>
              <c:pt idx="5">
                <c:v>2019 </c:v>
              </c:pt>
              <c:pt idx="6">
                <c:v>2020 </c:v>
              </c:pt>
              <c:pt idx="7">
                <c:v>2021 </c:v>
              </c:pt>
              <c:pt idx="8">
                <c:v>2022 </c:v>
              </c:pt>
              <c:pt idx="9">
                <c:v>2023 </c:v>
              </c:pt>
              <c:pt idx="10">
                <c:v>2024 </c:v>
              </c:pt>
              <c:pt idx="11">
                <c:v>2025 </c:v>
              </c:pt>
              <c:pt idx="12">
                <c:v>2026 </c:v>
              </c:pt>
              <c:pt idx="13">
                <c:v>2027 </c:v>
              </c:pt>
              <c:pt idx="14">
                <c:v>2028 </c:v>
              </c:pt>
              <c:pt idx="15">
                <c:v>2029 </c:v>
              </c:pt>
              <c:pt idx="16">
                <c:v>2030 </c:v>
              </c:pt>
              <c:pt idx="17">
                <c:v>2031 </c:v>
              </c:pt>
              <c:pt idx="18">
                <c:v>2032 </c:v>
              </c:pt>
              <c:pt idx="19">
                <c:v>2033 </c:v>
              </c:pt>
              <c:pt idx="20">
                <c:v>2034 </c:v>
              </c:pt>
              <c:pt idx="21">
                <c:v>2035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Charts!$L$102:$AV$102</c15:sqref>
                  </c15:fullRef>
                </c:ext>
              </c:extLst>
              <c:f>Charts!$L$102:$AG$102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-46.775406120166977</c:v>
                </c:pt>
                <c:pt idx="5">
                  <c:v>-565.92033188147025</c:v>
                </c:pt>
                <c:pt idx="6">
                  <c:v>-432.34975533242329</c:v>
                </c:pt>
                <c:pt idx="7">
                  <c:v>-563.86968273401851</c:v>
                </c:pt>
                <c:pt idx="8">
                  <c:v>-806.95561953116135</c:v>
                </c:pt>
                <c:pt idx="9">
                  <c:v>-980.90533653037528</c:v>
                </c:pt>
                <c:pt idx="10">
                  <c:v>-1045.4432218671402</c:v>
                </c:pt>
                <c:pt idx="11">
                  <c:v>-1199.2561401587307</c:v>
                </c:pt>
                <c:pt idx="12">
                  <c:v>-1235.2970237000936</c:v>
                </c:pt>
                <c:pt idx="13">
                  <c:v>-1125.1808936331668</c:v>
                </c:pt>
                <c:pt idx="14">
                  <c:v>-1134.5764767086639</c:v>
                </c:pt>
                <c:pt idx="15">
                  <c:v>-1178.5061704732586</c:v>
                </c:pt>
                <c:pt idx="16">
                  <c:v>-1177.3476157134869</c:v>
                </c:pt>
                <c:pt idx="17">
                  <c:v>-1274.2426194881346</c:v>
                </c:pt>
                <c:pt idx="18">
                  <c:v>-1332.0006145204636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05-44B2-AC86-95074DE61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lineChart>
        <c:grouping val="standard"/>
        <c:varyColors val="0"/>
        <c:ser>
          <c:idx val="5"/>
          <c:order val="5"/>
          <c:tx>
            <c:strRef>
              <c:f>Charts!$E$99</c:f>
              <c:strCache>
                <c:ptCount val="1"/>
                <c:pt idx="0">
                  <c:v> Project cashflows before tax 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Lit>
              <c:ptCount val="22"/>
              <c:pt idx="0">
                <c:v>2014 </c:v>
              </c:pt>
              <c:pt idx="1">
                <c:v>2015 </c:v>
              </c:pt>
              <c:pt idx="2">
                <c:v>2016 </c:v>
              </c:pt>
              <c:pt idx="3">
                <c:v>2017 </c:v>
              </c:pt>
              <c:pt idx="4">
                <c:v>2018 </c:v>
              </c:pt>
              <c:pt idx="5">
                <c:v>2019 </c:v>
              </c:pt>
              <c:pt idx="6">
                <c:v>2020 </c:v>
              </c:pt>
              <c:pt idx="7">
                <c:v>2021 </c:v>
              </c:pt>
              <c:pt idx="8">
                <c:v>2022 </c:v>
              </c:pt>
              <c:pt idx="9">
                <c:v>2023 </c:v>
              </c:pt>
              <c:pt idx="10">
                <c:v>2024 </c:v>
              </c:pt>
              <c:pt idx="11">
                <c:v>2025 </c:v>
              </c:pt>
              <c:pt idx="12">
                <c:v>2026 </c:v>
              </c:pt>
              <c:pt idx="13">
                <c:v>2027 </c:v>
              </c:pt>
              <c:pt idx="14">
                <c:v>2028 </c:v>
              </c:pt>
              <c:pt idx="15">
                <c:v>2029 </c:v>
              </c:pt>
              <c:pt idx="16">
                <c:v>2030 </c:v>
              </c:pt>
              <c:pt idx="17">
                <c:v>2031 </c:v>
              </c:pt>
              <c:pt idx="18">
                <c:v>2032 </c:v>
              </c:pt>
              <c:pt idx="19">
                <c:v>2033 </c:v>
              </c:pt>
              <c:pt idx="20">
                <c:v>2034 </c:v>
              </c:pt>
              <c:pt idx="21">
                <c:v>2035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Charts!$L$99:$AV$99</c15:sqref>
                  </c15:fullRef>
                </c:ext>
              </c:extLst>
              <c:f>Charts!$L$99:$AG$99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-943.06374607057251</c:v>
                </c:pt>
                <c:pt idx="5">
                  <c:v>770.99558436977952</c:v>
                </c:pt>
                <c:pt idx="6">
                  <c:v>314.33493733000921</c:v>
                </c:pt>
                <c:pt idx="7">
                  <c:v>1003.2129916506368</c:v>
                </c:pt>
                <c:pt idx="8">
                  <c:v>1063.0484207248564</c:v>
                </c:pt>
                <c:pt idx="9">
                  <c:v>555.43352993011024</c:v>
                </c:pt>
                <c:pt idx="10">
                  <c:v>404.33052632425427</c:v>
                </c:pt>
                <c:pt idx="11">
                  <c:v>603.51914712237158</c:v>
                </c:pt>
                <c:pt idx="12">
                  <c:v>552.92060449538792</c:v>
                </c:pt>
                <c:pt idx="13">
                  <c:v>541.23665696978128</c:v>
                </c:pt>
                <c:pt idx="14">
                  <c:v>535.78080999474901</c:v>
                </c:pt>
                <c:pt idx="15">
                  <c:v>531.50535740522753</c:v>
                </c:pt>
                <c:pt idx="16">
                  <c:v>486.3857379523771</c:v>
                </c:pt>
                <c:pt idx="17">
                  <c:v>584.03809811517249</c:v>
                </c:pt>
                <c:pt idx="18">
                  <c:v>598.7933418756794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B05-44B2-AC86-95074DE61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884288"/>
        <c:axId val="348884768"/>
      </c:line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Charts!$E$88</c:f>
              <c:strCache>
                <c:ptCount val="1"/>
                <c:pt idx="0">
                  <c:v> $ mn 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362813917749472"/>
          <c:y val="9.4119924597097934E-2"/>
          <c:w val="0.32662229054835934"/>
          <c:h val="0.3134400063328657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Charts!$E$48</c:f>
          <c:strCache>
            <c:ptCount val="1"/>
            <c:pt idx="0">
              <c:v> COPPER AND COBALT PRICES 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Charts!$E$54</c:f>
              <c:strCache>
                <c:ptCount val="1"/>
                <c:pt idx="0">
                  <c:v> Copper realized price: SOM_Contract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Charts!$L$53:$AV$53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Charts!$L$54:$AV$54</c:f>
              <c:numCache>
                <c:formatCode>#,##0_);\(#,##0\);"-  ";" "@" "</c:formatCode>
                <c:ptCount val="37"/>
                <c:pt idx="0">
                  <c:v>6496.9805415999999</c:v>
                </c:pt>
                <c:pt idx="1">
                  <c:v>5153.7817096000008</c:v>
                </c:pt>
                <c:pt idx="2">
                  <c:v>4515.8481416000004</c:v>
                </c:pt>
                <c:pt idx="3">
                  <c:v>5808.5164319999994</c:v>
                </c:pt>
                <c:pt idx="4">
                  <c:v>6165.7834543999998</c:v>
                </c:pt>
                <c:pt idx="5">
                  <c:v>5649.8719560000009</c:v>
                </c:pt>
                <c:pt idx="6">
                  <c:v>5813.1011823999997</c:v>
                </c:pt>
                <c:pt idx="7">
                  <c:v>8933.3236551999998</c:v>
                </c:pt>
                <c:pt idx="8">
                  <c:v>8448.3487975999997</c:v>
                </c:pt>
                <c:pt idx="9">
                  <c:v>8112.6285136000006</c:v>
                </c:pt>
                <c:pt idx="10">
                  <c:v>8172.1577944000001</c:v>
                </c:pt>
                <c:pt idx="11">
                  <c:v>8281.8681512000003</c:v>
                </c:pt>
                <c:pt idx="12">
                  <c:v>8296.8226975999987</c:v>
                </c:pt>
                <c:pt idx="13">
                  <c:v>8288.342200000001</c:v>
                </c:pt>
                <c:pt idx="14">
                  <c:v>8276.3045000000002</c:v>
                </c:pt>
                <c:pt idx="15">
                  <c:v>8289.0868000000009</c:v>
                </c:pt>
                <c:pt idx="16">
                  <c:v>8476.261022049508</c:v>
                </c:pt>
                <c:pt idx="17">
                  <c:v>8652.126242490498</c:v>
                </c:pt>
                <c:pt idx="18">
                  <c:v>8831.5087673403086</c:v>
                </c:pt>
                <c:pt idx="19">
                  <c:v>9014.4789426871157</c:v>
                </c:pt>
                <c:pt idx="20">
                  <c:v>9201.1085215408566</c:v>
                </c:pt>
                <c:pt idx="21">
                  <c:v>9391.4706919716737</c:v>
                </c:pt>
                <c:pt idx="22">
                  <c:v>9585.6401058111078</c:v>
                </c:pt>
                <c:pt idx="23">
                  <c:v>9783.6929079273305</c:v>
                </c:pt>
                <c:pt idx="24">
                  <c:v>9985.7067660858793</c:v>
                </c:pt>
                <c:pt idx="25">
                  <c:v>10191.760901407597</c:v>
                </c:pt>
                <c:pt idx="26">
                  <c:v>10401.936119435748</c:v>
                </c:pt>
                <c:pt idx="27">
                  <c:v>10616.314841824464</c:v>
                </c:pt>
                <c:pt idx="28">
                  <c:v>10834.981138660954</c:v>
                </c:pt>
                <c:pt idx="29">
                  <c:v>11058.020761434174</c:v>
                </c:pt>
                <c:pt idx="30">
                  <c:v>11285.521176662856</c:v>
                </c:pt>
                <c:pt idx="31">
                  <c:v>11517.571600196114</c:v>
                </c:pt>
                <c:pt idx="32">
                  <c:v>11754.263032200037</c:v>
                </c:pt>
                <c:pt idx="33">
                  <c:v>11995.688292844037</c:v>
                </c:pt>
                <c:pt idx="34">
                  <c:v>12241.942058700921</c:v>
                </c:pt>
                <c:pt idx="35">
                  <c:v>12493.120899874939</c:v>
                </c:pt>
                <c:pt idx="36">
                  <c:v>12749.323317872437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7-49C6-AA3B-A6A0431CE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884288"/>
        <c:axId val="348884768"/>
      </c:lineChart>
      <c:lineChart>
        <c:grouping val="standard"/>
        <c:varyColors val="0"/>
        <c:ser>
          <c:idx val="1"/>
          <c:order val="1"/>
          <c:tx>
            <c:strRef>
              <c:f>Charts!$E$55</c:f>
              <c:strCache>
                <c:ptCount val="1"/>
                <c:pt idx="0">
                  <c:v> Cobalt realized Price: SOM_Contract (RHS)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Charts!$L$53:$AV$53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Charts!$L$55:$AV$55</c:f>
              <c:numCache>
                <c:formatCode>#,##0_);\(#,##0\);"-  ";" "@" "</c:formatCode>
                <c:ptCount val="37"/>
                <c:pt idx="0">
                  <c:v>19920.981581921755</c:v>
                </c:pt>
                <c:pt idx="1">
                  <c:v>18302.370220466593</c:v>
                </c:pt>
                <c:pt idx="2">
                  <c:v>16225.626703739015</c:v>
                </c:pt>
                <c:pt idx="3">
                  <c:v>37330.729646172702</c:v>
                </c:pt>
                <c:pt idx="4">
                  <c:v>49199.997296038942</c:v>
                </c:pt>
                <c:pt idx="5">
                  <c:v>21586.73144835007</c:v>
                </c:pt>
                <c:pt idx="6">
                  <c:v>20382.570501387789</c:v>
                </c:pt>
                <c:pt idx="7">
                  <c:v>34136.239954648387</c:v>
                </c:pt>
                <c:pt idx="8">
                  <c:v>42843.533428948969</c:v>
                </c:pt>
                <c:pt idx="9">
                  <c:v>22349.386945380375</c:v>
                </c:pt>
                <c:pt idx="10">
                  <c:v>16825.696182870786</c:v>
                </c:pt>
                <c:pt idx="11">
                  <c:v>26328.004101395614</c:v>
                </c:pt>
                <c:pt idx="12">
                  <c:v>26328.004101395614</c:v>
                </c:pt>
                <c:pt idx="13">
                  <c:v>26328.004101395614</c:v>
                </c:pt>
                <c:pt idx="14">
                  <c:v>26328.004101395614</c:v>
                </c:pt>
                <c:pt idx="15">
                  <c:v>26328.004101395614</c:v>
                </c:pt>
                <c:pt idx="16">
                  <c:v>26932.592924996727</c:v>
                </c:pt>
                <c:pt idx="17">
                  <c:v>27500.652701468745</c:v>
                </c:pt>
                <c:pt idx="18">
                  <c:v>28080.073673470208</c:v>
                </c:pt>
                <c:pt idx="19">
                  <c:v>28671.083064911702</c:v>
                </c:pt>
                <c:pt idx="20">
                  <c:v>29273.912644182019</c:v>
                </c:pt>
                <c:pt idx="21">
                  <c:v>29888.798815037746</c:v>
                </c:pt>
                <c:pt idx="22">
                  <c:v>30515.982709310592</c:v>
                </c:pt>
                <c:pt idx="23">
                  <c:v>31155.710281468895</c:v>
                </c:pt>
                <c:pt idx="24">
                  <c:v>31808.232405070368</c:v>
                </c:pt>
                <c:pt idx="25">
                  <c:v>32473.804971143865</c:v>
                </c:pt>
                <c:pt idx="26">
                  <c:v>33152.688988538823</c:v>
                </c:pt>
                <c:pt idx="27">
                  <c:v>33845.150686281697</c:v>
                </c:pt>
                <c:pt idx="28">
                  <c:v>34551.461617979425</c:v>
                </c:pt>
                <c:pt idx="29">
                  <c:v>35271.898768311097</c:v>
                </c:pt>
                <c:pt idx="30">
                  <c:v>36006.744661649413</c:v>
                </c:pt>
                <c:pt idx="31">
                  <c:v>36756.287472854485</c:v>
                </c:pt>
                <c:pt idx="32">
                  <c:v>37520.82114028366</c:v>
                </c:pt>
                <c:pt idx="33">
                  <c:v>38300.64548106143</c:v>
                </c:pt>
                <c:pt idx="34">
                  <c:v>39096.06630865475</c:v>
                </c:pt>
                <c:pt idx="35">
                  <c:v>39907.395552799928</c:v>
                </c:pt>
                <c:pt idx="36">
                  <c:v>40734.95138182801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D7-49C6-AA3B-A6A0431CE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166016"/>
        <c:axId val="957169856"/>
      </c:line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Charts!$E$50</c:f>
              <c:strCache>
                <c:ptCount val="1"/>
                <c:pt idx="0">
                  <c:v>USD / tonne Copper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valAx>
        <c:axId val="957169856"/>
        <c:scaling>
          <c:orientation val="minMax"/>
        </c:scaling>
        <c:delete val="0"/>
        <c:axPos val="r"/>
        <c:title>
          <c:tx>
            <c:strRef>
              <c:f>Charts!$E$51</c:f>
              <c:strCache>
                <c:ptCount val="1"/>
                <c:pt idx="0">
                  <c:v>USD / tonne Cobalt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57166016"/>
        <c:crosses val="max"/>
        <c:crossBetween val="between"/>
      </c:valAx>
      <c:catAx>
        <c:axId val="957166016"/>
        <c:scaling>
          <c:orientation val="minMax"/>
        </c:scaling>
        <c:delete val="1"/>
        <c:axPos val="b"/>
        <c:numFmt formatCode="###0_);\(###0\);&quot;-  &quot;;&quot; &quot;@&quot; &quot;" sourceLinked="1"/>
        <c:majorTickMark val="out"/>
        <c:minorTickMark val="none"/>
        <c:tickLblPos val="nextTo"/>
        <c:crossAx val="957169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Charts!$E$8</c:f>
          <c:strCache>
            <c:ptCount val="1"/>
            <c:pt idx="0">
              <c:v>COPPER AND COBALT PRODUCTION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Charts!$E$13</c:f>
              <c:strCache>
                <c:ptCount val="1"/>
                <c:pt idx="0">
                  <c:v> Copper production 2022Fs + actuals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Charts!$L$12:$AV$12</c15:sqref>
                  </c15:fullRef>
                </c:ext>
              </c:extLst>
              <c:f>Charts!$L$12:$AG$12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Charts!$L$13:$AV$13</c15:sqref>
                  </c15:fullRef>
                </c:ext>
              </c:extLst>
              <c:f>Charts!$L$13:$AG$13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9.2255633513999982</c:v>
                </c:pt>
                <c:pt idx="5">
                  <c:v>95.205768657975369</c:v>
                </c:pt>
                <c:pt idx="6">
                  <c:v>80.311999999999998</c:v>
                </c:pt>
                <c:pt idx="7">
                  <c:v>94.807000000000002</c:v>
                </c:pt>
                <c:pt idx="8">
                  <c:v>97.94</c:v>
                </c:pt>
                <c:pt idx="9">
                  <c:v>102.006</c:v>
                </c:pt>
                <c:pt idx="10">
                  <c:v>104.669</c:v>
                </c:pt>
                <c:pt idx="11">
                  <c:v>105.101</c:v>
                </c:pt>
                <c:pt idx="12">
                  <c:v>105.002</c:v>
                </c:pt>
                <c:pt idx="13">
                  <c:v>105.956</c:v>
                </c:pt>
                <c:pt idx="14">
                  <c:v>105.003</c:v>
                </c:pt>
                <c:pt idx="15">
                  <c:v>104.33199999999999</c:v>
                </c:pt>
                <c:pt idx="16">
                  <c:v>105.002</c:v>
                </c:pt>
                <c:pt idx="17">
                  <c:v>104.504</c:v>
                </c:pt>
                <c:pt idx="18">
                  <c:v>102.009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75-4EF6-9E85-FD27EB0ACD91}"/>
            </c:ext>
          </c:extLst>
        </c:ser>
        <c:ser>
          <c:idx val="1"/>
          <c:order val="1"/>
          <c:tx>
            <c:strRef>
              <c:f>Charts!$E$14</c:f>
              <c:strCache>
                <c:ptCount val="1"/>
                <c:pt idx="0">
                  <c:v> Cobalt production 2022FS + actuals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Charts!$L$12:$AV$12</c15:sqref>
                  </c15:fullRef>
                </c:ext>
              </c:extLst>
              <c:f>Charts!$L$12:$AG$12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Charts!$L$14:$AV$14</c15:sqref>
                  </c15:fullRef>
                </c:ext>
              </c:extLst>
              <c:f>Charts!$L$14:$AG$14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0.20840302079999998</c:v>
                </c:pt>
                <c:pt idx="5">
                  <c:v>18.932703311639997</c:v>
                </c:pt>
                <c:pt idx="6">
                  <c:v>16.391999999999999</c:v>
                </c:pt>
                <c:pt idx="7">
                  <c:v>20.74</c:v>
                </c:pt>
                <c:pt idx="8">
                  <c:v>22.472999999999999</c:v>
                </c:pt>
                <c:pt idx="9">
                  <c:v>20.558</c:v>
                </c:pt>
                <c:pt idx="10">
                  <c:v>20.343</c:v>
                </c:pt>
                <c:pt idx="11">
                  <c:v>20.257000000000001</c:v>
                </c:pt>
                <c:pt idx="12">
                  <c:v>19.748999999999999</c:v>
                </c:pt>
                <c:pt idx="13">
                  <c:v>18.649999999999999</c:v>
                </c:pt>
                <c:pt idx="14">
                  <c:v>20.103999999999999</c:v>
                </c:pt>
                <c:pt idx="15">
                  <c:v>20.074999999999999</c:v>
                </c:pt>
                <c:pt idx="16">
                  <c:v>18.96</c:v>
                </c:pt>
                <c:pt idx="17">
                  <c:v>21.318999999999999</c:v>
                </c:pt>
                <c:pt idx="18">
                  <c:v>22.064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75-4EF6-9E85-FD27EB0AC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Charts!$E$9</c:f>
              <c:strCache>
                <c:ptCount val="1"/>
                <c:pt idx="0">
                  <c:v>KT Cu and Co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Charts!$E$133</c:f>
          <c:strCache>
            <c:ptCount val="1"/>
            <c:pt idx="0">
              <c:v> GOVERNMENT REVENUES 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703388618779226"/>
          <c:y val="9.3585299752862325E-2"/>
          <c:w val="0.8732993544037797"/>
          <c:h val="0.799631829076617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Charts!$E$142</c:f>
              <c:strCache>
                <c:ptCount val="1"/>
                <c:pt idx="0">
                  <c:v> Cu + Co government royalty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Charts!$L$142:$AV$142</c15:sqref>
                  </c15:fullRef>
                </c:ext>
              </c:extLst>
              <c:f>Charts!$L$142:$AG$142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1.3427250785885494</c:v>
                </c:pt>
                <c:pt idx="5">
                  <c:v>59.696032281620234</c:v>
                </c:pt>
                <c:pt idx="6">
                  <c:v>49.751271941506673</c:v>
                </c:pt>
                <c:pt idx="7">
                  <c:v>100.44151821818988</c:v>
                </c:pt>
                <c:pt idx="8">
                  <c:v>125.24236751817006</c:v>
                </c:pt>
                <c:pt idx="9">
                  <c:v>74.909657127852839</c:v>
                </c:pt>
                <c:pt idx="10">
                  <c:v>64.166519191185927</c:v>
                </c:pt>
                <c:pt idx="11">
                  <c:v>83.797779767771601</c:v>
                </c:pt>
                <c:pt idx="12">
                  <c:v>82.486579491115037</c:v>
                </c:pt>
                <c:pt idx="13">
                  <c:v>79.838713164114836</c:v>
                </c:pt>
                <c:pt idx="14">
                  <c:v>83.346107494918243</c:v>
                </c:pt>
                <c:pt idx="15">
                  <c:v>83.122063374167709</c:v>
                </c:pt>
                <c:pt idx="16">
                  <c:v>82.215048780097291</c:v>
                </c:pt>
                <c:pt idx="17">
                  <c:v>90.275004523844174</c:v>
                </c:pt>
                <c:pt idx="18">
                  <c:v>93.487142777811286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B-48FD-BCF2-16686F5F5357}"/>
            </c:ext>
          </c:extLst>
        </c:ser>
        <c:ser>
          <c:idx val="1"/>
          <c:order val="1"/>
          <c:tx>
            <c:strRef>
              <c:f>Charts!$E$143</c:f>
              <c:strCache>
                <c:ptCount val="1"/>
                <c:pt idx="0">
                  <c:v> Turnover tax (Chiffre d'Affaires 0.3PC)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Charts!$L$143:$AV$143</c15:sqref>
                  </c15:fullRef>
                </c:ext>
              </c:extLst>
              <c:f>Charts!$L$143:$AG$143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0.2014087617882824</c:v>
                </c:pt>
                <c:pt idx="5">
                  <c:v>2.8397867531093386</c:v>
                </c:pt>
                <c:pt idx="6">
                  <c:v>2.4029186334589721</c:v>
                </c:pt>
                <c:pt idx="7">
                  <c:v>4.6647816973138623</c:v>
                </c:pt>
                <c:pt idx="8">
                  <c:v>5.3707620239571421</c:v>
                </c:pt>
                <c:pt idx="9">
                  <c:v>3.8609864429442342</c:v>
                </c:pt>
                <c:pt idx="10">
                  <c:v>3.5929701648905819</c:v>
                </c:pt>
                <c:pt idx="11">
                  <c:v>4.2112770109237267</c:v>
                </c:pt>
                <c:pt idx="12">
                  <c:v>4.1734041896755718</c:v>
                </c:pt>
                <c:pt idx="13">
                  <c:v>4.1076505879026843</c:v>
                </c:pt>
                <c:pt idx="14">
                  <c:v>4.1950049876038724</c:v>
                </c:pt>
                <c:pt idx="15">
                  <c:v>4.1800550590593506</c:v>
                </c:pt>
                <c:pt idx="16">
                  <c:v>4.2019989650855409</c:v>
                </c:pt>
                <c:pt idx="17">
                  <c:v>4.4714046473635181</c:v>
                </c:pt>
                <c:pt idx="18">
                  <c:v>4.5613563701371929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B-48FD-BCF2-16686F5F5357}"/>
            </c:ext>
          </c:extLst>
        </c:ser>
        <c:ser>
          <c:idx val="2"/>
          <c:order val="2"/>
          <c:tx>
            <c:strRef>
              <c:f>Charts!$E$144</c:f>
              <c:strCache>
                <c:ptCount val="1"/>
                <c:pt idx="0">
                  <c:v> CIT payable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Charts!$L$144:$AV$144</c15:sqref>
                  </c15:fullRef>
                </c:ext>
              </c:extLst>
              <c:f>Charts!$L$144:$AG$144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0.6713625392942747</c:v>
                </c:pt>
                <c:pt idx="5">
                  <c:v>183.17829112570044</c:v>
                </c:pt>
                <c:pt idx="6">
                  <c:v>37.162397854489413</c:v>
                </c:pt>
                <c:pt idx="7">
                  <c:v>171.7373177444376</c:v>
                </c:pt>
                <c:pt idx="8">
                  <c:v>175.18703567870509</c:v>
                </c:pt>
                <c:pt idx="9">
                  <c:v>34.153976633190744</c:v>
                </c:pt>
                <c:pt idx="10">
                  <c:v>11.976567216301939</c:v>
                </c:pt>
                <c:pt idx="11">
                  <c:v>85.016741604265363</c:v>
                </c:pt>
                <c:pt idx="12">
                  <c:v>85.767391044424485</c:v>
                </c:pt>
                <c:pt idx="13">
                  <c:v>80.116120896881185</c:v>
                </c:pt>
                <c:pt idx="14">
                  <c:v>85.114435537737563</c:v>
                </c:pt>
                <c:pt idx="15">
                  <c:v>87.686432998471005</c:v>
                </c:pt>
                <c:pt idx="16">
                  <c:v>94.242093101167413</c:v>
                </c:pt>
                <c:pt idx="17">
                  <c:v>124.99406869768933</c:v>
                </c:pt>
                <c:pt idx="18">
                  <c:v>118.69103963121651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B-48FD-BCF2-16686F5F5357}"/>
            </c:ext>
          </c:extLst>
        </c:ser>
        <c:ser>
          <c:idx val="3"/>
          <c:order val="3"/>
          <c:tx>
            <c:strRef>
              <c:f>Charts!$E$145</c:f>
              <c:strCache>
                <c:ptCount val="1"/>
                <c:pt idx="0">
                  <c:v> Special Tax On Excess Profits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Charts!$L$145:$AV$145</c15:sqref>
                  </c15:fullRef>
                </c:ext>
              </c:extLst>
              <c:f>Charts!$L$145:$AG$145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B-48FD-BCF2-16686F5F5357}"/>
            </c:ext>
          </c:extLst>
        </c:ser>
        <c:ser>
          <c:idx val="5"/>
          <c:order val="4"/>
          <c:tx>
            <c:strRef>
              <c:f>Charts!$E$146</c:f>
              <c:strCache>
                <c:ptCount val="1"/>
                <c:pt idx="0">
                  <c:v> Payroll taxes (included in costs)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Charts!$L$146:$AV$146</c15:sqref>
                  </c15:fullRef>
                </c:ext>
              </c:extLst>
              <c:f>Charts!$L$146:$AG$146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8.5400000000000009</c:v>
                </c:pt>
                <c:pt idx="7">
                  <c:v>10.64</c:v>
                </c:pt>
                <c:pt idx="8">
                  <c:v>14.1</c:v>
                </c:pt>
                <c:pt idx="9">
                  <c:v>14.485831425574377</c:v>
                </c:pt>
                <c:pt idx="10">
                  <c:v>15.211281323399248</c:v>
                </c:pt>
                <c:pt idx="11">
                  <c:v>15.70909013691362</c:v>
                </c:pt>
                <c:pt idx="12">
                  <c:v>16.018442795506687</c:v>
                </c:pt>
                <c:pt idx="13">
                  <c:v>16.337476745333156</c:v>
                </c:pt>
                <c:pt idx="14">
                  <c:v>16.756732538326823</c:v>
                </c:pt>
                <c:pt idx="15">
                  <c:v>17.024409072806872</c:v>
                </c:pt>
                <c:pt idx="16">
                  <c:v>17.332453605128741</c:v>
                </c:pt>
                <c:pt idx="17">
                  <c:v>17.944513126258659</c:v>
                </c:pt>
                <c:pt idx="18">
                  <c:v>18.048831840415318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AB-48FD-BCF2-16686F5F5357}"/>
            </c:ext>
          </c:extLst>
        </c:ser>
        <c:ser>
          <c:idx val="7"/>
          <c:order val="5"/>
          <c:tx>
            <c:strRef>
              <c:f>Charts!$E$147</c:f>
              <c:strCache>
                <c:ptCount val="1"/>
                <c:pt idx="0">
                  <c:v> Import duties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Charts!$L$147:$AV$147</c15:sqref>
                  </c15:fullRef>
                </c:ext>
              </c:extLst>
              <c:f>Charts!$L$147:$AG$147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1.7756350777216481</c:v>
                </c:pt>
                <c:pt idx="5">
                  <c:v>3.4820250524972924</c:v>
                </c:pt>
                <c:pt idx="6">
                  <c:v>0</c:v>
                </c:pt>
                <c:pt idx="7">
                  <c:v>0</c:v>
                </c:pt>
                <c:pt idx="8">
                  <c:v>10.058747314264506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4AB-48FD-BCF2-16686F5F5357}"/>
            </c:ext>
          </c:extLst>
        </c:ser>
        <c:ser>
          <c:idx val="8"/>
          <c:order val="6"/>
          <c:tx>
            <c:strRef>
              <c:f>Charts!$E$148</c:f>
              <c:strCache>
                <c:ptCount val="1"/>
                <c:pt idx="0">
                  <c:v> Interest Withholding Tax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Charts!$L$148:$AV$148</c15:sqref>
                  </c15:fullRef>
                </c:ext>
              </c:extLst>
              <c:f>Charts!$L$148:$AG$148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4AB-48FD-BCF2-16686F5F5357}"/>
            </c:ext>
          </c:extLst>
        </c:ser>
        <c:ser>
          <c:idx val="9"/>
          <c:order val="7"/>
          <c:tx>
            <c:strRef>
              <c:f>Charts!$E$149</c:f>
              <c:strCache>
                <c:ptCount val="1"/>
                <c:pt idx="0">
                  <c:v> Dividend withholding tax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Charts!$L$149:$AV$149</c15:sqref>
                  </c15:fullRef>
                </c:ext>
              </c:extLst>
              <c:f>Charts!$L$149:$AG$149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25.902127734161525</c:v>
                </c:pt>
                <c:pt idx="6">
                  <c:v>16.890896425955646</c:v>
                </c:pt>
                <c:pt idx="7">
                  <c:v>55.660156486177186</c:v>
                </c:pt>
                <c:pt idx="8">
                  <c:v>52.940986442394319</c:v>
                </c:pt>
                <c:pt idx="9">
                  <c:v>22.541759252892845</c:v>
                </c:pt>
                <c:pt idx="10">
                  <c:v>11.400590730927673</c:v>
                </c:pt>
                <c:pt idx="11">
                  <c:v>16.314082116819993</c:v>
                </c:pt>
                <c:pt idx="12">
                  <c:v>9.8143467987945492</c:v>
                </c:pt>
                <c:pt idx="13">
                  <c:v>3.9561482189484538</c:v>
                </c:pt>
                <c:pt idx="14">
                  <c:v>0</c:v>
                </c:pt>
                <c:pt idx="15">
                  <c:v>0</c:v>
                </c:pt>
                <c:pt idx="16">
                  <c:v>8.91545080946082</c:v>
                </c:pt>
                <c:pt idx="17">
                  <c:v>29.433232336642178</c:v>
                </c:pt>
                <c:pt idx="18">
                  <c:v>30.963825001083411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AB-48FD-BCF2-16686F5F5357}"/>
            </c:ext>
          </c:extLst>
        </c:ser>
        <c:ser>
          <c:idx val="10"/>
          <c:order val="8"/>
          <c:tx>
            <c:strRef>
              <c:f>Charts!$E$150</c:f>
              <c:strCache>
                <c:ptCount val="1"/>
                <c:pt idx="0">
                  <c:v> WHT on non-resident services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Charts!$L$137:$AV$137</c15:sqref>
                  </c15:fullRef>
                </c:ext>
              </c:extLst>
              <c:f>Charts!$L$137:$AG$137</c:f>
              <c:numCache>
                <c:formatCode>###0_);\(###0\);"-  ";" "@" "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Charts!$L$150:$AV$150</c15:sqref>
                  </c15:fullRef>
                </c:ext>
              </c:extLst>
              <c:f>Charts!$L$150:$AG$150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19.799919999999997</c:v>
                </c:pt>
                <c:pt idx="5">
                  <c:v>3.4417600000000004</c:v>
                </c:pt>
                <c:pt idx="6">
                  <c:v>4.905153633597104</c:v>
                </c:pt>
                <c:pt idx="7">
                  <c:v>5.0413991194314169</c:v>
                </c:pt>
                <c:pt idx="8">
                  <c:v>6.6039795103128069</c:v>
                </c:pt>
                <c:pt idx="9">
                  <c:v>6.480050692231405</c:v>
                </c:pt>
                <c:pt idx="10">
                  <c:v>7.2970733100523271</c:v>
                </c:pt>
                <c:pt idx="11">
                  <c:v>7.1625197884942295</c:v>
                </c:pt>
                <c:pt idx="12">
                  <c:v>7.7389916412084201</c:v>
                </c:pt>
                <c:pt idx="13">
                  <c:v>7.3653308966799234</c:v>
                </c:pt>
                <c:pt idx="14">
                  <c:v>7.8155346410725848</c:v>
                </c:pt>
                <c:pt idx="15">
                  <c:v>7.6564461253809046</c:v>
                </c:pt>
                <c:pt idx="16">
                  <c:v>8.5170433605766043</c:v>
                </c:pt>
                <c:pt idx="17">
                  <c:v>8.0311319353889452</c:v>
                </c:pt>
                <c:pt idx="18">
                  <c:v>8.2730208440410351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4AB-48FD-BCF2-16686F5F5357}"/>
            </c:ext>
          </c:extLst>
        </c:ser>
        <c:ser>
          <c:idx val="11"/>
          <c:order val="9"/>
          <c:tx>
            <c:strRef>
              <c:f>Charts!$E$153</c:f>
              <c:strCache>
                <c:ptCount val="1"/>
                <c:pt idx="0">
                  <c:v> Gecamines share of net cashflows after tax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Lit>
              <c:ptCount val="22"/>
              <c:pt idx="0">
                <c:v>2014 </c:v>
              </c:pt>
              <c:pt idx="1">
                <c:v>2015 </c:v>
              </c:pt>
              <c:pt idx="2">
                <c:v>2016 </c:v>
              </c:pt>
              <c:pt idx="3">
                <c:v>2017 </c:v>
              </c:pt>
              <c:pt idx="4">
                <c:v>2018 </c:v>
              </c:pt>
              <c:pt idx="5">
                <c:v>2019 </c:v>
              </c:pt>
              <c:pt idx="6">
                <c:v>2020 </c:v>
              </c:pt>
              <c:pt idx="7">
                <c:v>2021 </c:v>
              </c:pt>
              <c:pt idx="8">
                <c:v>2022 </c:v>
              </c:pt>
              <c:pt idx="9">
                <c:v>2023 </c:v>
              </c:pt>
              <c:pt idx="10">
                <c:v>2024 </c:v>
              </c:pt>
              <c:pt idx="11">
                <c:v>2025 </c:v>
              </c:pt>
              <c:pt idx="12">
                <c:v>2026 </c:v>
              </c:pt>
              <c:pt idx="13">
                <c:v>2027 </c:v>
              </c:pt>
              <c:pt idx="14">
                <c:v>2028 </c:v>
              </c:pt>
              <c:pt idx="15">
                <c:v>2029 </c:v>
              </c:pt>
              <c:pt idx="16">
                <c:v>2030 </c:v>
              </c:pt>
              <c:pt idx="17">
                <c:v>2031 </c:v>
              </c:pt>
              <c:pt idx="18">
                <c:v>2032 </c:v>
              </c:pt>
              <c:pt idx="19">
                <c:v>2033 </c:v>
              </c:pt>
              <c:pt idx="20">
                <c:v>2034 </c:v>
              </c:pt>
              <c:pt idx="21">
                <c:v>2035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Charts!$L$153:$AV$153</c15:sqref>
                  </c15:fullRef>
                </c:ext>
              </c:extLst>
              <c:f>Charts!$L$153:$AG$153</c:f>
              <c:numCache>
                <c:formatCode>#,##0_);\(#,##0\);"-  ";" "@" "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133.99765846001051</c:v>
                </c:pt>
                <c:pt idx="6">
                  <c:v>18.767662695506274</c:v>
                </c:pt>
                <c:pt idx="7">
                  <c:v>61.844618317974657</c:v>
                </c:pt>
                <c:pt idx="8">
                  <c:v>58.823318269327025</c:v>
                </c:pt>
                <c:pt idx="9">
                  <c:v>25.046399169880939</c:v>
                </c:pt>
                <c:pt idx="10">
                  <c:v>12.667323034364081</c:v>
                </c:pt>
                <c:pt idx="11">
                  <c:v>18.126757907577769</c:v>
                </c:pt>
                <c:pt idx="12">
                  <c:v>10.904829776438389</c:v>
                </c:pt>
                <c:pt idx="13">
                  <c:v>4.3957202432760596</c:v>
                </c:pt>
                <c:pt idx="14">
                  <c:v>0</c:v>
                </c:pt>
                <c:pt idx="15">
                  <c:v>0</c:v>
                </c:pt>
                <c:pt idx="16">
                  <c:v>9.9060564549564685</c:v>
                </c:pt>
                <c:pt idx="17">
                  <c:v>32.703591485157972</c:v>
                </c:pt>
                <c:pt idx="18">
                  <c:v>34.404250001203785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AB-48FD-BCF2-16686F5F5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Charts!$E$134</c:f>
              <c:strCache>
                <c:ptCount val="1"/>
                <c:pt idx="0">
                  <c:v> $ mn </c:v>
                </c:pt>
              </c:strCache>
            </c:strRef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0.1130763818737518"/>
          <c:y val="8.5474586474059006E-2"/>
          <c:w val="0.31515472846954445"/>
          <c:h val="0.5515909536928506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Charts!$E$8</c:f>
          <c:strCache>
            <c:ptCount val="1"/>
            <c:pt idx="0">
              <c:v>COPPER AND COBALT PRODUCTION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Charts!$E$13</c:f>
              <c:strCache>
                <c:ptCount val="1"/>
                <c:pt idx="0">
                  <c:v> Copper production 2022Fs + actuals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Charts!$L$12:$AV$12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Charts!$L$13:$AV$13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9.2255633513999982</c:v>
                </c:pt>
                <c:pt idx="5">
                  <c:v>95.205768657975369</c:v>
                </c:pt>
                <c:pt idx="6">
                  <c:v>80.311999999999998</c:v>
                </c:pt>
                <c:pt idx="7">
                  <c:v>94.807000000000002</c:v>
                </c:pt>
                <c:pt idx="8">
                  <c:v>97.94</c:v>
                </c:pt>
                <c:pt idx="9">
                  <c:v>102.006</c:v>
                </c:pt>
                <c:pt idx="10">
                  <c:v>104.669</c:v>
                </c:pt>
                <c:pt idx="11">
                  <c:v>105.101</c:v>
                </c:pt>
                <c:pt idx="12">
                  <c:v>105.002</c:v>
                </c:pt>
                <c:pt idx="13">
                  <c:v>105.956</c:v>
                </c:pt>
                <c:pt idx="14">
                  <c:v>105.003</c:v>
                </c:pt>
                <c:pt idx="15">
                  <c:v>104.33199999999999</c:v>
                </c:pt>
                <c:pt idx="16">
                  <c:v>105.002</c:v>
                </c:pt>
                <c:pt idx="17">
                  <c:v>104.504</c:v>
                </c:pt>
                <c:pt idx="18">
                  <c:v>102.009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28-47C7-A76D-85EA127E36C3}"/>
            </c:ext>
          </c:extLst>
        </c:ser>
        <c:ser>
          <c:idx val="1"/>
          <c:order val="1"/>
          <c:tx>
            <c:strRef>
              <c:f>Charts!$E$14</c:f>
              <c:strCache>
                <c:ptCount val="1"/>
                <c:pt idx="0">
                  <c:v> Cobalt production 2022FS + actuals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Charts!$L$12:$AV$12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Charts!$L$14:$AV$14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0.20840302079999998</c:v>
                </c:pt>
                <c:pt idx="5">
                  <c:v>18.932703311639997</c:v>
                </c:pt>
                <c:pt idx="6">
                  <c:v>16.391999999999999</c:v>
                </c:pt>
                <c:pt idx="7">
                  <c:v>20.74</c:v>
                </c:pt>
                <c:pt idx="8">
                  <c:v>22.472999999999999</c:v>
                </c:pt>
                <c:pt idx="9">
                  <c:v>20.558</c:v>
                </c:pt>
                <c:pt idx="10">
                  <c:v>20.343</c:v>
                </c:pt>
                <c:pt idx="11">
                  <c:v>20.257000000000001</c:v>
                </c:pt>
                <c:pt idx="12">
                  <c:v>19.748999999999999</c:v>
                </c:pt>
                <c:pt idx="13">
                  <c:v>18.649999999999999</c:v>
                </c:pt>
                <c:pt idx="14">
                  <c:v>20.103999999999999</c:v>
                </c:pt>
                <c:pt idx="15">
                  <c:v>20.074999999999999</c:v>
                </c:pt>
                <c:pt idx="16">
                  <c:v>18.96</c:v>
                </c:pt>
                <c:pt idx="17">
                  <c:v>21.318999999999999</c:v>
                </c:pt>
                <c:pt idx="18">
                  <c:v>22.064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28-47C7-A76D-85EA127E3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Charts!$E$9</c:f>
              <c:strCache>
                <c:ptCount val="1"/>
                <c:pt idx="0">
                  <c:v>KT Cu and Co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Charts!$E$48</c:f>
          <c:strCache>
            <c:ptCount val="1"/>
            <c:pt idx="0">
              <c:v> COPPER AND COBALT PRICES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Charts!$E$54</c:f>
              <c:strCache>
                <c:ptCount val="1"/>
                <c:pt idx="0">
                  <c:v> Copper realized price: SOM_Contract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Charts!$L$53:$AV$53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Charts!$L$54:$AV$54</c:f>
              <c:numCache>
                <c:formatCode>#,##0_);\(#,##0\);"-  ";" "@" "</c:formatCode>
                <c:ptCount val="37"/>
                <c:pt idx="0">
                  <c:v>6496.9805415999999</c:v>
                </c:pt>
                <c:pt idx="1">
                  <c:v>5153.7817096000008</c:v>
                </c:pt>
                <c:pt idx="2">
                  <c:v>4515.8481416000004</c:v>
                </c:pt>
                <c:pt idx="3">
                  <c:v>5808.5164319999994</c:v>
                </c:pt>
                <c:pt idx="4">
                  <c:v>6165.7834543999998</c:v>
                </c:pt>
                <c:pt idx="5">
                  <c:v>5649.8719560000009</c:v>
                </c:pt>
                <c:pt idx="6">
                  <c:v>5813.1011823999997</c:v>
                </c:pt>
                <c:pt idx="7">
                  <c:v>8933.3236551999998</c:v>
                </c:pt>
                <c:pt idx="8">
                  <c:v>8448.3487975999997</c:v>
                </c:pt>
                <c:pt idx="9">
                  <c:v>8112.6285136000006</c:v>
                </c:pt>
                <c:pt idx="10">
                  <c:v>8172.1577944000001</c:v>
                </c:pt>
                <c:pt idx="11">
                  <c:v>8281.8681512000003</c:v>
                </c:pt>
                <c:pt idx="12">
                  <c:v>8296.8226975999987</c:v>
                </c:pt>
                <c:pt idx="13">
                  <c:v>8288.342200000001</c:v>
                </c:pt>
                <c:pt idx="14">
                  <c:v>8276.3045000000002</c:v>
                </c:pt>
                <c:pt idx="15">
                  <c:v>8289.0868000000009</c:v>
                </c:pt>
                <c:pt idx="16">
                  <c:v>8476.261022049508</c:v>
                </c:pt>
                <c:pt idx="17">
                  <c:v>8652.126242490498</c:v>
                </c:pt>
                <c:pt idx="18">
                  <c:v>8831.5087673403086</c:v>
                </c:pt>
                <c:pt idx="19">
                  <c:v>9014.4789426871157</c:v>
                </c:pt>
                <c:pt idx="20">
                  <c:v>9201.1085215408566</c:v>
                </c:pt>
                <c:pt idx="21">
                  <c:v>9391.4706919716737</c:v>
                </c:pt>
                <c:pt idx="22">
                  <c:v>9585.6401058111078</c:v>
                </c:pt>
                <c:pt idx="23">
                  <c:v>9783.6929079273305</c:v>
                </c:pt>
                <c:pt idx="24">
                  <c:v>9985.7067660858793</c:v>
                </c:pt>
                <c:pt idx="25">
                  <c:v>10191.760901407597</c:v>
                </c:pt>
                <c:pt idx="26">
                  <c:v>10401.936119435748</c:v>
                </c:pt>
                <c:pt idx="27">
                  <c:v>10616.314841824464</c:v>
                </c:pt>
                <c:pt idx="28">
                  <c:v>10834.981138660954</c:v>
                </c:pt>
                <c:pt idx="29">
                  <c:v>11058.020761434174</c:v>
                </c:pt>
                <c:pt idx="30">
                  <c:v>11285.521176662856</c:v>
                </c:pt>
                <c:pt idx="31">
                  <c:v>11517.571600196114</c:v>
                </c:pt>
                <c:pt idx="32">
                  <c:v>11754.263032200037</c:v>
                </c:pt>
                <c:pt idx="33">
                  <c:v>11995.688292844037</c:v>
                </c:pt>
                <c:pt idx="34">
                  <c:v>12241.942058700921</c:v>
                </c:pt>
                <c:pt idx="35">
                  <c:v>12493.120899874939</c:v>
                </c:pt>
                <c:pt idx="36">
                  <c:v>12749.323317872437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36-4B11-A01E-8F97CCC93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884288"/>
        <c:axId val="348884768"/>
      </c:lineChart>
      <c:lineChart>
        <c:grouping val="standard"/>
        <c:varyColors val="0"/>
        <c:ser>
          <c:idx val="1"/>
          <c:order val="1"/>
          <c:tx>
            <c:strRef>
              <c:f>Charts!$E$55</c:f>
              <c:strCache>
                <c:ptCount val="1"/>
                <c:pt idx="0">
                  <c:v> Cobalt realized Price: SOM_Contract (RHS)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Charts!$L$53:$AV$53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Charts!$L$55:$AV$55</c:f>
              <c:numCache>
                <c:formatCode>#,##0_);\(#,##0\);"-  ";" "@" "</c:formatCode>
                <c:ptCount val="37"/>
                <c:pt idx="0">
                  <c:v>19920.981581921755</c:v>
                </c:pt>
                <c:pt idx="1">
                  <c:v>18302.370220466593</c:v>
                </c:pt>
                <c:pt idx="2">
                  <c:v>16225.626703739015</c:v>
                </c:pt>
                <c:pt idx="3">
                  <c:v>37330.729646172702</c:v>
                </c:pt>
                <c:pt idx="4">
                  <c:v>49199.997296038942</c:v>
                </c:pt>
                <c:pt idx="5">
                  <c:v>21586.73144835007</c:v>
                </c:pt>
                <c:pt idx="6">
                  <c:v>20382.570501387789</c:v>
                </c:pt>
                <c:pt idx="7">
                  <c:v>34136.239954648387</c:v>
                </c:pt>
                <c:pt idx="8">
                  <c:v>42843.533428948969</c:v>
                </c:pt>
                <c:pt idx="9">
                  <c:v>22349.386945380375</c:v>
                </c:pt>
                <c:pt idx="10">
                  <c:v>16825.696182870786</c:v>
                </c:pt>
                <c:pt idx="11">
                  <c:v>26328.004101395614</c:v>
                </c:pt>
                <c:pt idx="12">
                  <c:v>26328.004101395614</c:v>
                </c:pt>
                <c:pt idx="13">
                  <c:v>26328.004101395614</c:v>
                </c:pt>
                <c:pt idx="14">
                  <c:v>26328.004101395614</c:v>
                </c:pt>
                <c:pt idx="15">
                  <c:v>26328.004101395614</c:v>
                </c:pt>
                <c:pt idx="16">
                  <c:v>26932.592924996727</c:v>
                </c:pt>
                <c:pt idx="17">
                  <c:v>27500.652701468745</c:v>
                </c:pt>
                <c:pt idx="18">
                  <c:v>28080.073673470208</c:v>
                </c:pt>
                <c:pt idx="19">
                  <c:v>28671.083064911702</c:v>
                </c:pt>
                <c:pt idx="20">
                  <c:v>29273.912644182019</c:v>
                </c:pt>
                <c:pt idx="21">
                  <c:v>29888.798815037746</c:v>
                </c:pt>
                <c:pt idx="22">
                  <c:v>30515.982709310592</c:v>
                </c:pt>
                <c:pt idx="23">
                  <c:v>31155.710281468895</c:v>
                </c:pt>
                <c:pt idx="24">
                  <c:v>31808.232405070368</c:v>
                </c:pt>
                <c:pt idx="25">
                  <c:v>32473.804971143865</c:v>
                </c:pt>
                <c:pt idx="26">
                  <c:v>33152.688988538823</c:v>
                </c:pt>
                <c:pt idx="27">
                  <c:v>33845.150686281697</c:v>
                </c:pt>
                <c:pt idx="28">
                  <c:v>34551.461617979425</c:v>
                </c:pt>
                <c:pt idx="29">
                  <c:v>35271.898768311097</c:v>
                </c:pt>
                <c:pt idx="30">
                  <c:v>36006.744661649413</c:v>
                </c:pt>
                <c:pt idx="31">
                  <c:v>36756.287472854485</c:v>
                </c:pt>
                <c:pt idx="32">
                  <c:v>37520.82114028366</c:v>
                </c:pt>
                <c:pt idx="33">
                  <c:v>38300.64548106143</c:v>
                </c:pt>
                <c:pt idx="34">
                  <c:v>39096.06630865475</c:v>
                </c:pt>
                <c:pt idx="35">
                  <c:v>39907.395552799928</c:v>
                </c:pt>
                <c:pt idx="36">
                  <c:v>40734.95138182801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6-4B11-A01E-8F97CCC93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166016"/>
        <c:axId val="957169856"/>
      </c:line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Charts!$E$50</c:f>
              <c:strCache>
                <c:ptCount val="1"/>
                <c:pt idx="0">
                  <c:v>USD / tonne Copper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valAx>
        <c:axId val="957169856"/>
        <c:scaling>
          <c:orientation val="minMax"/>
        </c:scaling>
        <c:delete val="0"/>
        <c:axPos val="r"/>
        <c:title>
          <c:tx>
            <c:strRef>
              <c:f>Charts!$E$51</c:f>
              <c:strCache>
                <c:ptCount val="1"/>
                <c:pt idx="0">
                  <c:v>USD / tonne Cobalt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57166016"/>
        <c:crosses val="max"/>
        <c:crossBetween val="between"/>
      </c:valAx>
      <c:catAx>
        <c:axId val="957166016"/>
        <c:scaling>
          <c:orientation val="minMax"/>
        </c:scaling>
        <c:delete val="1"/>
        <c:axPos val="b"/>
        <c:numFmt formatCode="###0_);\(###0\);&quot;-  &quot;;&quot; &quot;@&quot; &quot;" sourceLinked="1"/>
        <c:majorTickMark val="out"/>
        <c:minorTickMark val="none"/>
        <c:tickLblPos val="nextTo"/>
        <c:crossAx val="957169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Charts!$E$87</c:f>
          <c:strCache>
            <c:ptCount val="1"/>
            <c:pt idx="0">
              <c:v> PROJECT CASHFLOWS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Charts!$E$92</c:f>
              <c:strCache>
                <c:ptCount val="1"/>
                <c:pt idx="0">
                  <c:v> Copper gross revenue (at realized prices)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Charts!$L$91:$AV$91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Charts!$L$92:$AV$92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56.882825869581119</c:v>
                </c:pt>
                <c:pt idx="5">
                  <c:v>537.90040239011887</c:v>
                </c:pt>
                <c:pt idx="6">
                  <c:v>466.86178216090872</c:v>
                </c:pt>
                <c:pt idx="7">
                  <c:v>846.94161577854641</c:v>
                </c:pt>
                <c:pt idx="8">
                  <c:v>827.43128123694396</c:v>
                </c:pt>
                <c:pt idx="9">
                  <c:v>827.53678415828165</c:v>
                </c:pt>
                <c:pt idx="10">
                  <c:v>855.37158418205354</c:v>
                </c:pt>
                <c:pt idx="11">
                  <c:v>870.43262455927129</c:v>
                </c:pt>
                <c:pt idx="12">
                  <c:v>871.18297689339511</c:v>
                </c:pt>
                <c:pt idx="13">
                  <c:v>878.19958614320012</c:v>
                </c:pt>
                <c:pt idx="14">
                  <c:v>869.03680141350003</c:v>
                </c:pt>
                <c:pt idx="15">
                  <c:v>864.81700401760008</c:v>
                </c:pt>
                <c:pt idx="16">
                  <c:v>890.0243598372424</c:v>
                </c:pt>
                <c:pt idx="17">
                  <c:v>904.18180084522714</c:v>
                </c:pt>
                <c:pt idx="18">
                  <c:v>900.89337784761744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14-499E-B08C-05760807C0E0}"/>
            </c:ext>
          </c:extLst>
        </c:ser>
        <c:ser>
          <c:idx val="1"/>
          <c:order val="1"/>
          <c:tx>
            <c:strRef>
              <c:f>Charts!$E$93</c:f>
              <c:strCache>
                <c:ptCount val="1"/>
                <c:pt idx="0">
                  <c:v> Cobalt gross revenue (at realized prices)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Charts!$L$91:$AV$91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Charts!$L$93:$AV$93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10.253428059846346</c:v>
                </c:pt>
                <c:pt idx="5">
                  <c:v>408.69518197966062</c:v>
                </c:pt>
                <c:pt idx="6">
                  <c:v>334.11109565874864</c:v>
                </c:pt>
                <c:pt idx="7">
                  <c:v>707.98561665940747</c:v>
                </c:pt>
                <c:pt idx="8">
                  <c:v>962.82272674877015</c:v>
                </c:pt>
                <c:pt idx="9">
                  <c:v>459.45869682312974</c:v>
                </c:pt>
                <c:pt idx="10">
                  <c:v>342.2851374481404</c:v>
                </c:pt>
                <c:pt idx="11">
                  <c:v>533.32637908197103</c:v>
                </c:pt>
                <c:pt idx="12">
                  <c:v>519.95175299846198</c:v>
                </c:pt>
                <c:pt idx="13">
                  <c:v>491.01727649102816</c:v>
                </c:pt>
                <c:pt idx="14">
                  <c:v>529.29819445445742</c:v>
                </c:pt>
                <c:pt idx="15">
                  <c:v>528.53468233551689</c:v>
                </c:pt>
                <c:pt idx="16">
                  <c:v>510.64196185793799</c:v>
                </c:pt>
                <c:pt idx="17">
                  <c:v>586.28641494261217</c:v>
                </c:pt>
                <c:pt idx="18">
                  <c:v>619.55874553144668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14-499E-B08C-05760807C0E0}"/>
            </c:ext>
          </c:extLst>
        </c:ser>
        <c:ser>
          <c:idx val="2"/>
          <c:order val="2"/>
          <c:tx>
            <c:strRef>
              <c:f>Charts!$E$101</c:f>
              <c:strCache>
                <c:ptCount val="1"/>
                <c:pt idx="0">
                  <c:v> Realization costs Cu and Co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Charts!$L$101:$AV$101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A2-4757-BF63-0D25FD2D2409}"/>
            </c:ext>
          </c:extLst>
        </c:ser>
        <c:ser>
          <c:idx val="4"/>
          <c:order val="3"/>
          <c:tx>
            <c:strRef>
              <c:f>Charts!$E$103</c:f>
              <c:strCache>
                <c:ptCount val="1"/>
                <c:pt idx="0">
                  <c:v> Capital Costs inc. Sens.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Charts!$L$103:$AV$103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-1010.1999999999999</c:v>
                </c:pt>
                <c:pt idx="5">
                  <c:v>-175.6</c:v>
                </c:pt>
                <c:pt idx="6">
                  <c:v>-59.637940489648081</c:v>
                </c:pt>
                <c:pt idx="7">
                  <c:v>-19.714240787317188</c:v>
                </c:pt>
                <c:pt idx="8">
                  <c:v>-22.205587260857488</c:v>
                </c:pt>
                <c:pt idx="9">
                  <c:v>-7.270379772582368</c:v>
                </c:pt>
                <c:pt idx="10">
                  <c:v>-32.762129135977283</c:v>
                </c:pt>
                <c:pt idx="11">
                  <c:v>-14.785349673189831</c:v>
                </c:pt>
                <c:pt idx="12">
                  <c:v>-37.291985621134906</c:v>
                </c:pt>
                <c:pt idx="13">
                  <c:v>-11.106368397789192</c:v>
                </c:pt>
                <c:pt idx="14">
                  <c:v>-24.717558956867318</c:v>
                </c:pt>
                <c:pt idx="15">
                  <c:v>-10.625875307545776</c:v>
                </c:pt>
                <c:pt idx="16">
                  <c:v>-47.657903486366287</c:v>
                </c:pt>
                <c:pt idx="17">
                  <c:v>-9.2044613597337044</c:v>
                </c:pt>
                <c:pt idx="18">
                  <c:v>-19.217189482619023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A2-4757-BF63-0D25FD2D2409}"/>
            </c:ext>
          </c:extLst>
        </c:ser>
        <c:ser>
          <c:idx val="3"/>
          <c:order val="4"/>
          <c:tx>
            <c:strRef>
              <c:f>Charts!$E$102</c:f>
              <c:strCache>
                <c:ptCount val="1"/>
                <c:pt idx="0">
                  <c:v> Operating costs, including Sens.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Charts!$L$102:$AV$102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-46.775406120166977</c:v>
                </c:pt>
                <c:pt idx="5">
                  <c:v>-565.92033188147025</c:v>
                </c:pt>
                <c:pt idx="6">
                  <c:v>-432.34975533242329</c:v>
                </c:pt>
                <c:pt idx="7">
                  <c:v>-563.86968273401851</c:v>
                </c:pt>
                <c:pt idx="8">
                  <c:v>-806.95561953116135</c:v>
                </c:pt>
                <c:pt idx="9">
                  <c:v>-980.90533653037528</c:v>
                </c:pt>
                <c:pt idx="10">
                  <c:v>-1045.4432218671402</c:v>
                </c:pt>
                <c:pt idx="11">
                  <c:v>-1199.2561401587307</c:v>
                </c:pt>
                <c:pt idx="12">
                  <c:v>-1235.2970237000936</c:v>
                </c:pt>
                <c:pt idx="13">
                  <c:v>-1125.1808936331668</c:v>
                </c:pt>
                <c:pt idx="14">
                  <c:v>-1134.5764767086639</c:v>
                </c:pt>
                <c:pt idx="15">
                  <c:v>-1178.5061704732586</c:v>
                </c:pt>
                <c:pt idx="16">
                  <c:v>-1177.3476157134869</c:v>
                </c:pt>
                <c:pt idx="17">
                  <c:v>-1274.2426194881346</c:v>
                </c:pt>
                <c:pt idx="18">
                  <c:v>-1332.0006145204636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A2-4757-BF63-0D25FD2D2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lineChart>
        <c:grouping val="standard"/>
        <c:varyColors val="0"/>
        <c:ser>
          <c:idx val="5"/>
          <c:order val="5"/>
          <c:tx>
            <c:strRef>
              <c:f>Charts!$E$99</c:f>
              <c:strCache>
                <c:ptCount val="1"/>
                <c:pt idx="0">
                  <c:v> Project cashflows before tax 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Charts!$L$99:$AV$99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-943.06374607057251</c:v>
                </c:pt>
                <c:pt idx="5">
                  <c:v>770.99558436977952</c:v>
                </c:pt>
                <c:pt idx="6">
                  <c:v>314.33493733000921</c:v>
                </c:pt>
                <c:pt idx="7">
                  <c:v>1003.2129916506368</c:v>
                </c:pt>
                <c:pt idx="8">
                  <c:v>1063.0484207248564</c:v>
                </c:pt>
                <c:pt idx="9">
                  <c:v>555.43352993011024</c:v>
                </c:pt>
                <c:pt idx="10">
                  <c:v>404.33052632425427</c:v>
                </c:pt>
                <c:pt idx="11">
                  <c:v>603.51914712237158</c:v>
                </c:pt>
                <c:pt idx="12">
                  <c:v>552.92060449538792</c:v>
                </c:pt>
                <c:pt idx="13">
                  <c:v>541.23665696978128</c:v>
                </c:pt>
                <c:pt idx="14">
                  <c:v>535.78080999474901</c:v>
                </c:pt>
                <c:pt idx="15">
                  <c:v>531.50535740522753</c:v>
                </c:pt>
                <c:pt idx="16">
                  <c:v>486.3857379523771</c:v>
                </c:pt>
                <c:pt idx="17">
                  <c:v>584.03809811517249</c:v>
                </c:pt>
                <c:pt idx="18">
                  <c:v>598.7933418756794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CA2-4757-BF63-0D25FD2D2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8884288"/>
        <c:axId val="348884768"/>
      </c:line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Charts!$E$88</c:f>
              <c:strCache>
                <c:ptCount val="1"/>
                <c:pt idx="0">
                  <c:v> $ mn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0362813917749472"/>
          <c:y val="9.4119924597097934E-2"/>
          <c:w val="0.3266643215042232"/>
          <c:h val="0.3179678934850316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Charts!$E$133</c:f>
          <c:strCache>
            <c:ptCount val="1"/>
            <c:pt idx="0">
              <c:v> GOVERNMENT REVENUES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Charts!$E$142</c:f>
              <c:strCache>
                <c:ptCount val="1"/>
                <c:pt idx="0">
                  <c:v> Cu + Co government royalty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Charts!$L$142:$AV$142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1.3427250785885494</c:v>
                </c:pt>
                <c:pt idx="5">
                  <c:v>59.696032281620234</c:v>
                </c:pt>
                <c:pt idx="6">
                  <c:v>49.751271941506673</c:v>
                </c:pt>
                <c:pt idx="7">
                  <c:v>100.44151821818988</c:v>
                </c:pt>
                <c:pt idx="8">
                  <c:v>125.24236751817006</c:v>
                </c:pt>
                <c:pt idx="9">
                  <c:v>74.909657127852839</c:v>
                </c:pt>
                <c:pt idx="10">
                  <c:v>64.166519191185927</c:v>
                </c:pt>
                <c:pt idx="11">
                  <c:v>83.797779767771601</c:v>
                </c:pt>
                <c:pt idx="12">
                  <c:v>82.486579491115037</c:v>
                </c:pt>
                <c:pt idx="13">
                  <c:v>79.838713164114836</c:v>
                </c:pt>
                <c:pt idx="14">
                  <c:v>83.346107494918243</c:v>
                </c:pt>
                <c:pt idx="15">
                  <c:v>83.122063374167709</c:v>
                </c:pt>
                <c:pt idx="16">
                  <c:v>82.215048780097291</c:v>
                </c:pt>
                <c:pt idx="17">
                  <c:v>90.275004523844174</c:v>
                </c:pt>
                <c:pt idx="18">
                  <c:v>93.487142777811286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B0-4097-ABEB-06C116622A11}"/>
            </c:ext>
          </c:extLst>
        </c:ser>
        <c:ser>
          <c:idx val="1"/>
          <c:order val="1"/>
          <c:tx>
            <c:strRef>
              <c:f>Charts!$E$143</c:f>
              <c:strCache>
                <c:ptCount val="1"/>
                <c:pt idx="0">
                  <c:v> Turnover tax (Chiffre d'Affaires 0.3PC)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Charts!$L$143:$AV$143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0.2014087617882824</c:v>
                </c:pt>
                <c:pt idx="5">
                  <c:v>2.8397867531093386</c:v>
                </c:pt>
                <c:pt idx="6">
                  <c:v>2.4029186334589721</c:v>
                </c:pt>
                <c:pt idx="7">
                  <c:v>4.6647816973138623</c:v>
                </c:pt>
                <c:pt idx="8">
                  <c:v>5.3707620239571421</c:v>
                </c:pt>
                <c:pt idx="9">
                  <c:v>3.8609864429442342</c:v>
                </c:pt>
                <c:pt idx="10">
                  <c:v>3.5929701648905819</c:v>
                </c:pt>
                <c:pt idx="11">
                  <c:v>4.2112770109237267</c:v>
                </c:pt>
                <c:pt idx="12">
                  <c:v>4.1734041896755718</c:v>
                </c:pt>
                <c:pt idx="13">
                  <c:v>4.1076505879026843</c:v>
                </c:pt>
                <c:pt idx="14">
                  <c:v>4.1950049876038724</c:v>
                </c:pt>
                <c:pt idx="15">
                  <c:v>4.1800550590593506</c:v>
                </c:pt>
                <c:pt idx="16">
                  <c:v>4.2019989650855409</c:v>
                </c:pt>
                <c:pt idx="17">
                  <c:v>4.4714046473635181</c:v>
                </c:pt>
                <c:pt idx="18">
                  <c:v>4.5613563701371929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E75-451A-95C5-57E23BF5552C}"/>
            </c:ext>
          </c:extLst>
        </c:ser>
        <c:ser>
          <c:idx val="2"/>
          <c:order val="2"/>
          <c:tx>
            <c:strRef>
              <c:f>Charts!$E$144</c:f>
              <c:strCache>
                <c:ptCount val="1"/>
                <c:pt idx="0">
                  <c:v> CIT payable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Charts!$L$144:$AV$144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0.6713625392942747</c:v>
                </c:pt>
                <c:pt idx="5">
                  <c:v>183.17829112570044</c:v>
                </c:pt>
                <c:pt idx="6">
                  <c:v>37.162397854489413</c:v>
                </c:pt>
                <c:pt idx="7">
                  <c:v>171.7373177444376</c:v>
                </c:pt>
                <c:pt idx="8">
                  <c:v>175.18703567870509</c:v>
                </c:pt>
                <c:pt idx="9">
                  <c:v>34.153976633190744</c:v>
                </c:pt>
                <c:pt idx="10">
                  <c:v>11.976567216301939</c:v>
                </c:pt>
                <c:pt idx="11">
                  <c:v>85.016741604265363</c:v>
                </c:pt>
                <c:pt idx="12">
                  <c:v>85.767391044424485</c:v>
                </c:pt>
                <c:pt idx="13">
                  <c:v>80.116120896881185</c:v>
                </c:pt>
                <c:pt idx="14">
                  <c:v>85.114435537737563</c:v>
                </c:pt>
                <c:pt idx="15">
                  <c:v>87.686432998471005</c:v>
                </c:pt>
                <c:pt idx="16">
                  <c:v>94.242093101167413</c:v>
                </c:pt>
                <c:pt idx="17">
                  <c:v>124.99406869768933</c:v>
                </c:pt>
                <c:pt idx="18">
                  <c:v>118.69103963121651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E75-451A-95C5-57E23BF5552C}"/>
            </c:ext>
          </c:extLst>
        </c:ser>
        <c:ser>
          <c:idx val="3"/>
          <c:order val="3"/>
          <c:tx>
            <c:strRef>
              <c:f>Charts!$E$145</c:f>
              <c:strCache>
                <c:ptCount val="1"/>
                <c:pt idx="0">
                  <c:v> Special Tax On Excess Profits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Charts!$L$145:$AV$145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75-451A-95C5-57E23BF5552C}"/>
            </c:ext>
          </c:extLst>
        </c:ser>
        <c:ser>
          <c:idx val="5"/>
          <c:order val="4"/>
          <c:tx>
            <c:strRef>
              <c:f>Charts!$E$146</c:f>
              <c:strCache>
                <c:ptCount val="1"/>
                <c:pt idx="0">
                  <c:v> Payroll taxes (included in costs)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Charts!$L$146:$AV$146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8.5400000000000009</c:v>
                </c:pt>
                <c:pt idx="7">
                  <c:v>10.64</c:v>
                </c:pt>
                <c:pt idx="8">
                  <c:v>14.1</c:v>
                </c:pt>
                <c:pt idx="9">
                  <c:v>14.485831425574377</c:v>
                </c:pt>
                <c:pt idx="10">
                  <c:v>15.211281323399248</c:v>
                </c:pt>
                <c:pt idx="11">
                  <c:v>15.70909013691362</c:v>
                </c:pt>
                <c:pt idx="12">
                  <c:v>16.018442795506687</c:v>
                </c:pt>
                <c:pt idx="13">
                  <c:v>16.337476745333156</c:v>
                </c:pt>
                <c:pt idx="14">
                  <c:v>16.756732538326823</c:v>
                </c:pt>
                <c:pt idx="15">
                  <c:v>17.024409072806872</c:v>
                </c:pt>
                <c:pt idx="16">
                  <c:v>17.332453605128741</c:v>
                </c:pt>
                <c:pt idx="17">
                  <c:v>17.944513126258659</c:v>
                </c:pt>
                <c:pt idx="18">
                  <c:v>18.048831840415318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E75-451A-95C5-57E23BF5552C}"/>
            </c:ext>
          </c:extLst>
        </c:ser>
        <c:ser>
          <c:idx val="7"/>
          <c:order val="5"/>
          <c:tx>
            <c:strRef>
              <c:f>Charts!$E$147</c:f>
              <c:strCache>
                <c:ptCount val="1"/>
                <c:pt idx="0">
                  <c:v> Import duties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Charts!$L$147:$AV$147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1.7756350777216481</c:v>
                </c:pt>
                <c:pt idx="5">
                  <c:v>3.4820250524972924</c:v>
                </c:pt>
                <c:pt idx="6">
                  <c:v>0</c:v>
                </c:pt>
                <c:pt idx="7">
                  <c:v>0</c:v>
                </c:pt>
                <c:pt idx="8">
                  <c:v>10.058747314264506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75-451A-95C5-57E23BF5552C}"/>
            </c:ext>
          </c:extLst>
        </c:ser>
        <c:ser>
          <c:idx val="8"/>
          <c:order val="6"/>
          <c:tx>
            <c:strRef>
              <c:f>Charts!$E$148</c:f>
              <c:strCache>
                <c:ptCount val="1"/>
                <c:pt idx="0">
                  <c:v> Interest Withholding Tax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Charts!$L$148:$AV$148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E75-451A-95C5-57E23BF5552C}"/>
            </c:ext>
          </c:extLst>
        </c:ser>
        <c:ser>
          <c:idx val="9"/>
          <c:order val="7"/>
          <c:tx>
            <c:strRef>
              <c:f>Charts!$E$149</c:f>
              <c:strCache>
                <c:ptCount val="1"/>
                <c:pt idx="0">
                  <c:v> Dividend withholding tax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Charts!$L$149:$AV$149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25.902127734161525</c:v>
                </c:pt>
                <c:pt idx="6">
                  <c:v>16.890896425955646</c:v>
                </c:pt>
                <c:pt idx="7">
                  <c:v>55.660156486177186</c:v>
                </c:pt>
                <c:pt idx="8">
                  <c:v>52.940986442394319</c:v>
                </c:pt>
                <c:pt idx="9">
                  <c:v>22.541759252892845</c:v>
                </c:pt>
                <c:pt idx="10">
                  <c:v>11.400590730927673</c:v>
                </c:pt>
                <c:pt idx="11">
                  <c:v>16.314082116819993</c:v>
                </c:pt>
                <c:pt idx="12">
                  <c:v>9.8143467987945492</c:v>
                </c:pt>
                <c:pt idx="13">
                  <c:v>3.9561482189484538</c:v>
                </c:pt>
                <c:pt idx="14">
                  <c:v>0</c:v>
                </c:pt>
                <c:pt idx="15">
                  <c:v>0</c:v>
                </c:pt>
                <c:pt idx="16">
                  <c:v>8.91545080946082</c:v>
                </c:pt>
                <c:pt idx="17">
                  <c:v>29.433232336642178</c:v>
                </c:pt>
                <c:pt idx="18">
                  <c:v>30.963825001083411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E75-451A-95C5-57E23BF5552C}"/>
            </c:ext>
          </c:extLst>
        </c:ser>
        <c:ser>
          <c:idx val="10"/>
          <c:order val="8"/>
          <c:tx>
            <c:strRef>
              <c:f>Charts!$E$150</c:f>
              <c:strCache>
                <c:ptCount val="1"/>
                <c:pt idx="0">
                  <c:v> WHT on non-resident services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Charts!$L$137:$AV$137</c:f>
              <c:numCache>
                <c:formatCode>###0_);\(###0\);"-  ";" "@" "</c:formatCode>
                <c:ptCount val="3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  <c:pt idx="22">
                  <c:v>2036</c:v>
                </c:pt>
                <c:pt idx="23">
                  <c:v>2037</c:v>
                </c:pt>
                <c:pt idx="24">
                  <c:v>2038</c:v>
                </c:pt>
                <c:pt idx="25">
                  <c:v>2039</c:v>
                </c:pt>
                <c:pt idx="26">
                  <c:v>2040</c:v>
                </c:pt>
                <c:pt idx="27">
                  <c:v>2041</c:v>
                </c:pt>
                <c:pt idx="28">
                  <c:v>2042</c:v>
                </c:pt>
                <c:pt idx="29">
                  <c:v>2043</c:v>
                </c:pt>
                <c:pt idx="30">
                  <c:v>2044</c:v>
                </c:pt>
                <c:pt idx="31">
                  <c:v>2045</c:v>
                </c:pt>
                <c:pt idx="32">
                  <c:v>2046</c:v>
                </c:pt>
                <c:pt idx="33">
                  <c:v>2047</c:v>
                </c:pt>
                <c:pt idx="34">
                  <c:v>2048</c:v>
                </c:pt>
                <c:pt idx="35">
                  <c:v>2049</c:v>
                </c:pt>
                <c:pt idx="36">
                  <c:v>2050</c:v>
                </c:pt>
              </c:numCache>
            </c:numRef>
          </c:cat>
          <c:val>
            <c:numRef>
              <c:f>Charts!$L$150:$AV$150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19.799919999999997</c:v>
                </c:pt>
                <c:pt idx="5">
                  <c:v>3.4417600000000004</c:v>
                </c:pt>
                <c:pt idx="6">
                  <c:v>4.905153633597104</c:v>
                </c:pt>
                <c:pt idx="7">
                  <c:v>5.0413991194314169</c:v>
                </c:pt>
                <c:pt idx="8">
                  <c:v>6.6039795103128069</c:v>
                </c:pt>
                <c:pt idx="9">
                  <c:v>6.480050692231405</c:v>
                </c:pt>
                <c:pt idx="10">
                  <c:v>7.2970733100523271</c:v>
                </c:pt>
                <c:pt idx="11">
                  <c:v>7.1625197884942295</c:v>
                </c:pt>
                <c:pt idx="12">
                  <c:v>7.7389916412084201</c:v>
                </c:pt>
                <c:pt idx="13">
                  <c:v>7.3653308966799234</c:v>
                </c:pt>
                <c:pt idx="14">
                  <c:v>7.8155346410725848</c:v>
                </c:pt>
                <c:pt idx="15">
                  <c:v>7.6564461253809046</c:v>
                </c:pt>
                <c:pt idx="16">
                  <c:v>8.5170433605766043</c:v>
                </c:pt>
                <c:pt idx="17">
                  <c:v>8.0311319353889452</c:v>
                </c:pt>
                <c:pt idx="18">
                  <c:v>8.2730208440410351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AE75-451A-95C5-57E23BF5552C}"/>
            </c:ext>
          </c:extLst>
        </c:ser>
        <c:ser>
          <c:idx val="11"/>
          <c:order val="9"/>
          <c:tx>
            <c:strRef>
              <c:f>Charts!$E$153</c:f>
              <c:strCache>
                <c:ptCount val="1"/>
                <c:pt idx="0">
                  <c:v> Gecamines share of net cashflows after tax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Charts!$L$153:$AV$153</c:f>
              <c:numCache>
                <c:formatCode>#,##0_);\(#,##0\);"-  ";" "@" "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133.99765846001051</c:v>
                </c:pt>
                <c:pt idx="6">
                  <c:v>18.767662695506274</c:v>
                </c:pt>
                <c:pt idx="7">
                  <c:v>61.844618317974657</c:v>
                </c:pt>
                <c:pt idx="8">
                  <c:v>58.823318269327025</c:v>
                </c:pt>
                <c:pt idx="9">
                  <c:v>25.046399169880939</c:v>
                </c:pt>
                <c:pt idx="10">
                  <c:v>12.667323034364081</c:v>
                </c:pt>
                <c:pt idx="11">
                  <c:v>18.126757907577769</c:v>
                </c:pt>
                <c:pt idx="12">
                  <c:v>10.904829776438389</c:v>
                </c:pt>
                <c:pt idx="13">
                  <c:v>4.3957202432760596</c:v>
                </c:pt>
                <c:pt idx="14">
                  <c:v>0</c:v>
                </c:pt>
                <c:pt idx="15">
                  <c:v>0</c:v>
                </c:pt>
                <c:pt idx="16">
                  <c:v>9.9060564549564685</c:v>
                </c:pt>
                <c:pt idx="17">
                  <c:v>32.703591485157972</c:v>
                </c:pt>
                <c:pt idx="18">
                  <c:v>34.404250001203785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E75-451A-95C5-57E23BF55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348884288"/>
        <c:axId val="348884768"/>
      </c:barChart>
      <c:catAx>
        <c:axId val="348884288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768"/>
        <c:crosses val="autoZero"/>
        <c:auto val="1"/>
        <c:lblAlgn val="ctr"/>
        <c:lblOffset val="100"/>
        <c:noMultiLvlLbl val="0"/>
      </c:catAx>
      <c:valAx>
        <c:axId val="34888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strRef>
              <c:f>Charts!$E$134</c:f>
              <c:strCache>
                <c:ptCount val="1"/>
                <c:pt idx="0">
                  <c:v> $ mn 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88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9.1770754950082592E-2"/>
          <c:y val="6.9345870362287662E-2"/>
          <c:w val="0.31515472846954445"/>
          <c:h val="0.5515909536928506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Metalkol_Model1!$R$703:$AG$703</c:f>
              <c:numCache>
                <c:formatCode>#,##0_);\(#,##0\);"-  ";" "@" "</c:formatCode>
                <c:ptCount val="16"/>
                <c:pt idx="0">
                  <c:v>125.754</c:v>
                </c:pt>
                <c:pt idx="1">
                  <c:v>142.01948999999999</c:v>
                </c:pt>
                <c:pt idx="2">
                  <c:v>152.964912</c:v>
                </c:pt>
                <c:pt idx="3">
                  <c:v>157.27084040833333</c:v>
                </c:pt>
                <c:pt idx="4">
                  <c:v>156.88096181916666</c:v>
                </c:pt>
                <c:pt idx="5">
                  <c:v>155.21613288691964</c:v>
                </c:pt>
                <c:pt idx="6">
                  <c:v>146.37878363406728</c:v>
                </c:pt>
                <c:pt idx="7">
                  <c:v>132.83561661540347</c:v>
                </c:pt>
                <c:pt idx="8">
                  <c:v>107.91297685937403</c:v>
                </c:pt>
                <c:pt idx="9">
                  <c:v>72.905743802689187</c:v>
                </c:pt>
                <c:pt idx="10">
                  <c:v>22.38904884966297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B-42F2-B043-9F0D443E670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Metalkol_Model1!$R$704:$AG$704</c:f>
              <c:numCache>
                <c:formatCode>#,##0_);\(#,##0\);"-  ";" "@" "</c:formatCode>
                <c:ptCount val="16"/>
                <c:pt idx="0">
                  <c:v>131</c:v>
                </c:pt>
                <c:pt idx="1">
                  <c:v>163</c:v>
                </c:pt>
                <c:pt idx="2">
                  <c:v>165</c:v>
                </c:pt>
                <c:pt idx="3">
                  <c:v>172</c:v>
                </c:pt>
                <c:pt idx="4">
                  <c:v>171</c:v>
                </c:pt>
                <c:pt idx="5">
                  <c:v>164</c:v>
                </c:pt>
                <c:pt idx="6">
                  <c:v>137</c:v>
                </c:pt>
                <c:pt idx="7">
                  <c:v>110</c:v>
                </c:pt>
                <c:pt idx="8">
                  <c:v>84</c:v>
                </c:pt>
                <c:pt idx="9">
                  <c:v>55</c:v>
                </c:pt>
                <c:pt idx="1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B-42F2-B043-9F0D443E6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3997808"/>
        <c:axId val="143980048"/>
      </c:barChart>
      <c:catAx>
        <c:axId val="1439978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980048"/>
        <c:crosses val="autoZero"/>
        <c:auto val="1"/>
        <c:lblAlgn val="ctr"/>
        <c:lblOffset val="100"/>
        <c:noMultiLvlLbl val="0"/>
      </c:catAx>
      <c:valAx>
        <c:axId val="14398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99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Calculated versus 2011TR tax </a:t>
            </a:r>
          </a:p>
        </c:rich>
      </c:tx>
      <c:layout>
        <c:manualLayout>
          <c:xMode val="edge"/>
          <c:yMode val="edge"/>
          <c:x val="0.26424682580215814"/>
          <c:y val="3.7326389253358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Kamoto_2019TR!$E$221</c:f>
              <c:strCache>
                <c:ptCount val="1"/>
                <c:pt idx="0">
                  <c:v>CIT payable (calculated)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Kamoto_2019TR!$Q$2:$AK$2</c:f>
              <c:numCache>
                <c:formatCode>###0_);\(###0\);"-  ";" "@" "</c:formatCode>
                <c:ptCount val="2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</c:numCache>
            </c:numRef>
          </c:cat>
          <c:val>
            <c:numRef>
              <c:f>Kamoto_2019TR!$Q$221:$AK$221</c:f>
              <c:numCache>
                <c:formatCode>#,##0_);\(#,##0\);"-  ";" "@" "</c:formatCode>
                <c:ptCount val="21"/>
                <c:pt idx="0">
                  <c:v>38.860188816076459</c:v>
                </c:pt>
                <c:pt idx="1">
                  <c:v>53.502216685309506</c:v>
                </c:pt>
                <c:pt idx="2">
                  <c:v>76.5628530523487</c:v>
                </c:pt>
                <c:pt idx="3">
                  <c:v>216.13613253532102</c:v>
                </c:pt>
                <c:pt idx="4">
                  <c:v>103.06813957024228</c:v>
                </c:pt>
                <c:pt idx="5">
                  <c:v>0</c:v>
                </c:pt>
                <c:pt idx="6">
                  <c:v>0</c:v>
                </c:pt>
                <c:pt idx="7">
                  <c:v>259.13766025111318</c:v>
                </c:pt>
                <c:pt idx="8">
                  <c:v>20.837063985204917</c:v>
                </c:pt>
                <c:pt idx="9">
                  <c:v>246.41494493271472</c:v>
                </c:pt>
                <c:pt idx="10">
                  <c:v>466.14647677405611</c:v>
                </c:pt>
                <c:pt idx="11">
                  <c:v>492.72708515885415</c:v>
                </c:pt>
                <c:pt idx="12">
                  <c:v>516.24098599858166</c:v>
                </c:pt>
                <c:pt idx="13">
                  <c:v>562.06658568659725</c:v>
                </c:pt>
                <c:pt idx="14">
                  <c:v>528.79136833530742</c:v>
                </c:pt>
                <c:pt idx="15">
                  <c:v>479.45699981406335</c:v>
                </c:pt>
                <c:pt idx="16">
                  <c:v>461.91305919387781</c:v>
                </c:pt>
                <c:pt idx="17">
                  <c:v>396.175115295978</c:v>
                </c:pt>
                <c:pt idx="18">
                  <c:v>86.848297414187428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6-4101-9498-3082A66E1A9D}"/>
            </c:ext>
          </c:extLst>
        </c:ser>
        <c:ser>
          <c:idx val="1"/>
          <c:order val="1"/>
          <c:tx>
            <c:strRef>
              <c:f>Kamoto_2019TR!$E$226</c:f>
              <c:strCache>
                <c:ptCount val="1"/>
                <c:pt idx="0">
                  <c:v> Taxation 2011TR POS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Kamoto_2019TR!$Q$2:$AK$2</c:f>
              <c:numCache>
                <c:formatCode>###0_);\(###0\);"-  ";" "@" "</c:formatCode>
                <c:ptCount val="2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</c:numCache>
            </c:numRef>
          </c:cat>
          <c:val>
            <c:numRef>
              <c:f>Kamoto_2019TR!$Q$226:$AK$226</c:f>
              <c:numCache>
                <c:formatCode>#,##0_);\(#,##0\);"-  ";" "@" "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284</c:v>
                </c:pt>
                <c:pt idx="4">
                  <c:v>653</c:v>
                </c:pt>
                <c:pt idx="5">
                  <c:v>544</c:v>
                </c:pt>
                <c:pt idx="6">
                  <c:v>452</c:v>
                </c:pt>
                <c:pt idx="7">
                  <c:v>414</c:v>
                </c:pt>
                <c:pt idx="8">
                  <c:v>359</c:v>
                </c:pt>
                <c:pt idx="9">
                  <c:v>330</c:v>
                </c:pt>
                <c:pt idx="10">
                  <c:v>335</c:v>
                </c:pt>
                <c:pt idx="11">
                  <c:v>356</c:v>
                </c:pt>
                <c:pt idx="12">
                  <c:v>355</c:v>
                </c:pt>
                <c:pt idx="13">
                  <c:v>346</c:v>
                </c:pt>
                <c:pt idx="14">
                  <c:v>362</c:v>
                </c:pt>
                <c:pt idx="15">
                  <c:v>369</c:v>
                </c:pt>
                <c:pt idx="16">
                  <c:v>354</c:v>
                </c:pt>
                <c:pt idx="17">
                  <c:v>342</c:v>
                </c:pt>
                <c:pt idx="18">
                  <c:v>348</c:v>
                </c:pt>
                <c:pt idx="19">
                  <c:v>358</c:v>
                </c:pt>
                <c:pt idx="20">
                  <c:v>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6-4101-9498-3082A66E1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037327"/>
        <c:axId val="348043087"/>
      </c:lineChart>
      <c:catAx>
        <c:axId val="348037327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043087"/>
        <c:crosses val="autoZero"/>
        <c:auto val="1"/>
        <c:lblAlgn val="ctr"/>
        <c:lblOffset val="100"/>
        <c:noMultiLvlLbl val="0"/>
      </c:catAx>
      <c:valAx>
        <c:axId val="34804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037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Calculated versus 2011TR tax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Kamoto_2011TR!$E$135</c:f>
              <c:strCache>
                <c:ptCount val="1"/>
                <c:pt idx="0">
                  <c:v>CIT payable (calculated)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Kamoto_2011TR!$Q$2:$AK$2</c:f>
              <c:numCache>
                <c:formatCode>###0_);\(###0\);"-  ";" "@" "</c:formatCode>
                <c:ptCount val="2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</c:numCache>
            </c:numRef>
          </c:cat>
          <c:val>
            <c:numRef>
              <c:f>Kamoto_2011TR!$Q$135:$AK$135</c:f>
              <c:numCache>
                <c:formatCode>#,##0_);\(#,##0\);"-  ";" "@" "</c:formatCode>
                <c:ptCount val="21"/>
                <c:pt idx="0">
                  <c:v>0</c:v>
                </c:pt>
                <c:pt idx="1">
                  <c:v>127.73999999999998</c:v>
                </c:pt>
                <c:pt idx="2">
                  <c:v>234.64799999999997</c:v>
                </c:pt>
                <c:pt idx="3">
                  <c:v>440.16359999999997</c:v>
                </c:pt>
                <c:pt idx="4">
                  <c:v>496.78451999999999</c:v>
                </c:pt>
                <c:pt idx="5">
                  <c:v>469.33916399999998</c:v>
                </c:pt>
                <c:pt idx="6">
                  <c:v>439.95741479999998</c:v>
                </c:pt>
                <c:pt idx="7">
                  <c:v>394.70019036000002</c:v>
                </c:pt>
                <c:pt idx="8">
                  <c:v>361.22013325199998</c:v>
                </c:pt>
                <c:pt idx="9">
                  <c:v>346.03409327639997</c:v>
                </c:pt>
                <c:pt idx="10">
                  <c:v>353.10386529347994</c:v>
                </c:pt>
                <c:pt idx="11">
                  <c:v>354.842705705436</c:v>
                </c:pt>
                <c:pt idx="12">
                  <c:v>349.63989399380517</c:v>
                </c:pt>
                <c:pt idx="13">
                  <c:v>355.98792579566361</c:v>
                </c:pt>
                <c:pt idx="14">
                  <c:v>363.43154805696452</c:v>
                </c:pt>
                <c:pt idx="15">
                  <c:v>357.81208363987514</c:v>
                </c:pt>
                <c:pt idx="16">
                  <c:v>349.13845854791259</c:v>
                </c:pt>
                <c:pt idx="17">
                  <c:v>347.2669209835388</c:v>
                </c:pt>
                <c:pt idx="18">
                  <c:v>353.78684468847717</c:v>
                </c:pt>
                <c:pt idx="19">
                  <c:v>305.31079128193403</c:v>
                </c:pt>
                <c:pt idx="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84-4664-8D5D-8FF8F47BBC41}"/>
            </c:ext>
          </c:extLst>
        </c:ser>
        <c:ser>
          <c:idx val="1"/>
          <c:order val="1"/>
          <c:tx>
            <c:strRef>
              <c:f>Kamoto_2011TR!$E$137</c:f>
              <c:strCache>
                <c:ptCount val="1"/>
                <c:pt idx="0">
                  <c:v> Taxation 2011TR POS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Kamoto_2011TR!$Q$2:$AK$2</c:f>
              <c:numCache>
                <c:formatCode>###0_);\(###0\);"-  ";" "@" "</c:formatCode>
                <c:ptCount val="21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  <c:pt idx="8">
                  <c:v>2027</c:v>
                </c:pt>
                <c:pt idx="9">
                  <c:v>2028</c:v>
                </c:pt>
                <c:pt idx="10">
                  <c:v>2029</c:v>
                </c:pt>
                <c:pt idx="11">
                  <c:v>2030</c:v>
                </c:pt>
                <c:pt idx="12">
                  <c:v>2031</c:v>
                </c:pt>
                <c:pt idx="13">
                  <c:v>2032</c:v>
                </c:pt>
                <c:pt idx="14">
                  <c:v>2033</c:v>
                </c:pt>
                <c:pt idx="15">
                  <c:v>2034</c:v>
                </c:pt>
                <c:pt idx="16">
                  <c:v>2035</c:v>
                </c:pt>
                <c:pt idx="17">
                  <c:v>2036</c:v>
                </c:pt>
                <c:pt idx="18">
                  <c:v>2037</c:v>
                </c:pt>
                <c:pt idx="19">
                  <c:v>2038</c:v>
                </c:pt>
                <c:pt idx="20">
                  <c:v>2039</c:v>
                </c:pt>
              </c:numCache>
            </c:numRef>
          </c:cat>
          <c:val>
            <c:numRef>
              <c:f>Kamoto_2011TR!$Q$137:$AK$137</c:f>
              <c:numCache>
                <c:formatCode>#,##0_);\(#,##0\);"-  ";" "@" "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284</c:v>
                </c:pt>
                <c:pt idx="4">
                  <c:v>653</c:v>
                </c:pt>
                <c:pt idx="5">
                  <c:v>544</c:v>
                </c:pt>
                <c:pt idx="6">
                  <c:v>452</c:v>
                </c:pt>
                <c:pt idx="7">
                  <c:v>414</c:v>
                </c:pt>
                <c:pt idx="8">
                  <c:v>359</c:v>
                </c:pt>
                <c:pt idx="9">
                  <c:v>330</c:v>
                </c:pt>
                <c:pt idx="10">
                  <c:v>335</c:v>
                </c:pt>
                <c:pt idx="11">
                  <c:v>356</c:v>
                </c:pt>
                <c:pt idx="12">
                  <c:v>355</c:v>
                </c:pt>
                <c:pt idx="13">
                  <c:v>346</c:v>
                </c:pt>
                <c:pt idx="14">
                  <c:v>362</c:v>
                </c:pt>
                <c:pt idx="15">
                  <c:v>369</c:v>
                </c:pt>
                <c:pt idx="16">
                  <c:v>354</c:v>
                </c:pt>
                <c:pt idx="17">
                  <c:v>342</c:v>
                </c:pt>
                <c:pt idx="18">
                  <c:v>348</c:v>
                </c:pt>
                <c:pt idx="19">
                  <c:v>358</c:v>
                </c:pt>
                <c:pt idx="20">
                  <c:v>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84-4664-8D5D-8FF8F47BB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037327"/>
        <c:axId val="348043087"/>
      </c:lineChart>
      <c:catAx>
        <c:axId val="348037327"/>
        <c:scaling>
          <c:orientation val="minMax"/>
        </c:scaling>
        <c:delete val="0"/>
        <c:axPos val="b"/>
        <c:numFmt formatCode="###0_);\(###0\);&quot;-  &quot;;&quot; &quot;@&quot; 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043087"/>
        <c:crosses val="autoZero"/>
        <c:auto val="1"/>
        <c:lblAlgn val="ctr"/>
        <c:lblOffset val="100"/>
        <c:noMultiLvlLbl val="0"/>
      </c:catAx>
      <c:valAx>
        <c:axId val="348043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#,##0_);\(#,##0\);&quot;-  &quot;;&quot; &quot;@&quot; 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8037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8"/>
  <sheetViews>
    <sheetView zoomScale="9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chart" Target="../charts/chart4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4.png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454934</xdr:colOff>
      <xdr:row>31</xdr:row>
      <xdr:rowOff>86409</xdr:rowOff>
    </xdr:from>
    <xdr:to>
      <xdr:col>18</xdr:col>
      <xdr:colOff>371022</xdr:colOff>
      <xdr:row>62</xdr:row>
      <xdr:rowOff>40168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4932FC-812E-420D-AB09-C06D2F7A6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25</xdr:col>
      <xdr:colOff>21719</xdr:colOff>
      <xdr:row>0</xdr:row>
      <xdr:rowOff>178184</xdr:rowOff>
    </xdr:from>
    <xdr:to>
      <xdr:col>27</xdr:col>
      <xdr:colOff>55318</xdr:colOff>
      <xdr:row>3</xdr:row>
      <xdr:rowOff>95529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C72B09-C59A-D14C-CDC3-37F82D06C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81954" y="178184"/>
          <a:ext cx="1313795" cy="988467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20</xdr:col>
      <xdr:colOff>217574</xdr:colOff>
      <xdr:row>0</xdr:row>
      <xdr:rowOff>262256</xdr:rowOff>
    </xdr:from>
    <xdr:to>
      <xdr:col>24</xdr:col>
      <xdr:colOff>411472</xdr:colOff>
      <xdr:row>3</xdr:row>
      <xdr:rowOff>43267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7FA54F-8118-C93D-4177-563D2F6E1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902" y="262256"/>
          <a:ext cx="2750058" cy="852133"/>
        </a:xfrm>
        <a:prstGeom prst="rect">
          <a:avLst/>
        </a:prstGeom>
      </xdr:spPr>
    </xdr:pic>
    <xdr:clientData/>
  </xdr:twoCellAnchor>
  <xdr:twoCellAnchor>
    <xdr:from>
      <xdr:col>19</xdr:col>
      <xdr:colOff>120223</xdr:colOff>
      <xdr:row>5</xdr:row>
      <xdr:rowOff>24885</xdr:rowOff>
    </xdr:from>
    <xdr:to>
      <xdr:col>27</xdr:col>
      <xdr:colOff>79704</xdr:colOff>
      <xdr:row>30</xdr:row>
      <xdr:rowOff>119530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BA80D51-0BEA-4506-BFC7-627D5F1B05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31322</xdr:colOff>
      <xdr:row>31</xdr:row>
      <xdr:rowOff>112059</xdr:rowOff>
    </xdr:from>
    <xdr:to>
      <xdr:col>27</xdr:col>
      <xdr:colOff>567444</xdr:colOff>
      <xdr:row>58</xdr:row>
      <xdr:rowOff>92242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5B7E1F-F175-4FBE-BD4A-D3C0749F04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11927</xdr:colOff>
      <xdr:row>1</xdr:row>
      <xdr:rowOff>71550</xdr:rowOff>
    </xdr:from>
    <xdr:to>
      <xdr:col>2</xdr:col>
      <xdr:colOff>2122630</xdr:colOff>
      <xdr:row>3</xdr:row>
      <xdr:rowOff>25369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BEDAC9-AC64-E822-7C3B-38AF5328A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8688" y="399484"/>
          <a:ext cx="2307463" cy="669312"/>
        </a:xfrm>
        <a:prstGeom prst="rect">
          <a:avLst/>
        </a:prstGeom>
      </xdr:spPr>
    </xdr:pic>
    <xdr:clientData/>
  </xdr:twoCellAnchor>
  <xdr:twoCellAnchor>
    <xdr:from>
      <xdr:col>6</xdr:col>
      <xdr:colOff>220871</xdr:colOff>
      <xdr:row>4</xdr:row>
      <xdr:rowOff>136848</xdr:rowOff>
    </xdr:from>
    <xdr:to>
      <xdr:col>18</xdr:col>
      <xdr:colOff>283726</xdr:colOff>
      <xdr:row>30</xdr:row>
      <xdr:rowOff>123687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6379299-27D2-4513-8FBF-1EF6A13EDA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16108</xdr:colOff>
      <xdr:row>12</xdr:row>
      <xdr:rowOff>0</xdr:rowOff>
    </xdr:from>
    <xdr:to>
      <xdr:col>20</xdr:col>
      <xdr:colOff>18225</xdr:colOff>
      <xdr:row>37</xdr:row>
      <xdr:rowOff>160438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0504B3-3953-4504-96C3-5086421D0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56408" y="1473200"/>
          <a:ext cx="2117" cy="4922938"/>
        </a:xfrm>
        <a:prstGeom prst="rect">
          <a:avLst/>
        </a:prstGeom>
      </xdr:spPr>
    </xdr:pic>
    <xdr:clientData/>
  </xdr:twoCellAnchor>
  <xdr:twoCellAnchor>
    <xdr:from>
      <xdr:col>4</xdr:col>
      <xdr:colOff>781539</xdr:colOff>
      <xdr:row>16</xdr:row>
      <xdr:rowOff>181706</xdr:rowOff>
    </xdr:from>
    <xdr:to>
      <xdr:col>8</xdr:col>
      <xdr:colOff>1751949</xdr:colOff>
      <xdr:row>43</xdr:row>
      <xdr:rowOff>91180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D6527F-B995-39C7-D741-74F65E09AD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157447</xdr:colOff>
      <xdr:row>55</xdr:row>
      <xdr:rowOff>134470</xdr:rowOff>
    </xdr:from>
    <xdr:to>
      <xdr:col>8</xdr:col>
      <xdr:colOff>1129974</xdr:colOff>
      <xdr:row>82</xdr:row>
      <xdr:rowOff>36464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8EB0FB8-8404-4DDA-9FAF-2F2A3BDCDA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20</xdr:col>
      <xdr:colOff>16108</xdr:colOff>
      <xdr:row>91</xdr:row>
      <xdr:rowOff>0</xdr:rowOff>
    </xdr:from>
    <xdr:ext cx="2117" cy="4864141"/>
    <xdr:pic>
      <xdr:nvPicPr>
        <xdr:cNvPr id="6" name="Picture 5">
          <a:extLst>
            <a:ext uri="{FF2B5EF4-FFF2-40B4-BE49-F238E27FC236}">
              <a16:creationId xmlns:a16="http://schemas.microsoft.com/office/drawing/2014/main" id="{687374CF-1F67-490D-9177-52ECADD7B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28119" y="2398889"/>
          <a:ext cx="2117" cy="4864141"/>
        </a:xfrm>
        <a:prstGeom prst="rect">
          <a:avLst/>
        </a:prstGeom>
      </xdr:spPr>
    </xdr:pic>
    <xdr:clientData/>
  </xdr:oneCellAnchor>
  <xdr:twoCellAnchor>
    <xdr:from>
      <xdr:col>4</xdr:col>
      <xdr:colOff>630294</xdr:colOff>
      <xdr:row>105</xdr:row>
      <xdr:rowOff>133582</xdr:rowOff>
    </xdr:from>
    <xdr:to>
      <xdr:col>8</xdr:col>
      <xdr:colOff>1653015</xdr:colOff>
      <xdr:row>128</xdr:row>
      <xdr:rowOff>114231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587899B-CCDD-774D-0813-B66D9465DB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276451</xdr:colOff>
      <xdr:row>156</xdr:row>
      <xdr:rowOff>13244</xdr:rowOff>
    </xdr:from>
    <xdr:to>
      <xdr:col>9</xdr:col>
      <xdr:colOff>205999</xdr:colOff>
      <xdr:row>180</xdr:row>
      <xdr:rowOff>14052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3992808-9094-0F20-FB4C-FFE2A3FC1D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71A228-ECB1-8997-25B5-9F2FED2A8A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16108</xdr:colOff>
      <xdr:row>161</xdr:row>
      <xdr:rowOff>0</xdr:rowOff>
    </xdr:from>
    <xdr:ext cx="0" cy="4897418"/>
    <xdr:pic>
      <xdr:nvPicPr>
        <xdr:cNvPr id="2" name="Picture 1">
          <a:extLst>
            <a:ext uri="{FF2B5EF4-FFF2-40B4-BE49-F238E27FC236}">
              <a16:creationId xmlns:a16="http://schemas.microsoft.com/office/drawing/2014/main" id="{1C23549B-7515-4C1E-A92E-AB5BE7885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5025" y="4330700"/>
          <a:ext cx="0" cy="4897418"/>
        </a:xfrm>
        <a:prstGeom prst="rect">
          <a:avLst/>
        </a:prstGeom>
      </xdr:spPr>
    </xdr:pic>
    <xdr:clientData/>
  </xdr:oneCellAnchor>
  <xdr:oneCellAnchor>
    <xdr:from>
      <xdr:col>20</xdr:col>
      <xdr:colOff>16108</xdr:colOff>
      <xdr:row>91</xdr:row>
      <xdr:rowOff>0</xdr:rowOff>
    </xdr:from>
    <xdr:ext cx="0" cy="4897418"/>
    <xdr:pic>
      <xdr:nvPicPr>
        <xdr:cNvPr id="4" name="Picture 3">
          <a:extLst>
            <a:ext uri="{FF2B5EF4-FFF2-40B4-BE49-F238E27FC236}">
              <a16:creationId xmlns:a16="http://schemas.microsoft.com/office/drawing/2014/main" id="{7A3E2A74-7396-45E7-B4F4-6EF961CDF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25025" y="6235700"/>
          <a:ext cx="0" cy="489741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16108</xdr:colOff>
      <xdr:row>480</xdr:row>
      <xdr:rowOff>0</xdr:rowOff>
    </xdr:from>
    <xdr:to>
      <xdr:col>20</xdr:col>
      <xdr:colOff>20342</xdr:colOff>
      <xdr:row>505</xdr:row>
      <xdr:rowOff>158329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47E685-8BAC-43B5-9A5D-142DA11F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8488" y="29155072"/>
          <a:ext cx="3857150" cy="5308959"/>
        </a:xfrm>
        <a:prstGeom prst="rect">
          <a:avLst/>
        </a:prstGeom>
      </xdr:spPr>
    </xdr:pic>
    <xdr:clientData/>
  </xdr:twoCellAnchor>
  <xdr:twoCellAnchor editAs="oneCell">
    <xdr:from>
      <xdr:col>13</xdr:col>
      <xdr:colOff>16108</xdr:colOff>
      <xdr:row>45</xdr:row>
      <xdr:rowOff>0</xdr:rowOff>
    </xdr:from>
    <xdr:to>
      <xdr:col>13</xdr:col>
      <xdr:colOff>16108</xdr:colOff>
      <xdr:row>70</xdr:row>
      <xdr:rowOff>162556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FBCAE8-59E9-46B9-836C-0B99499EA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61348" y="43571160"/>
          <a:ext cx="0" cy="49250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16108</xdr:colOff>
      <xdr:row>22</xdr:row>
      <xdr:rowOff>0</xdr:rowOff>
    </xdr:from>
    <xdr:ext cx="0" cy="4897418"/>
    <xdr:pic>
      <xdr:nvPicPr>
        <xdr:cNvPr id="2" name="Picture 1">
          <a:extLst>
            <a:ext uri="{FF2B5EF4-FFF2-40B4-BE49-F238E27FC236}">
              <a16:creationId xmlns:a16="http://schemas.microsoft.com/office/drawing/2014/main" id="{C45CE701-20E8-4932-AE61-E3576F49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13925" y="2235200"/>
          <a:ext cx="0" cy="4897418"/>
        </a:xfrm>
        <a:prstGeom prst="rect">
          <a:avLst/>
        </a:prstGeom>
      </xdr:spPr>
    </xdr:pic>
    <xdr:clientData/>
  </xdr:oneCellAnchor>
  <xdr:twoCellAnchor>
    <xdr:from>
      <xdr:col>23</xdr:col>
      <xdr:colOff>71663</xdr:colOff>
      <xdr:row>223</xdr:row>
      <xdr:rowOff>166344</xdr:rowOff>
    </xdr:from>
    <xdr:to>
      <xdr:col>29</xdr:col>
      <xdr:colOff>145676</xdr:colOff>
      <xdr:row>241</xdr:row>
      <xdr:rowOff>171698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CD6CACC-DF1C-4330-ADFC-56EF65058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16108</xdr:colOff>
      <xdr:row>11</xdr:row>
      <xdr:rowOff>0</xdr:rowOff>
    </xdr:from>
    <xdr:ext cx="0" cy="4897418"/>
    <xdr:pic>
      <xdr:nvPicPr>
        <xdr:cNvPr id="2" name="Picture 1">
          <a:extLst>
            <a:ext uri="{FF2B5EF4-FFF2-40B4-BE49-F238E27FC236}">
              <a16:creationId xmlns:a16="http://schemas.microsoft.com/office/drawing/2014/main" id="{D56BEB84-45EA-4069-B284-C69850A46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20275" y="1638300"/>
          <a:ext cx="0" cy="4897418"/>
        </a:xfrm>
        <a:prstGeom prst="rect">
          <a:avLst/>
        </a:prstGeom>
      </xdr:spPr>
    </xdr:pic>
    <xdr:clientData/>
  </xdr:oneCellAnchor>
  <xdr:twoCellAnchor>
    <xdr:from>
      <xdr:col>11</xdr:col>
      <xdr:colOff>286690</xdr:colOff>
      <xdr:row>112</xdr:row>
      <xdr:rowOff>183706</xdr:rowOff>
    </xdr:from>
    <xdr:to>
      <xdr:col>15</xdr:col>
      <xdr:colOff>325468</xdr:colOff>
      <xdr:row>127</xdr:row>
      <xdr:rowOff>44574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FB86FF-98AE-4B23-81FE-40165AD29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16108</xdr:colOff>
      <xdr:row>117</xdr:row>
      <xdr:rowOff>0</xdr:rowOff>
    </xdr:from>
    <xdr:to>
      <xdr:col>20</xdr:col>
      <xdr:colOff>20342</xdr:colOff>
      <xdr:row>142</xdr:row>
      <xdr:rowOff>158321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E9F742-6D91-4CAF-981B-CAB6EDB1F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15188" y="40927972"/>
          <a:ext cx="0" cy="492505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_xsObiMWUCIIYXXxIg6o11MhHdqxIssJ" TargetMode="External"/><Relationship Id="rId7" Type="http://schemas.openxmlformats.org/officeDocument/2006/relationships/hyperlink" Target="https://drive.google.com/file/d/1cVHncTi7M1Ek8JlL4Lid51_j08dP9Agk/view?usp=drive_link" TargetMode="External"/><Relationship Id="rId2" Type="http://schemas.openxmlformats.org/officeDocument/2006/relationships/hyperlink" Target="https://drive.google.com/drive/folders/1_xsObiMWUCIIYXXxIg6o11MhHdqxIssJ" TargetMode="External"/><Relationship Id="rId1" Type="http://schemas.openxmlformats.org/officeDocument/2006/relationships/hyperlink" Target="https://drive.google.com/file/d/1jArNGMI65XLr3fIKXuBX2QdNKHeFfx0C/view?usp=drive_link" TargetMode="External"/><Relationship Id="rId6" Type="http://schemas.openxmlformats.org/officeDocument/2006/relationships/hyperlink" Target="https://drive.google.com/file/d/1jArNGMI65XLr3fIKXuBX2QdNKHeFfx0C/view" TargetMode="External"/><Relationship Id="rId5" Type="http://schemas.openxmlformats.org/officeDocument/2006/relationships/hyperlink" Target="https://drive.google.com/file/d/1cVHncTi7M1Ek8JlL4Lid51_j08dP9Agk/view?usp=drive_link" TargetMode="External"/><Relationship Id="rId4" Type="http://schemas.openxmlformats.org/officeDocument/2006/relationships/hyperlink" Target="https://drive.google.com/file/d/1cVHncTi7M1Ek8JlL4Lid51_j08dP9Agk/view?usp=drive_link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J53"/>
  <sheetViews>
    <sheetView tabSelected="1" zoomScale="90" zoomScaleNormal="90" workbookViewId="0">
      <selection activeCell="B35" sqref="B35"/>
    </sheetView>
  </sheetViews>
  <sheetFormatPr baseColWidth="10" defaultColWidth="9.09765625" defaultRowHeight="14.4"/>
  <cols>
    <col min="1" max="1" width="9.09765625" style="3"/>
    <col min="2" max="2" width="14.69921875" style="3" customWidth="1"/>
    <col min="3" max="3" width="22.09765625" style="3" customWidth="1"/>
    <col min="4" max="4" width="9.09765625" style="3"/>
    <col min="5" max="5" width="71.3984375" style="3" customWidth="1"/>
    <col min="6" max="6" width="9.296875" style="3" customWidth="1"/>
    <col min="7" max="16384" width="9.09765625" style="3"/>
  </cols>
  <sheetData>
    <row r="2" spans="1:8">
      <c r="B2" s="484" t="s">
        <v>781</v>
      </c>
      <c r="C2" s="484" t="s">
        <v>782</v>
      </c>
      <c r="D2" s="484" t="s">
        <v>782</v>
      </c>
      <c r="E2" s="484" t="s">
        <v>805</v>
      </c>
      <c r="F2" s="484"/>
    </row>
    <row r="4" spans="1:8">
      <c r="A4" s="3">
        <f xml:space="preserve"> MAX(A$2:A3) + 1</f>
        <v>1</v>
      </c>
      <c r="B4" s="70"/>
      <c r="C4" s="533" t="str">
        <f xml:space="preserve"> Metalkol_Model1!B$82</f>
        <v>Cu realized price options</v>
      </c>
      <c r="E4" s="3" t="s">
        <v>1196</v>
      </c>
    </row>
    <row r="6" spans="1:8">
      <c r="A6" s="3">
        <f xml:space="preserve"> MAX(A$2:A5) + 1</f>
        <v>2</v>
      </c>
      <c r="C6" s="533" t="str">
        <f xml:space="preserve"> Metalkol_Model1!E$137</f>
        <v>Freight charge per tonne of cobalt contained</v>
      </c>
      <c r="E6" s="3" t="s">
        <v>1197</v>
      </c>
    </row>
    <row r="8" spans="1:8">
      <c r="A8" s="3">
        <f xml:space="preserve"> MAX(A$2:A7) + 1</f>
        <v>3</v>
      </c>
      <c r="C8" s="472" t="str">
        <f xml:space="preserve"> Metalkol_Model1!E$170</f>
        <v>Last year of Cu production</v>
      </c>
      <c r="E8" s="3" t="s">
        <v>1198</v>
      </c>
    </row>
    <row r="10" spans="1:8">
      <c r="A10" s="3">
        <f xml:space="preserve"> MAX(A$2:A9) + 1</f>
        <v>4</v>
      </c>
      <c r="C10" s="41" t="str">
        <f xml:space="preserve"> Metalkol_Model1!C$196</f>
        <v>Deductions from revenues</v>
      </c>
      <c r="E10" s="3" t="s">
        <v>1199</v>
      </c>
    </row>
    <row r="12" spans="1:8">
      <c r="A12" s="3">
        <f xml:space="preserve"> MAX(A$2:A11) + 1</f>
        <v>5</v>
      </c>
      <c r="E12" s="3" t="s">
        <v>1240</v>
      </c>
      <c r="H12" s="97"/>
    </row>
    <row r="14" spans="1:8">
      <c r="C14" s="70"/>
    </row>
    <row r="15" spans="1:8">
      <c r="A15" s="3">
        <f xml:space="preserve"> MAX(A$2:A14) + 1</f>
        <v>6</v>
      </c>
    </row>
    <row r="16" spans="1:8">
      <c r="C16" s="41"/>
    </row>
    <row r="18" spans="1:10">
      <c r="B18" s="449" t="s">
        <v>781</v>
      </c>
      <c r="C18" s="449" t="s">
        <v>782</v>
      </c>
      <c r="D18" s="449" t="s">
        <v>782</v>
      </c>
      <c r="E18" s="449" t="s">
        <v>805</v>
      </c>
      <c r="F18" s="449"/>
    </row>
    <row r="19" spans="1:10">
      <c r="E19" s="444"/>
    </row>
    <row r="20" spans="1:10">
      <c r="A20" s="3" t="s">
        <v>1365</v>
      </c>
    </row>
    <row r="21" spans="1:10">
      <c r="B21"/>
      <c r="C21"/>
      <c r="D21"/>
      <c r="E21"/>
      <c r="F21"/>
      <c r="G21"/>
      <c r="H21"/>
      <c r="I21"/>
      <c r="J21"/>
    </row>
    <row r="22" spans="1:10">
      <c r="A22" s="3">
        <f xml:space="preserve"> MAX(A18:A21) + 1</f>
        <v>1</v>
      </c>
      <c r="B22" s="599" t="str">
        <f xml:space="preserve"> Dashboard!C42</f>
        <v>Government share: excluding payroll &amp; indirect taxes</v>
      </c>
      <c r="C22" s="599">
        <f xml:space="preserve"> Dashboard!D42</f>
        <v>0.3549012641154583</v>
      </c>
      <c r="D22"/>
      <c r="E22" t="s">
        <v>1366</v>
      </c>
      <c r="F22"/>
      <c r="G22"/>
      <c r="H22"/>
      <c r="I22"/>
      <c r="J22"/>
    </row>
    <row r="23" spans="1:10">
      <c r="B23"/>
      <c r="C23"/>
      <c r="D23"/>
      <c r="E23"/>
      <c r="F23"/>
      <c r="G23"/>
      <c r="H23"/>
      <c r="I23"/>
      <c r="J23"/>
    </row>
    <row r="24" spans="1:10">
      <c r="A24" s="3">
        <f xml:space="preserve"> MAX(A20:A23) + 1</f>
        <v>2</v>
      </c>
      <c r="B24" s="538" t="str">
        <f xml:space="preserve"> Metalkol_Model1!E709</f>
        <v>Loan repayment: interest (first)</v>
      </c>
      <c r="C24"/>
      <c r="D24"/>
      <c r="E24" t="s">
        <v>1369</v>
      </c>
      <c r="F24"/>
      <c r="G24"/>
      <c r="H24"/>
      <c r="I24"/>
      <c r="J24"/>
    </row>
    <row r="25" spans="1:10">
      <c r="B25"/>
      <c r="C25"/>
      <c r="D25"/>
      <c r="E25"/>
      <c r="F25"/>
      <c r="G25"/>
      <c r="H25"/>
      <c r="I25"/>
      <c r="J25"/>
    </row>
    <row r="26" spans="1:10">
      <c r="A26" s="3">
        <f xml:space="preserve"> MAX(A22:A25) + 1</f>
        <v>3</v>
      </c>
      <c r="B26" s="538" t="str">
        <f xml:space="preserve"> Metalkol_Model1!E$804</f>
        <v>Gecamines share of net cashflows after tax</v>
      </c>
      <c r="C26"/>
      <c r="D26"/>
      <c r="E26" t="s">
        <v>1367</v>
      </c>
      <c r="F26"/>
      <c r="G26"/>
      <c r="H26"/>
      <c r="I26"/>
      <c r="J26"/>
    </row>
    <row r="27" spans="1:10">
      <c r="B27"/>
      <c r="C27"/>
      <c r="D27"/>
      <c r="E27" t="s">
        <v>1368</v>
      </c>
      <c r="F27"/>
      <c r="G27"/>
      <c r="H27"/>
      <c r="I27"/>
      <c r="J27"/>
    </row>
    <row r="28" spans="1:10">
      <c r="B28"/>
      <c r="C28"/>
      <c r="D28"/>
      <c r="E28"/>
      <c r="F28"/>
      <c r="G28"/>
      <c r="H28"/>
      <c r="I28"/>
      <c r="J28"/>
    </row>
    <row r="29" spans="1:10">
      <c r="A29" s="3">
        <f xml:space="preserve"> MAX(A25:A28) + 1</f>
        <v>4</v>
      </c>
      <c r="B29" s="969" t="str">
        <f xml:space="preserve"> SummaryC_Flow!E$64</f>
        <v>Gecamines share of net cashflows after tax</v>
      </c>
      <c r="C29"/>
      <c r="D29"/>
      <c r="E29" t="s">
        <v>1370</v>
      </c>
      <c r="F29"/>
      <c r="G29"/>
      <c r="H29"/>
      <c r="I29"/>
      <c r="J29"/>
    </row>
    <row r="30" spans="1:10">
      <c r="B30"/>
      <c r="C30"/>
      <c r="D30"/>
      <c r="E30"/>
      <c r="F30"/>
      <c r="G30"/>
      <c r="H30"/>
      <c r="I30"/>
      <c r="J30"/>
    </row>
    <row r="31" spans="1:10">
      <c r="A31" s="3">
        <f xml:space="preserve"> MAX(A27:A30) + 1</f>
        <v>5</v>
      </c>
      <c r="B31" s="70" t="str">
        <f ca="1" xml:space="preserve"> Track!A1</f>
        <v>Track</v>
      </c>
      <c r="C31" s="538">
        <f xml:space="preserve"> Track!F3</f>
        <v>0</v>
      </c>
      <c r="D31"/>
      <c r="E31" t="s">
        <v>1371</v>
      </c>
      <c r="F31"/>
      <c r="G31"/>
      <c r="H31"/>
      <c r="I31"/>
      <c r="J31"/>
    </row>
    <row r="32" spans="1:10">
      <c r="B32"/>
      <c r="C32"/>
      <c r="D32"/>
      <c r="E32"/>
      <c r="F32"/>
      <c r="G32"/>
      <c r="H32"/>
      <c r="I32"/>
      <c r="J32"/>
    </row>
    <row r="33" spans="1:6">
      <c r="A33" s="3">
        <f xml:space="preserve"> MAX(A29:A32) + 1</f>
        <v>6</v>
      </c>
      <c r="B33" s="70" t="str">
        <f xml:space="preserve"> Charts!E97</f>
        <v>Capital Costs inc. Sens.</v>
      </c>
      <c r="E33" s="3" t="s">
        <v>1372</v>
      </c>
    </row>
    <row r="34" spans="1:6">
      <c r="B34"/>
      <c r="C34"/>
      <c r="D34"/>
      <c r="E34"/>
      <c r="F34"/>
    </row>
    <row r="35" spans="1:6">
      <c r="A35" s="3">
        <f xml:space="preserve"> MAX(A31:A34) + 1</f>
        <v>7</v>
      </c>
      <c r="B35" s="538" t="str">
        <f xml:space="preserve"> InputsCon!E$91</f>
        <v>Cu royalty private GCM / AHIL / Ventora</v>
      </c>
      <c r="C35"/>
      <c r="D35"/>
      <c r="E35" t="s">
        <v>1373</v>
      </c>
      <c r="F35"/>
    </row>
    <row r="36" spans="1:6">
      <c r="B36"/>
      <c r="C36"/>
      <c r="D36"/>
      <c r="E36"/>
      <c r="F36"/>
    </row>
    <row r="37" spans="1:6">
      <c r="A37" s="3">
        <f xml:space="preserve"> MAX(A33:A36) + 1</f>
        <v>8</v>
      </c>
      <c r="B37" s="538" t="e">
        <f xml:space="preserve"> Charts!#REF!</f>
        <v>#REF!</v>
      </c>
      <c r="C37"/>
      <c r="D37"/>
      <c r="E37" t="s">
        <v>1374</v>
      </c>
      <c r="F37"/>
    </row>
    <row r="38" spans="1:6">
      <c r="B38" s="538" t="e">
        <f xml:space="preserve"> Charts!#REF!</f>
        <v>#REF!</v>
      </c>
      <c r="C38"/>
      <c r="D38"/>
      <c r="E38"/>
      <c r="F38"/>
    </row>
    <row r="39" spans="1:6">
      <c r="B39"/>
      <c r="C39"/>
      <c r="D39"/>
      <c r="E39"/>
      <c r="F39"/>
    </row>
    <row r="40" spans="1:6">
      <c r="A40" s="3">
        <f xml:space="preserve"> MAX(A36:A39) + 1</f>
        <v>9</v>
      </c>
      <c r="B40" s="538" t="str">
        <f xml:space="preserve"> Metalkol_Model1!E$12</f>
        <v>Copper produced: 2022FS + actuals</v>
      </c>
      <c r="C40"/>
      <c r="D40"/>
      <c r="E40" t="s">
        <v>1375</v>
      </c>
      <c r="F40"/>
    </row>
    <row r="41" spans="1:6">
      <c r="B41"/>
      <c r="C41"/>
      <c r="D41"/>
      <c r="E41" t="s">
        <v>1376</v>
      </c>
      <c r="F41"/>
    </row>
    <row r="43" spans="1:6">
      <c r="A43" s="3">
        <f xml:space="preserve"> MAX(A39:A42) + 1</f>
        <v>10</v>
      </c>
      <c r="B43" s="472" t="str">
        <f xml:space="preserve"> 'T&amp;E'!E$8</f>
        <v>Model first year</v>
      </c>
      <c r="E43" s="3" t="s">
        <v>1377</v>
      </c>
    </row>
    <row r="44" spans="1:6">
      <c r="E44" s="3" t="s">
        <v>1378</v>
      </c>
    </row>
    <row r="45" spans="1:6">
      <c r="E45" s="3" t="s">
        <v>1379</v>
      </c>
    </row>
    <row r="47" spans="1:6">
      <c r="A47" s="3">
        <f xml:space="preserve"> MAX(A43:A46) + 1</f>
        <v>11</v>
      </c>
      <c r="B47" s="70" t="str">
        <f xml:space="preserve"> Metalkol_Model1!E390</f>
        <v>Alternative Operating Cost Profile</v>
      </c>
      <c r="E47" s="3" t="s">
        <v>1380</v>
      </c>
    </row>
    <row r="49" spans="1:5">
      <c r="A49" s="3">
        <f xml:space="preserve"> MAX(A45:A48) + 1</f>
        <v>12</v>
      </c>
      <c r="B49" s="70" t="str">
        <f xml:space="preserve"> Metalkol_Model1!E$406</f>
        <v>Forecast period annualised capex</v>
      </c>
      <c r="E49" s="3" t="s">
        <v>1381</v>
      </c>
    </row>
    <row r="51" spans="1:5">
      <c r="A51" s="3">
        <f xml:space="preserve"> MAX(A47:A50) + 1</f>
        <v>13</v>
      </c>
      <c r="B51" s="70" t="str">
        <f ca="1" xml:space="preserve"> Kamoto_2019TR!A1</f>
        <v>Kamoto_2019TR</v>
      </c>
      <c r="E51" s="3" t="s">
        <v>1382</v>
      </c>
    </row>
    <row r="52" spans="1:5">
      <c r="B52" s="70" t="str">
        <f ca="1" xml:space="preserve"> Kamoto_2011TR!A1</f>
        <v>Kamoto_2011TR</v>
      </c>
      <c r="E52" s="3" t="s">
        <v>1382</v>
      </c>
    </row>
    <row r="53" spans="1:5">
      <c r="B53" s="70" t="str">
        <f ca="1" xml:space="preserve"> Inp_2019TR!A1</f>
        <v>Inp_2019TR</v>
      </c>
      <c r="E53" s="3" t="s">
        <v>1382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theme="4" tint="0.59999389629810485"/>
  </sheetPr>
  <dimension ref="A1:CA98"/>
  <sheetViews>
    <sheetView zoomScale="70" zoomScaleNormal="70" workbookViewId="0">
      <pane xSplit="11" ySplit="4" topLeftCell="L5" activePane="bottomRight" state="frozen"/>
      <selection pane="topRight" activeCell="K1" sqref="K1"/>
      <selection pane="bottomLeft" activeCell="A5" sqref="A5"/>
      <selection pane="bottomRight" activeCell="F28" sqref="F28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18" customWidth="1"/>
    <col min="6" max="6" width="12.69921875" style="18" customWidth="1"/>
    <col min="7" max="7" width="20.69921875" style="18" customWidth="1"/>
    <col min="8" max="8" width="5" style="18" customWidth="1"/>
    <col min="9" max="9" width="9.3984375" style="20" customWidth="1"/>
    <col min="10" max="10" width="12.69921875" style="18" customWidth="1" collapsed="1"/>
    <col min="11" max="11" width="1.59765625" style="46" customWidth="1"/>
    <col min="12" max="12" width="3.3984375" style="21" customWidth="1"/>
    <col min="13" max="33" width="13.3984375" style="18" customWidth="1"/>
    <col min="34" max="34" width="3.09765625" style="21" customWidth="1"/>
    <col min="35" max="68" width="10.69921875" style="18" customWidth="1"/>
    <col min="69" max="77" width="11.69921875" style="18" hidden="1" customWidth="1"/>
    <col min="78" max="79" width="0" style="18" hidden="1" customWidth="1"/>
    <col min="80" max="16384" width="14.59765625" style="18" hidden="1"/>
  </cols>
  <sheetData>
    <row r="1" spans="1:68" ht="26.25" customHeight="1">
      <c r="A1" s="101" t="str">
        <f ca="1" xml:space="preserve"> RIGHT(CELL("filename", $A$3), LEN(CELL("filename", $A$3)) - SEARCH("]", CELL("filename", $A$3)))</f>
        <v>Track</v>
      </c>
      <c r="F1" s="19"/>
    </row>
    <row r="2" spans="1:68" ht="15" customHeight="1">
      <c r="F2" s="482">
        <f xml:space="preserve"> Track!$F$85</f>
        <v>0</v>
      </c>
      <c r="G2" s="22" t="s">
        <v>1</v>
      </c>
      <c r="H2" s="22"/>
      <c r="L2" s="530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 s="530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</row>
    <row r="3" spans="1:68" s="103" customFormat="1" ht="15" customHeight="1">
      <c r="A3" s="246"/>
      <c r="B3" s="246"/>
      <c r="C3" s="247"/>
      <c r="F3" s="588">
        <f>SUM(I9:I83)</f>
        <v>0</v>
      </c>
      <c r="G3" s="23" t="s">
        <v>2</v>
      </c>
      <c r="H3" s="556"/>
      <c r="I3" s="210"/>
      <c r="K3" s="253"/>
      <c r="L3" s="55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557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15" customHeight="1">
      <c r="E4" s="587" t="s">
        <v>1383</v>
      </c>
      <c r="F4" s="531" t="s">
        <v>824</v>
      </c>
      <c r="G4" s="16"/>
      <c r="H4" s="16"/>
      <c r="I4" s="26"/>
      <c r="J4" s="27"/>
      <c r="L4" s="530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 s="530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ht="15" customHeight="1">
      <c r="F5" s="25"/>
      <c r="G5" s="16"/>
      <c r="H5" s="16"/>
      <c r="I5" s="26">
        <f>MATCH(E4, L5:AH5, 0)</f>
        <v>2</v>
      </c>
      <c r="J5" s="27" t="s">
        <v>89</v>
      </c>
      <c r="K5" s="97"/>
      <c r="M5" s="587" t="s">
        <v>1383</v>
      </c>
      <c r="N5" s="587" t="s">
        <v>1364</v>
      </c>
      <c r="O5" s="587" t="s">
        <v>1291</v>
      </c>
      <c r="P5" s="587" t="s">
        <v>1272</v>
      </c>
      <c r="Q5" s="587" t="s">
        <v>1271</v>
      </c>
      <c r="R5" s="587" t="s">
        <v>1270</v>
      </c>
      <c r="S5" s="587" t="s">
        <v>1142</v>
      </c>
      <c r="T5" s="587" t="s">
        <v>1127</v>
      </c>
      <c r="U5" s="587" t="s">
        <v>1104</v>
      </c>
      <c r="V5" s="587" t="s">
        <v>1086</v>
      </c>
      <c r="W5" s="587" t="s">
        <v>1085</v>
      </c>
      <c r="X5" s="587" t="s">
        <v>1075</v>
      </c>
      <c r="Y5" s="587" t="s">
        <v>964</v>
      </c>
      <c r="Z5" s="587" t="s">
        <v>918</v>
      </c>
      <c r="AA5" s="587" t="s">
        <v>913</v>
      </c>
      <c r="AB5" s="587" t="s">
        <v>911</v>
      </c>
      <c r="AC5" s="587" t="s">
        <v>888</v>
      </c>
      <c r="AD5" s="587" t="s">
        <v>884</v>
      </c>
      <c r="AE5" s="587" t="s">
        <v>867</v>
      </c>
      <c r="AF5" s="587" t="s">
        <v>868</v>
      </c>
      <c r="AG5" s="66" t="s">
        <v>823</v>
      </c>
    </row>
    <row r="6" spans="1:68" s="31" customFormat="1" ht="15" customHeight="1" collapsed="1">
      <c r="A6" s="34" t="s">
        <v>822</v>
      </c>
      <c r="B6" s="28"/>
      <c r="C6" s="29"/>
      <c r="D6" s="30"/>
      <c r="E6" s="28"/>
      <c r="F6" s="28"/>
      <c r="G6" s="28"/>
      <c r="H6" s="28"/>
      <c r="I6" s="28"/>
      <c r="J6" s="28"/>
      <c r="K6" s="28"/>
      <c r="L6" s="4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49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</row>
    <row r="7" spans="1:68" ht="15" customHeight="1">
      <c r="F7" s="25"/>
      <c r="G7" s="16"/>
      <c r="H7" s="16"/>
      <c r="I7" s="26"/>
      <c r="J7" s="27"/>
      <c r="K7" s="97"/>
    </row>
    <row r="8" spans="1:68" ht="15" customHeight="1">
      <c r="B8" s="16" t="s">
        <v>832</v>
      </c>
      <c r="F8" s="25"/>
      <c r="G8" s="16"/>
      <c r="H8" s="16"/>
      <c r="I8" s="26"/>
      <c r="J8" s="27"/>
      <c r="K8" s="97"/>
    </row>
    <row r="9" spans="1:68" ht="15" customHeight="1">
      <c r="E9" s="472" t="str">
        <f xml:space="preserve"> InputsCon!E$38</f>
        <v>Copper forecast price</v>
      </c>
      <c r="F9" s="541" t="str">
        <f xml:space="preserve"> InputsCon!F$38</f>
        <v>IMF_WEO</v>
      </c>
      <c r="G9" s="533" t="str">
        <f xml:space="preserve"> InputsCon!G$38</f>
        <v>option selected</v>
      </c>
      <c r="H9" s="16"/>
      <c r="I9" s="536">
        <f t="shared" ref="I9:I21" si="0" xml:space="preserve"> IF(ABS(J9) &gt; CHK_TOL, 1, 0)</f>
        <v>0</v>
      </c>
      <c r="J9" s="537">
        <f xml:space="preserve"> IF(F9=INDEX(L9:AG9, $I$5), 0, 1)</f>
        <v>0</v>
      </c>
      <c r="K9" s="97"/>
      <c r="M9" s="18" t="s">
        <v>591</v>
      </c>
      <c r="N9" s="18" t="s">
        <v>591</v>
      </c>
      <c r="O9" s="18" t="s">
        <v>591</v>
      </c>
      <c r="P9" s="18" t="s">
        <v>591</v>
      </c>
      <c r="Q9" s="18" t="s">
        <v>591</v>
      </c>
      <c r="R9" s="18" t="s">
        <v>591</v>
      </c>
      <c r="S9" s="18" t="s">
        <v>591</v>
      </c>
      <c r="T9" s="18" t="s">
        <v>591</v>
      </c>
      <c r="U9" s="18" t="s">
        <v>591</v>
      </c>
      <c r="V9" s="18" t="s">
        <v>591</v>
      </c>
      <c r="W9" s="18" t="s">
        <v>591</v>
      </c>
      <c r="X9" s="18" t="s">
        <v>591</v>
      </c>
      <c r="Y9" s="18" t="s">
        <v>591</v>
      </c>
      <c r="Z9" s="18" t="s">
        <v>591</v>
      </c>
      <c r="AA9" s="18" t="s">
        <v>591</v>
      </c>
      <c r="AB9" s="18" t="s">
        <v>591</v>
      </c>
      <c r="AC9" s="18" t="s">
        <v>591</v>
      </c>
      <c r="AD9" s="18" t="s">
        <v>591</v>
      </c>
      <c r="AE9" s="18" t="s">
        <v>591</v>
      </c>
      <c r="AF9" s="18" t="s">
        <v>591</v>
      </c>
      <c r="AG9" s="18" t="s">
        <v>591</v>
      </c>
      <c r="AJ9" s="992" t="s">
        <v>825</v>
      </c>
      <c r="AK9" s="992"/>
      <c r="AL9" s="992"/>
      <c r="AM9" s="992"/>
      <c r="AN9" s="992"/>
      <c r="AO9" s="992"/>
      <c r="AP9" s="992"/>
      <c r="AQ9" s="992"/>
      <c r="AR9" s="992"/>
      <c r="AS9" s="992"/>
    </row>
    <row r="10" spans="1:68" ht="15" customHeight="1">
      <c r="E10" s="472" t="str">
        <f xml:space="preserve"> InputsCon!E$39</f>
        <v>Cobalt forecast price</v>
      </c>
      <c r="F10" s="541" t="str">
        <f xml:space="preserve"> InputsCon!F$39</f>
        <v>IMF_WEO</v>
      </c>
      <c r="G10" s="533" t="str">
        <f xml:space="preserve"> InputsCon!G$39</f>
        <v>option selected</v>
      </c>
      <c r="H10" s="16"/>
      <c r="I10" s="536">
        <f t="shared" si="0"/>
        <v>0</v>
      </c>
      <c r="J10" s="537">
        <f xml:space="preserve"> IF(F10=INDEX(L10:AG10, $I$5), 0, 1)</f>
        <v>0</v>
      </c>
      <c r="K10" s="97"/>
      <c r="M10" s="18" t="s">
        <v>591</v>
      </c>
      <c r="N10" s="18" t="s">
        <v>591</v>
      </c>
      <c r="O10" s="18" t="s">
        <v>591</v>
      </c>
      <c r="P10" s="18" t="s">
        <v>591</v>
      </c>
      <c r="Q10" s="18" t="s">
        <v>591</v>
      </c>
      <c r="R10" s="18" t="s">
        <v>591</v>
      </c>
      <c r="S10" s="18" t="s">
        <v>591</v>
      </c>
      <c r="T10" s="18" t="s">
        <v>591</v>
      </c>
      <c r="U10" s="18" t="s">
        <v>591</v>
      </c>
      <c r="V10" s="18" t="s">
        <v>591</v>
      </c>
      <c r="W10" s="18" t="s">
        <v>591</v>
      </c>
      <c r="X10" s="18" t="s">
        <v>591</v>
      </c>
      <c r="Y10" s="18" t="s">
        <v>591</v>
      </c>
      <c r="Z10" s="18" t="s">
        <v>591</v>
      </c>
      <c r="AA10" s="18" t="s">
        <v>591</v>
      </c>
      <c r="AB10" s="18" t="s">
        <v>591</v>
      </c>
      <c r="AC10" s="18" t="s">
        <v>591</v>
      </c>
      <c r="AD10" s="18" t="s">
        <v>591</v>
      </c>
      <c r="AE10" s="18" t="s">
        <v>591</v>
      </c>
      <c r="AF10" s="18" t="s">
        <v>591</v>
      </c>
      <c r="AG10" s="18" t="s">
        <v>591</v>
      </c>
      <c r="AJ10" s="992"/>
      <c r="AK10" s="992"/>
      <c r="AL10" s="992"/>
      <c r="AM10" s="992"/>
      <c r="AN10" s="992"/>
      <c r="AO10" s="992"/>
      <c r="AP10" s="992"/>
      <c r="AQ10" s="992"/>
      <c r="AR10" s="992"/>
      <c r="AS10" s="992"/>
    </row>
    <row r="11" spans="1:68" ht="15" customHeight="1">
      <c r="E11" s="472" t="str">
        <f xml:space="preserve"> InputsCon!E$40</f>
        <v>Cu realized price method</v>
      </c>
      <c r="F11" s="543" t="str">
        <f xml:space="preserve"> InputsCon!F$40</f>
        <v>SOM_Contract</v>
      </c>
      <c r="G11" s="533" t="str">
        <f xml:space="preserve"> InputsCon!G$40</f>
        <v>selected</v>
      </c>
      <c r="H11" s="16"/>
      <c r="I11" s="536">
        <f t="shared" si="0"/>
        <v>0</v>
      </c>
      <c r="J11" s="537">
        <f xml:space="preserve"> IF(F11=INDEX(L11:AG11, $I$5), 0, 1)</f>
        <v>0</v>
      </c>
      <c r="K11" s="97"/>
      <c r="M11" s="18" t="s">
        <v>656</v>
      </c>
      <c r="N11" s="18" t="s">
        <v>656</v>
      </c>
      <c r="O11" s="18" t="s">
        <v>656</v>
      </c>
      <c r="P11" s="18" t="s">
        <v>656</v>
      </c>
      <c r="Q11" s="18" t="s">
        <v>656</v>
      </c>
      <c r="R11" s="18" t="s">
        <v>656</v>
      </c>
      <c r="S11" s="18" t="s">
        <v>656</v>
      </c>
      <c r="T11" s="18" t="s">
        <v>656</v>
      </c>
      <c r="U11" s="18" t="s">
        <v>656</v>
      </c>
      <c r="V11" s="18" t="s">
        <v>656</v>
      </c>
      <c r="W11" s="18" t="s">
        <v>656</v>
      </c>
      <c r="X11" s="18" t="s">
        <v>656</v>
      </c>
      <c r="Y11" s="18" t="s">
        <v>656</v>
      </c>
      <c r="Z11" s="18" t="s">
        <v>656</v>
      </c>
      <c r="AA11" s="18" t="s">
        <v>656</v>
      </c>
      <c r="AB11" s="18" t="s">
        <v>656</v>
      </c>
      <c r="AC11" s="18" t="s">
        <v>656</v>
      </c>
      <c r="AD11" s="18" t="s">
        <v>656</v>
      </c>
      <c r="AE11" s="18" t="s">
        <v>656</v>
      </c>
      <c r="AF11" s="18" t="s">
        <v>656</v>
      </c>
      <c r="AG11" s="18" t="s">
        <v>656</v>
      </c>
      <c r="AJ11" s="992"/>
      <c r="AK11" s="992"/>
      <c r="AL11" s="992"/>
      <c r="AM11" s="992"/>
      <c r="AN11" s="992"/>
      <c r="AO11" s="992"/>
      <c r="AP11" s="992"/>
      <c r="AQ11" s="992"/>
      <c r="AR11" s="992"/>
      <c r="AS11" s="992"/>
    </row>
    <row r="12" spans="1:68" ht="15" customHeight="1">
      <c r="E12" s="533" t="str">
        <f xml:space="preserve"> InputsCon!E$41</f>
        <v>Copper: Realised Price vs LME for "LMEAssumed"</v>
      </c>
      <c r="F12" s="544">
        <f xml:space="preserve"> InputsCon!F$41</f>
        <v>0.95</v>
      </c>
      <c r="G12" s="70" t="str">
        <f xml:space="preserve"> InputsCon!G$41</f>
        <v>%</v>
      </c>
      <c r="H12" s="16"/>
      <c r="I12" s="536">
        <f t="shared" si="0"/>
        <v>0</v>
      </c>
      <c r="J12" s="537">
        <f xml:space="preserve"> IF(OR(ISTEXT(F12), ISTEXT(INDEX(L12:AG12, $I$5))), 0, F12 - INDEX(L12:AG12, $I$5))</f>
        <v>0</v>
      </c>
      <c r="K12" s="97"/>
      <c r="M12" s="78">
        <v>0.95</v>
      </c>
      <c r="N12" s="78">
        <v>0.95</v>
      </c>
      <c r="O12" s="78">
        <v>0.95</v>
      </c>
      <c r="P12" s="78">
        <v>0.95</v>
      </c>
      <c r="Q12" s="78">
        <v>0.95</v>
      </c>
      <c r="R12" s="78">
        <v>0.95</v>
      </c>
      <c r="S12" s="78">
        <v>0.95</v>
      </c>
      <c r="T12" s="78">
        <v>0.95</v>
      </c>
      <c r="U12" s="78">
        <v>0.95</v>
      </c>
      <c r="V12" s="78">
        <v>0.95</v>
      </c>
      <c r="W12" s="78">
        <v>0.95</v>
      </c>
      <c r="X12" s="78">
        <v>0.95</v>
      </c>
      <c r="Y12" s="78">
        <v>0.95</v>
      </c>
      <c r="Z12" s="78">
        <v>0.95</v>
      </c>
      <c r="AA12" s="78">
        <v>0.95</v>
      </c>
      <c r="AB12" s="78">
        <v>0.95</v>
      </c>
      <c r="AC12" s="78">
        <v>0.95</v>
      </c>
      <c r="AD12" s="78">
        <v>0.95</v>
      </c>
      <c r="AE12" s="78">
        <v>0.95</v>
      </c>
      <c r="AF12" s="78">
        <v>0.95</v>
      </c>
      <c r="AG12" s="78">
        <v>0.95</v>
      </c>
      <c r="AJ12" s="990"/>
      <c r="AK12" s="990"/>
      <c r="AL12" s="990"/>
      <c r="AM12" s="990"/>
      <c r="AN12" s="990"/>
      <c r="AO12" s="990"/>
      <c r="AP12" s="990"/>
      <c r="AQ12" s="990"/>
      <c r="AR12" s="990"/>
      <c r="AS12" s="990"/>
    </row>
    <row r="13" spans="1:68" ht="15" customHeight="1">
      <c r="E13" s="472" t="str">
        <f xml:space="preserve"> InputsCon!E$42</f>
        <v>Co realized price method</v>
      </c>
      <c r="F13" s="543" t="str">
        <f xml:space="preserve"> InputsCon!F$42</f>
        <v>SOM_Contract</v>
      </c>
      <c r="G13" s="533" t="str">
        <f xml:space="preserve"> InputsCon!G$42</f>
        <v>selected</v>
      </c>
      <c r="H13" s="16"/>
      <c r="I13" s="536">
        <f t="shared" si="0"/>
        <v>0</v>
      </c>
      <c r="J13" s="537">
        <f xml:space="preserve"> IF(F13=INDEX(L13:AG13, $I$5), 0, 1)</f>
        <v>0</v>
      </c>
      <c r="K13" s="97"/>
      <c r="M13" s="18" t="s">
        <v>656</v>
      </c>
      <c r="N13" s="18" t="s">
        <v>656</v>
      </c>
      <c r="O13" s="18" t="s">
        <v>656</v>
      </c>
      <c r="P13" s="18" t="s">
        <v>656</v>
      </c>
      <c r="Q13" s="18" t="s">
        <v>656</v>
      </c>
      <c r="R13" s="18" t="s">
        <v>656</v>
      </c>
      <c r="S13" s="18" t="s">
        <v>656</v>
      </c>
      <c r="T13" s="18" t="s">
        <v>656</v>
      </c>
      <c r="U13" s="18" t="s">
        <v>656</v>
      </c>
      <c r="V13" s="18" t="s">
        <v>656</v>
      </c>
      <c r="W13" s="18" t="s">
        <v>656</v>
      </c>
      <c r="X13" s="18" t="s">
        <v>656</v>
      </c>
      <c r="Y13" s="18" t="s">
        <v>656</v>
      </c>
      <c r="Z13" s="18" t="s">
        <v>656</v>
      </c>
      <c r="AA13" s="18" t="s">
        <v>656</v>
      </c>
      <c r="AB13" s="18" t="s">
        <v>656</v>
      </c>
      <c r="AC13" s="18" t="s">
        <v>656</v>
      </c>
      <c r="AD13" s="18" t="s">
        <v>656</v>
      </c>
      <c r="AE13" s="18" t="s">
        <v>656</v>
      </c>
      <c r="AF13" s="18" t="s">
        <v>656</v>
      </c>
      <c r="AG13" s="18" t="s">
        <v>656</v>
      </c>
      <c r="AJ13" s="990" t="s">
        <v>826</v>
      </c>
      <c r="AK13" s="990"/>
      <c r="AL13" s="990"/>
      <c r="AM13" s="990"/>
      <c r="AN13" s="990"/>
      <c r="AO13" s="990"/>
      <c r="AP13" s="990"/>
      <c r="AQ13" s="990"/>
      <c r="AR13" s="990"/>
      <c r="AS13" s="990"/>
    </row>
    <row r="14" spans="1:68" ht="15" customHeight="1">
      <c r="E14" s="533" t="str">
        <f xml:space="preserve"> InputsCon!E$43</f>
        <v>Cobalt: Realised Price vs LME for "LMEAssumed"</v>
      </c>
      <c r="F14" s="544">
        <f xml:space="preserve"> InputsCon!F$43</f>
        <v>0.7</v>
      </c>
      <c r="G14" s="533" t="str">
        <f xml:space="preserve"> InputsCon!G$43</f>
        <v>%</v>
      </c>
      <c r="H14" s="16"/>
      <c r="I14" s="536">
        <f t="shared" si="0"/>
        <v>0</v>
      </c>
      <c r="J14" s="537">
        <f xml:space="preserve"> IF(OR(ISTEXT(F14), ISTEXT(INDEX(L14:AG14, $I$5))), 0, F14 - INDEX(L14:AG14, $I$5))</f>
        <v>0</v>
      </c>
      <c r="K14" s="97"/>
      <c r="M14" s="78">
        <v>0.7</v>
      </c>
      <c r="N14" s="78">
        <v>0.7</v>
      </c>
      <c r="O14" s="78">
        <v>0.7</v>
      </c>
      <c r="P14" s="78">
        <v>0.7</v>
      </c>
      <c r="Q14" s="78">
        <v>0.7</v>
      </c>
      <c r="R14" s="78">
        <v>0.7</v>
      </c>
      <c r="S14" s="78">
        <v>0.9</v>
      </c>
      <c r="T14" s="78">
        <v>0.9</v>
      </c>
      <c r="U14" s="78">
        <v>0.9</v>
      </c>
      <c r="V14" s="78">
        <v>0.9</v>
      </c>
      <c r="W14" s="78">
        <v>0.9</v>
      </c>
      <c r="X14" s="78">
        <v>0.9</v>
      </c>
      <c r="Y14" s="78">
        <v>0.9</v>
      </c>
      <c r="Z14" s="78">
        <v>0.9</v>
      </c>
      <c r="AA14" s="78">
        <v>0.9</v>
      </c>
      <c r="AB14" s="78">
        <v>0.9</v>
      </c>
      <c r="AC14" s="78">
        <v>0.9</v>
      </c>
      <c r="AD14" s="78">
        <v>0.9</v>
      </c>
      <c r="AE14" s="78">
        <v>0.9</v>
      </c>
      <c r="AF14" s="78">
        <v>0.9</v>
      </c>
      <c r="AG14" s="78">
        <v>0.9</v>
      </c>
      <c r="AJ14" s="990" t="s">
        <v>827</v>
      </c>
      <c r="AK14" s="990"/>
      <c r="AL14" s="990"/>
      <c r="AM14" s="990"/>
      <c r="AN14" s="990"/>
      <c r="AO14" s="990"/>
      <c r="AP14" s="990"/>
      <c r="AQ14" s="990"/>
      <c r="AR14" s="990"/>
      <c r="AS14" s="990"/>
    </row>
    <row r="15" spans="1:68" ht="15" customHeight="1">
      <c r="E15" s="472" t="str">
        <f xml:space="preserve"> InputsCon!E$44</f>
        <v>Apply freight, insurance &amp; sales costs 2019TR</v>
      </c>
      <c r="F15" s="545" t="str">
        <f xml:space="preserve"> InputsCon!F$44</f>
        <v>no</v>
      </c>
      <c r="G15" s="41" t="str">
        <f xml:space="preserve"> InputsCon!G$44</f>
        <v>selected</v>
      </c>
      <c r="H15" s="16"/>
      <c r="I15" s="536">
        <f t="shared" si="0"/>
        <v>0</v>
      </c>
      <c r="J15" s="537">
        <f xml:space="preserve"> IF(F15=INDEX(L15:AG15, $I$5), 0, 1)</f>
        <v>0</v>
      </c>
      <c r="K15" s="97"/>
      <c r="M15" s="592" t="s">
        <v>655</v>
      </c>
      <c r="N15" s="592" t="s">
        <v>655</v>
      </c>
      <c r="O15" s="592" t="s">
        <v>655</v>
      </c>
      <c r="P15" s="592" t="s">
        <v>655</v>
      </c>
      <c r="Q15" s="592" t="s">
        <v>655</v>
      </c>
      <c r="R15" s="592" t="s">
        <v>655</v>
      </c>
      <c r="S15" s="592" t="s">
        <v>655</v>
      </c>
      <c r="T15" s="592" t="s">
        <v>655</v>
      </c>
      <c r="U15" s="592" t="s">
        <v>655</v>
      </c>
      <c r="V15" s="592" t="s">
        <v>655</v>
      </c>
      <c r="W15" s="592" t="s">
        <v>655</v>
      </c>
      <c r="X15" s="592" t="s">
        <v>655</v>
      </c>
      <c r="Y15" s="592" t="s">
        <v>655</v>
      </c>
      <c r="Z15" s="592" t="s">
        <v>655</v>
      </c>
      <c r="AA15" s="592" t="s">
        <v>655</v>
      </c>
      <c r="AB15" s="592" t="s">
        <v>655</v>
      </c>
      <c r="AC15" s="592" t="s">
        <v>655</v>
      </c>
      <c r="AD15" s="592" t="s">
        <v>655</v>
      </c>
      <c r="AE15" s="592" t="s">
        <v>655</v>
      </c>
      <c r="AF15" s="592" t="s">
        <v>655</v>
      </c>
      <c r="AG15" s="592" t="s">
        <v>655</v>
      </c>
      <c r="AJ15" s="990" t="s">
        <v>831</v>
      </c>
      <c r="AK15" s="990"/>
      <c r="AL15" s="990"/>
      <c r="AM15" s="990"/>
      <c r="AN15" s="990"/>
      <c r="AO15" s="990"/>
      <c r="AP15" s="990"/>
      <c r="AQ15" s="990"/>
      <c r="AR15" s="990"/>
      <c r="AS15" s="990"/>
    </row>
    <row r="16" spans="1:68" ht="15" customHeight="1">
      <c r="E16" s="186" t="str">
        <f xml:space="preserve"> InputsCon!E$14</f>
        <v>Discount rate</v>
      </c>
      <c r="F16" s="186">
        <f xml:space="preserve"> InputsCon!F$14</f>
        <v>0.1</v>
      </c>
      <c r="G16" s="186" t="str">
        <f xml:space="preserve"> InputsCon!G$14</f>
        <v>%nominal</v>
      </c>
      <c r="H16" s="16"/>
      <c r="I16" s="536">
        <f t="shared" si="0"/>
        <v>0</v>
      </c>
      <c r="J16" s="537">
        <f t="shared" ref="J16:J24" si="1" xml:space="preserve"> IF(OR(ISTEXT(F16), ISTEXT(INDEX(L16:AG16, $I$5))), 0, F16 - INDEX(L16:AG16, $I$5))</f>
        <v>0</v>
      </c>
      <c r="K16" s="97"/>
      <c r="M16" s="78">
        <v>0.1</v>
      </c>
      <c r="N16" s="78">
        <v>0.1</v>
      </c>
      <c r="O16" s="78">
        <v>0.1</v>
      </c>
      <c r="P16" s="78">
        <v>0.1</v>
      </c>
      <c r="Q16" s="78">
        <v>0.1</v>
      </c>
      <c r="R16" s="78">
        <v>0.1</v>
      </c>
      <c r="S16" s="78">
        <v>0.1</v>
      </c>
      <c r="T16" s="78">
        <v>0.1</v>
      </c>
      <c r="U16" s="78">
        <v>0.1</v>
      </c>
      <c r="V16" s="78">
        <v>0.1</v>
      </c>
      <c r="W16" s="78">
        <v>0.1</v>
      </c>
      <c r="X16" s="78">
        <v>0.1</v>
      </c>
      <c r="Y16" s="78">
        <v>0.1</v>
      </c>
      <c r="Z16" s="78">
        <v>0.1</v>
      </c>
      <c r="AA16" s="78">
        <v>0.1</v>
      </c>
      <c r="AB16" s="78">
        <v>0.1</v>
      </c>
      <c r="AC16" s="78">
        <v>0.1</v>
      </c>
      <c r="AD16" s="78">
        <v>0.1</v>
      </c>
      <c r="AE16" s="78">
        <v>0.1</v>
      </c>
      <c r="AF16" s="78">
        <v>0.1</v>
      </c>
      <c r="AG16" s="78">
        <v>0.1</v>
      </c>
      <c r="AJ16" s="990" t="s">
        <v>828</v>
      </c>
      <c r="AK16" s="990"/>
      <c r="AL16" s="990"/>
      <c r="AM16" s="990"/>
      <c r="AN16" s="990"/>
      <c r="AO16" s="990"/>
      <c r="AP16" s="990"/>
      <c r="AQ16" s="990"/>
      <c r="AR16" s="990"/>
      <c r="AS16" s="990"/>
    </row>
    <row r="17" spans="2:45" ht="15" customHeight="1">
      <c r="E17" s="472" t="str">
        <f xml:space="preserve"> InputsCon!E$22</f>
        <v xml:space="preserve">Forecast / point forward year </v>
      </c>
      <c r="F17" s="472">
        <f xml:space="preserve"> InputsCon!F$22</f>
        <v>2025</v>
      </c>
      <c r="G17" s="472" t="str">
        <f xml:space="preserve"> InputsCon!G$22</f>
        <v>year</v>
      </c>
      <c r="H17" s="16"/>
      <c r="I17" s="536">
        <f t="shared" si="0"/>
        <v>0</v>
      </c>
      <c r="J17" s="537">
        <f t="shared" si="1"/>
        <v>0</v>
      </c>
      <c r="K17" s="97"/>
      <c r="M17" s="18">
        <v>2025</v>
      </c>
      <c r="N17" s="18">
        <v>2025</v>
      </c>
      <c r="O17" s="18">
        <v>2025</v>
      </c>
      <c r="P17" s="18">
        <v>2025</v>
      </c>
      <c r="Q17" s="18">
        <v>2025</v>
      </c>
      <c r="R17" s="18">
        <v>2025</v>
      </c>
      <c r="S17" s="18">
        <v>2025</v>
      </c>
      <c r="T17" s="18">
        <v>2025</v>
      </c>
      <c r="U17" s="18">
        <v>2025</v>
      </c>
      <c r="V17" s="18">
        <v>2025</v>
      </c>
      <c r="W17" s="18">
        <v>2025</v>
      </c>
      <c r="X17" s="18">
        <v>2011</v>
      </c>
      <c r="Y17" s="18">
        <v>2011</v>
      </c>
      <c r="Z17" s="18">
        <v>2011</v>
      </c>
      <c r="AA17" s="18">
        <v>2011</v>
      </c>
      <c r="AB17" s="18">
        <v>2011</v>
      </c>
      <c r="AC17" s="18">
        <v>2011</v>
      </c>
      <c r="AD17" s="18">
        <v>2011</v>
      </c>
      <c r="AE17" s="18">
        <v>2011</v>
      </c>
      <c r="AF17" s="18">
        <v>2011</v>
      </c>
      <c r="AG17" s="18">
        <v>2011</v>
      </c>
      <c r="AJ17" s="990" t="s">
        <v>829</v>
      </c>
      <c r="AK17" s="990"/>
      <c r="AL17" s="990"/>
      <c r="AM17" s="990"/>
      <c r="AN17" s="990"/>
      <c r="AO17" s="990"/>
      <c r="AP17" s="990"/>
      <c r="AQ17" s="990"/>
      <c r="AR17" s="990"/>
      <c r="AS17" s="990"/>
    </row>
    <row r="18" spans="2:45" ht="15" customHeight="1">
      <c r="E18" s="472" t="str">
        <f xml:space="preserve"> InputsCon!E$26</f>
        <v>Copper production sensitivity (forecast period)</v>
      </c>
      <c r="F18" s="544">
        <f xml:space="preserve"> InputsCon!F$26</f>
        <v>1</v>
      </c>
      <c r="G18" s="70" t="str">
        <f xml:space="preserve"> InputsCon!G$26</f>
        <v>%</v>
      </c>
      <c r="H18" s="16"/>
      <c r="I18" s="536">
        <f t="shared" si="0"/>
        <v>0</v>
      </c>
      <c r="J18" s="537">
        <f t="shared" si="1"/>
        <v>0</v>
      </c>
      <c r="K18" s="97"/>
      <c r="M18" s="78">
        <v>1</v>
      </c>
      <c r="N18" s="78">
        <v>1</v>
      </c>
      <c r="O18" s="78">
        <v>1</v>
      </c>
      <c r="P18" s="78">
        <v>1</v>
      </c>
      <c r="Q18" s="78">
        <v>1</v>
      </c>
      <c r="R18" s="78">
        <v>1</v>
      </c>
      <c r="S18" s="78">
        <v>1</v>
      </c>
      <c r="T18" s="78">
        <v>1</v>
      </c>
      <c r="U18" s="78">
        <v>1</v>
      </c>
      <c r="V18" s="78">
        <v>1</v>
      </c>
      <c r="W18" s="78">
        <v>1</v>
      </c>
      <c r="X18" s="78">
        <v>1</v>
      </c>
      <c r="Y18" s="78">
        <v>1</v>
      </c>
      <c r="Z18" s="78">
        <v>1</v>
      </c>
      <c r="AA18" s="78">
        <v>1</v>
      </c>
      <c r="AB18" s="78">
        <v>1</v>
      </c>
      <c r="AC18" s="78">
        <v>1</v>
      </c>
      <c r="AD18" s="78">
        <v>1</v>
      </c>
      <c r="AE18" s="78">
        <v>1</v>
      </c>
      <c r="AF18" s="78">
        <v>1</v>
      </c>
      <c r="AG18" s="78">
        <v>1</v>
      </c>
      <c r="AJ18" s="990" t="s">
        <v>830</v>
      </c>
      <c r="AK18" s="990"/>
      <c r="AL18" s="990"/>
      <c r="AM18" s="990"/>
      <c r="AN18" s="990"/>
      <c r="AO18" s="990"/>
      <c r="AP18" s="990"/>
      <c r="AQ18" s="990"/>
      <c r="AR18" s="990"/>
      <c r="AS18" s="990"/>
    </row>
    <row r="19" spans="2:45" ht="15" customHeight="1">
      <c r="E19" s="472" t="str">
        <f xml:space="preserve"> InputsCon!E$27</f>
        <v>Cobalt production sensitivity (forecast period)</v>
      </c>
      <c r="F19" s="544">
        <f xml:space="preserve"> InputsCon!F$27</f>
        <v>1</v>
      </c>
      <c r="G19" s="70" t="str">
        <f xml:space="preserve"> InputsCon!G$27</f>
        <v>%</v>
      </c>
      <c r="H19" s="16"/>
      <c r="I19" s="536">
        <f t="shared" si="0"/>
        <v>0</v>
      </c>
      <c r="J19" s="537">
        <f t="shared" si="1"/>
        <v>0</v>
      </c>
      <c r="K19" s="97"/>
      <c r="M19" s="78">
        <v>1</v>
      </c>
      <c r="N19" s="78">
        <v>1</v>
      </c>
      <c r="O19" s="78">
        <v>1</v>
      </c>
      <c r="P19" s="78">
        <v>1</v>
      </c>
      <c r="Q19" s="78">
        <v>1</v>
      </c>
      <c r="R19" s="78">
        <v>1</v>
      </c>
      <c r="S19" s="78">
        <v>1</v>
      </c>
      <c r="T19" s="78">
        <v>1</v>
      </c>
      <c r="U19" s="78">
        <v>1</v>
      </c>
      <c r="V19" s="78">
        <v>1</v>
      </c>
      <c r="W19" s="78">
        <v>1</v>
      </c>
      <c r="X19" s="78">
        <v>1</v>
      </c>
      <c r="Y19" s="78">
        <v>1</v>
      </c>
      <c r="Z19" s="78">
        <v>1</v>
      </c>
      <c r="AA19" s="78">
        <v>1</v>
      </c>
      <c r="AB19" s="78">
        <v>1</v>
      </c>
      <c r="AC19" s="78">
        <v>1</v>
      </c>
      <c r="AD19" s="78">
        <v>1</v>
      </c>
      <c r="AE19" s="78">
        <v>1</v>
      </c>
      <c r="AF19" s="78">
        <v>1</v>
      </c>
      <c r="AG19" s="78">
        <v>1</v>
      </c>
      <c r="AJ19" s="991" t="s">
        <v>834</v>
      </c>
      <c r="AK19" s="991"/>
      <c r="AL19" s="991"/>
      <c r="AM19" s="991"/>
      <c r="AN19" s="991"/>
      <c r="AO19" s="991"/>
      <c r="AP19" s="991"/>
      <c r="AQ19" s="991"/>
      <c r="AR19" s="991"/>
      <c r="AS19" s="991"/>
    </row>
    <row r="20" spans="2:45" ht="15" customHeight="1">
      <c r="E20" s="472" t="str">
        <f xml:space="preserve"> InputsCon!E$28</f>
        <v>Operating cost Sensitivity (forecast period)</v>
      </c>
      <c r="F20" s="544">
        <f xml:space="preserve"> InputsCon!F$28</f>
        <v>1</v>
      </c>
      <c r="G20" s="70" t="str">
        <f xml:space="preserve"> InputsCon!G$28</f>
        <v>%</v>
      </c>
      <c r="H20" s="16"/>
      <c r="I20" s="536">
        <f t="shared" si="0"/>
        <v>0</v>
      </c>
      <c r="J20" s="537">
        <f t="shared" si="1"/>
        <v>0</v>
      </c>
      <c r="K20" s="97"/>
      <c r="M20" s="78">
        <v>1</v>
      </c>
      <c r="N20" s="78">
        <v>1</v>
      </c>
      <c r="O20" s="78">
        <v>0.8</v>
      </c>
      <c r="P20" s="78">
        <v>1</v>
      </c>
      <c r="Q20" s="78">
        <v>1</v>
      </c>
      <c r="R20" s="78">
        <v>1</v>
      </c>
      <c r="S20" s="78">
        <v>1</v>
      </c>
      <c r="T20" s="78">
        <v>1</v>
      </c>
      <c r="U20" s="78">
        <v>1</v>
      </c>
      <c r="V20" s="78">
        <v>1</v>
      </c>
      <c r="W20" s="78">
        <v>1</v>
      </c>
      <c r="X20" s="78">
        <v>1</v>
      </c>
      <c r="Y20" s="78">
        <v>1</v>
      </c>
      <c r="Z20" s="78">
        <v>1</v>
      </c>
      <c r="AA20" s="78">
        <v>1</v>
      </c>
      <c r="AB20" s="78">
        <v>1</v>
      </c>
      <c r="AC20" s="78">
        <v>1</v>
      </c>
      <c r="AD20" s="78">
        <v>1</v>
      </c>
      <c r="AE20" s="78">
        <v>1</v>
      </c>
      <c r="AF20" s="78">
        <v>1</v>
      </c>
      <c r="AG20" s="78">
        <v>1</v>
      </c>
      <c r="AJ20" s="991"/>
      <c r="AK20" s="991"/>
      <c r="AL20" s="991"/>
      <c r="AM20" s="991"/>
      <c r="AN20" s="991"/>
      <c r="AO20" s="991"/>
      <c r="AP20" s="991"/>
      <c r="AQ20" s="991"/>
      <c r="AR20" s="991"/>
      <c r="AS20" s="991"/>
    </row>
    <row r="21" spans="2:45" ht="15" customHeight="1">
      <c r="E21" s="472" t="str">
        <f xml:space="preserve"> InputsCon!E$29</f>
        <v>Capital cost sensitivity (forecast period)</v>
      </c>
      <c r="F21" s="544">
        <f xml:space="preserve"> InputsCon!F$29</f>
        <v>1</v>
      </c>
      <c r="G21" s="70" t="str">
        <f xml:space="preserve"> InputsCon!G$29</f>
        <v>%</v>
      </c>
      <c r="H21" s="16"/>
      <c r="I21" s="536">
        <f t="shared" si="0"/>
        <v>0</v>
      </c>
      <c r="J21" s="537">
        <f t="shared" si="1"/>
        <v>0</v>
      </c>
      <c r="K21" s="97"/>
      <c r="M21" s="78">
        <v>1</v>
      </c>
      <c r="N21" s="78">
        <v>1</v>
      </c>
      <c r="O21" s="78">
        <v>1</v>
      </c>
      <c r="P21" s="78">
        <v>1</v>
      </c>
      <c r="Q21" s="78">
        <v>1</v>
      </c>
      <c r="R21" s="78">
        <v>1</v>
      </c>
      <c r="S21" s="78">
        <v>1</v>
      </c>
      <c r="T21" s="78">
        <v>1</v>
      </c>
      <c r="U21" s="78">
        <v>1</v>
      </c>
      <c r="V21" s="78">
        <v>1</v>
      </c>
      <c r="W21" s="78">
        <v>1</v>
      </c>
      <c r="X21" s="78">
        <v>1</v>
      </c>
      <c r="Y21" s="78">
        <v>1</v>
      </c>
      <c r="Z21" s="78">
        <v>1</v>
      </c>
      <c r="AA21" s="78">
        <v>1</v>
      </c>
      <c r="AB21" s="78">
        <v>1</v>
      </c>
      <c r="AC21" s="78">
        <v>1</v>
      </c>
      <c r="AD21" s="78">
        <v>1</v>
      </c>
      <c r="AE21" s="78">
        <v>1</v>
      </c>
      <c r="AF21" s="78">
        <v>1</v>
      </c>
      <c r="AG21" s="78">
        <v>1</v>
      </c>
    </row>
    <row r="22" spans="2:45" ht="15" customHeight="1">
      <c r="E22" s="186" t="str">
        <f xml:space="preserve"> InputsTS!E$159</f>
        <v>Cobalt Payable Rate applied in model</v>
      </c>
      <c r="F22" s="186">
        <f xml:space="preserve"> InputsTS!F$159</f>
        <v>0.7</v>
      </c>
      <c r="G22" s="186" t="str">
        <f xml:space="preserve"> InputsTS!G$159</f>
        <v>%</v>
      </c>
      <c r="H22" s="16"/>
      <c r="I22" s="536">
        <f t="shared" ref="I22" si="2" xml:space="preserve"> IF(ABS(J22) &gt; CHK_TOL, 1, 0)</f>
        <v>0</v>
      </c>
      <c r="J22" s="537">
        <f t="shared" si="1"/>
        <v>0</v>
      </c>
      <c r="K22" s="97"/>
      <c r="M22" s="78">
        <v>0.7</v>
      </c>
      <c r="N22" s="78">
        <v>0.7</v>
      </c>
      <c r="O22" s="78">
        <v>0.7</v>
      </c>
      <c r="P22" s="78">
        <v>0.7</v>
      </c>
      <c r="Q22" s="78">
        <v>0.7</v>
      </c>
      <c r="R22" s="78">
        <v>0.7</v>
      </c>
      <c r="S22" s="78">
        <v>0.7</v>
      </c>
      <c r="T22" s="78">
        <v>0.7</v>
      </c>
      <c r="U22" s="78">
        <v>0.7</v>
      </c>
      <c r="V22" s="78">
        <v>0.7</v>
      </c>
      <c r="W22" s="78">
        <v>0.7</v>
      </c>
      <c r="X22" s="78">
        <v>0.7</v>
      </c>
      <c r="Y22" s="78">
        <v>0.7</v>
      </c>
      <c r="Z22" s="78">
        <v>0.7</v>
      </c>
      <c r="AA22" s="78">
        <v>0.7</v>
      </c>
      <c r="AB22" s="78">
        <v>0.7</v>
      </c>
      <c r="AC22" s="78">
        <v>0.7</v>
      </c>
      <c r="AD22" s="78">
        <v>0.7</v>
      </c>
      <c r="AE22" s="78">
        <v>0.7</v>
      </c>
      <c r="AF22" s="78">
        <v>0.7</v>
      </c>
      <c r="AG22" s="78"/>
    </row>
    <row r="23" spans="2:45" ht="15" customHeight="1">
      <c r="E23" s="186" t="str">
        <f xml:space="preserve"> InputsTS!E$136</f>
        <v>Som contract: placeholder assumption of third party sales: Cu</v>
      </c>
      <c r="F23" s="186">
        <f xml:space="preserve"> InputsTS!F$136</f>
        <v>0.9</v>
      </c>
      <c r="G23" s="186" t="str">
        <f xml:space="preserve"> InputsTS!G$136</f>
        <v>%</v>
      </c>
      <c r="H23" s="16"/>
      <c r="I23" s="536">
        <f t="shared" ref="I23" si="3" xml:space="preserve"> IF(ABS(J23) &gt; CHK_TOL, 1, 0)</f>
        <v>0</v>
      </c>
      <c r="J23" s="537">
        <f t="shared" si="1"/>
        <v>0</v>
      </c>
      <c r="K23" s="97"/>
      <c r="M23" s="78">
        <v>0.9</v>
      </c>
      <c r="N23" s="78">
        <v>0.9</v>
      </c>
      <c r="O23" s="78">
        <v>0.9</v>
      </c>
      <c r="P23" s="78">
        <v>0.9</v>
      </c>
      <c r="Q23" s="78">
        <v>0.9</v>
      </c>
      <c r="R23" s="78">
        <v>0.9</v>
      </c>
      <c r="S23" s="78">
        <v>0.9</v>
      </c>
      <c r="T23" s="78">
        <v>0.9</v>
      </c>
      <c r="U23" s="78">
        <v>0.9</v>
      </c>
      <c r="V23" s="78">
        <v>0.9</v>
      </c>
      <c r="W23" s="78">
        <v>0.5</v>
      </c>
      <c r="X23" s="78">
        <v>0.5</v>
      </c>
      <c r="Y23" s="78">
        <v>0.5</v>
      </c>
      <c r="Z23" s="78">
        <v>0.5</v>
      </c>
      <c r="AA23" s="78">
        <v>0.5</v>
      </c>
      <c r="AB23" s="78">
        <v>0.5</v>
      </c>
      <c r="AC23" s="78">
        <v>0.5</v>
      </c>
      <c r="AD23" s="78">
        <v>0.5</v>
      </c>
      <c r="AE23" s="78">
        <v>0.5</v>
      </c>
      <c r="AF23" s="78">
        <v>0.5</v>
      </c>
      <c r="AG23" s="78"/>
    </row>
    <row r="24" spans="2:45" ht="15" customHeight="1">
      <c r="E24" s="70" t="str">
        <f xml:space="preserve"> InputsCon!E$104</f>
        <v>Opening balance of CIT losses 2011</v>
      </c>
      <c r="F24" s="70">
        <f xml:space="preserve"> InputsCon!F$104</f>
        <v>0</v>
      </c>
      <c r="G24" s="70" t="str">
        <f xml:space="preserve"> InputsCon!G$104</f>
        <v>$ mn</v>
      </c>
      <c r="H24" s="16"/>
      <c r="I24" s="536">
        <f t="shared" ref="I24" si="4" xml:space="preserve"> IF(ABS(J24) &gt; CHK_TOL, 1, 0)</f>
        <v>0</v>
      </c>
      <c r="J24" s="537">
        <f t="shared" si="1"/>
        <v>0</v>
      </c>
      <c r="K24" s="97"/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3200</v>
      </c>
      <c r="AE24" s="3">
        <v>3200</v>
      </c>
      <c r="AF24" s="3">
        <v>3200</v>
      </c>
      <c r="AG24" s="78"/>
    </row>
    <row r="25" spans="2:45" ht="15" customHeight="1">
      <c r="E25" s="186"/>
      <c r="F25" s="186"/>
      <c r="G25" s="186"/>
      <c r="H25" s="16"/>
      <c r="I25"/>
      <c r="J25" s="537"/>
      <c r="K25" s="97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</row>
    <row r="26" spans="2:45" ht="15" customHeight="1">
      <c r="E26" s="472"/>
      <c r="F26" s="534"/>
      <c r="G26" s="195"/>
      <c r="H26" s="16"/>
      <c r="I26" s="16"/>
      <c r="J26" s="537"/>
      <c r="K26" s="97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</row>
    <row r="27" spans="2:45" ht="15" customHeight="1">
      <c r="B27" s="16" t="str">
        <f>"Project cashflows from: " &amp; F17</f>
        <v>Project cashflows from: 2025</v>
      </c>
      <c r="E27" s="472"/>
      <c r="F27" s="534"/>
      <c r="G27" s="195"/>
      <c r="H27" s="16"/>
      <c r="I27" s="16"/>
      <c r="J27" s="537"/>
      <c r="K27" s="97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</row>
    <row r="28" spans="2:45" ht="15" customHeight="1">
      <c r="E28" s="538" t="str">
        <f xml:space="preserve"> Dashboard!C$20</f>
        <v>Copper production 2022Fs + actuals</v>
      </c>
      <c r="F28" s="541">
        <f xml:space="preserve"> Dashboard!D$20</f>
        <v>836.90899999999999</v>
      </c>
      <c r="G28" s="70" t="str">
        <f xml:space="preserve"> Dashboard!E$20</f>
        <v>KT Cu</v>
      </c>
      <c r="H28" s="16"/>
      <c r="I28" s="536">
        <f t="shared" ref="I28:I37" si="5" xml:space="preserve"> IF(ABS(J28) &gt; CHK_TOL, 1, 0)</f>
        <v>0</v>
      </c>
      <c r="J28" s="537">
        <f t="shared" ref="J28:J37" si="6" xml:space="preserve"> IF(OR(ISTEXT(F28), ISTEXT(INDEX(L28:AG28, $I$5))), 0, F28 - INDEX(L28:AG28, $I$5))</f>
        <v>0</v>
      </c>
      <c r="K28" s="97"/>
      <c r="M28" s="3">
        <v>836.90899999999999</v>
      </c>
      <c r="N28" s="3">
        <v>836.90899999999999</v>
      </c>
      <c r="O28" s="3">
        <v>836.90899999999999</v>
      </c>
      <c r="P28" s="3">
        <v>836.90899999999999</v>
      </c>
      <c r="Q28" s="3">
        <v>836.90899999999999</v>
      </c>
      <c r="R28" s="3">
        <v>836.90899999999999</v>
      </c>
      <c r="S28" s="3">
        <v>4017</v>
      </c>
      <c r="T28" s="3">
        <v>4017</v>
      </c>
      <c r="U28" s="3">
        <v>4017</v>
      </c>
      <c r="V28" s="3">
        <v>4017</v>
      </c>
      <c r="W28" s="3">
        <v>4017</v>
      </c>
      <c r="X28" s="3">
        <v>6011.9268283276733</v>
      </c>
      <c r="Y28" s="3">
        <v>6011.9268283276733</v>
      </c>
      <c r="Z28" s="3">
        <v>6011.9268283276733</v>
      </c>
      <c r="AA28" s="3">
        <v>6011.9268283276733</v>
      </c>
      <c r="AB28" s="3">
        <v>6011.9268283276733</v>
      </c>
      <c r="AC28" s="3">
        <v>6011.9268283276733</v>
      </c>
      <c r="AD28" s="3">
        <v>6011.9268283276733</v>
      </c>
      <c r="AE28" s="3">
        <v>6011.9268283276733</v>
      </c>
      <c r="AF28" s="3">
        <v>6011.9268283276733</v>
      </c>
      <c r="AG28" s="3">
        <v>6011.9268283276733</v>
      </c>
    </row>
    <row r="29" spans="2:45" ht="15" customHeight="1">
      <c r="E29" s="70" t="str">
        <f xml:space="preserve"> Dashboard!C$21</f>
        <v xml:space="preserve">Cobalt production 2022FS + actuals </v>
      </c>
      <c r="F29" s="541">
        <f xml:space="preserve"> Dashboard!D$21</f>
        <v>161.17799999999997</v>
      </c>
      <c r="G29" s="70" t="str">
        <f xml:space="preserve"> Dashboard!E$21</f>
        <v>KT</v>
      </c>
      <c r="H29" s="16"/>
      <c r="I29" s="536">
        <f t="shared" si="5"/>
        <v>0</v>
      </c>
      <c r="J29" s="537">
        <f t="shared" si="6"/>
        <v>0</v>
      </c>
      <c r="K29" s="97"/>
      <c r="M29" s="3">
        <v>161.17799999999997</v>
      </c>
      <c r="N29" s="3">
        <v>161.17799999999997</v>
      </c>
      <c r="O29" s="3">
        <v>161.17799999999997</v>
      </c>
      <c r="P29" s="3">
        <v>161.17799999999997</v>
      </c>
      <c r="Q29" s="3">
        <v>161.17799999999997</v>
      </c>
      <c r="R29" s="3">
        <v>161.17799999999997</v>
      </c>
      <c r="S29" s="3">
        <v>370</v>
      </c>
      <c r="T29" s="3">
        <v>370</v>
      </c>
      <c r="U29" s="3">
        <v>370</v>
      </c>
      <c r="V29" s="3">
        <v>370</v>
      </c>
      <c r="W29" s="3">
        <v>370</v>
      </c>
      <c r="X29" s="3">
        <v>516.28684223093251</v>
      </c>
      <c r="Y29" s="3">
        <v>516.28684223093251</v>
      </c>
      <c r="Z29" s="3">
        <v>516.28684223093251</v>
      </c>
      <c r="AA29" s="3">
        <v>516.28684223093251</v>
      </c>
      <c r="AB29" s="3">
        <v>516.28684223093251</v>
      </c>
      <c r="AC29" s="3">
        <v>516.28684223093251</v>
      </c>
      <c r="AD29" s="3">
        <v>516.28684223093251</v>
      </c>
      <c r="AE29" s="3">
        <v>516.28684223093251</v>
      </c>
      <c r="AF29" s="3">
        <v>516.28684223093251</v>
      </c>
      <c r="AG29" s="3">
        <v>565.64381763147344</v>
      </c>
    </row>
    <row r="30" spans="2:45" ht="15" customHeight="1">
      <c r="E30" s="70" t="str">
        <f xml:space="preserve"> Dashboard!C$22</f>
        <v>Ratio Co to Cu production</v>
      </c>
      <c r="F30" s="542">
        <f xml:space="preserve"> Dashboard!D$22</f>
        <v>0.192587246642108</v>
      </c>
      <c r="G30" s="70" t="str">
        <f xml:space="preserve"> Dashboard!E$22</f>
        <v>ratio</v>
      </c>
      <c r="H30" s="16"/>
      <c r="I30" s="536">
        <f t="shared" si="5"/>
        <v>0</v>
      </c>
      <c r="J30" s="537">
        <f t="shared" si="6"/>
        <v>0</v>
      </c>
      <c r="K30" s="97"/>
      <c r="M30" s="540">
        <v>0.192587246642108</v>
      </c>
      <c r="N30" s="540">
        <v>0.192587246642108</v>
      </c>
      <c r="O30" s="540">
        <v>0.192587246642108</v>
      </c>
      <c r="P30" s="540">
        <v>0.192587246642108</v>
      </c>
      <c r="Q30" s="540">
        <v>0.192587246642108</v>
      </c>
      <c r="R30" s="540">
        <v>0.192587246642108</v>
      </c>
      <c r="S30" s="540">
        <v>9.2108538710480456E-2</v>
      </c>
      <c r="T30" s="540">
        <v>9.2108538710480456E-2</v>
      </c>
      <c r="U30" s="540">
        <v>9.2108538710480456E-2</v>
      </c>
      <c r="V30" s="540">
        <v>9.2108538710480456E-2</v>
      </c>
      <c r="W30" s="540">
        <v>9.2108538710480456E-2</v>
      </c>
      <c r="X30" s="540">
        <v>8.5877100133393849E-2</v>
      </c>
      <c r="Y30" s="540">
        <v>8.5877100133393849E-2</v>
      </c>
      <c r="Z30" s="540">
        <v>8.5877100133393849E-2</v>
      </c>
      <c r="AA30" s="540">
        <v>8.5877100133393849E-2</v>
      </c>
      <c r="AB30" s="540">
        <v>8.5877100133393849E-2</v>
      </c>
      <c r="AC30" s="540">
        <v>8.5877100133393849E-2</v>
      </c>
      <c r="AD30" s="540">
        <v>8.5877100133393849E-2</v>
      </c>
      <c r="AE30" s="540">
        <v>8.5877100133393849E-2</v>
      </c>
      <c r="AF30" s="540">
        <v>8.5877100133393849E-2</v>
      </c>
      <c r="AG30" s="540">
        <v>9.4086943135470183E-2</v>
      </c>
    </row>
    <row r="31" spans="2:45" ht="15" customHeight="1">
      <c r="E31" s="70" t="str">
        <f xml:space="preserve"> Dashboard!C$23</f>
        <v>Copper net revenue</v>
      </c>
      <c r="F31" s="541">
        <f xml:space="preserve"> Dashboard!D$23</f>
        <v>7048.7685315570543</v>
      </c>
      <c r="G31" s="70" t="str">
        <f xml:space="preserve"> Dashboard!E$23</f>
        <v>$ mn</v>
      </c>
      <c r="H31" s="16"/>
      <c r="I31" s="536">
        <f t="shared" si="5"/>
        <v>0</v>
      </c>
      <c r="J31" s="537">
        <f t="shared" si="6"/>
        <v>0</v>
      </c>
      <c r="K31" s="97"/>
      <c r="M31" s="3">
        <v>7048.7685315570543</v>
      </c>
      <c r="N31" s="3">
        <v>7048.7685315570543</v>
      </c>
      <c r="O31" s="3">
        <v>7048.7685315570543</v>
      </c>
      <c r="P31" s="3">
        <v>7048.7685315570543</v>
      </c>
      <c r="Q31" s="3">
        <v>7048.7685315570543</v>
      </c>
      <c r="R31" s="3">
        <v>7048.7685315570543</v>
      </c>
      <c r="S31" s="3">
        <v>35990.738678748014</v>
      </c>
      <c r="T31" s="3">
        <v>35990.738678748014</v>
      </c>
      <c r="U31" s="3">
        <v>35990.738678748014</v>
      </c>
      <c r="V31" s="3">
        <v>35990.738678748014</v>
      </c>
      <c r="W31" s="3">
        <v>36110.848679324154</v>
      </c>
      <c r="X31" s="3">
        <v>50475.813848716585</v>
      </c>
      <c r="Y31" s="3">
        <v>43926.318960309378</v>
      </c>
      <c r="Z31" s="3">
        <v>43926.318960309378</v>
      </c>
      <c r="AA31" s="3">
        <v>43926.318960309378</v>
      </c>
      <c r="AB31" s="3">
        <v>43926.318960309378</v>
      </c>
      <c r="AC31" s="3">
        <v>43926.318960309378</v>
      </c>
      <c r="AD31" s="3">
        <v>43926.318960309378</v>
      </c>
      <c r="AE31" s="3">
        <v>43926.318960309378</v>
      </c>
      <c r="AF31" s="3">
        <v>43926.318960309378</v>
      </c>
      <c r="AG31" s="3">
        <v>43779.067234157119</v>
      </c>
    </row>
    <row r="32" spans="2:45" ht="15" customHeight="1">
      <c r="E32" s="70" t="str">
        <f xml:space="preserve"> Dashboard!C$24</f>
        <v>Cobalt net revenue</v>
      </c>
      <c r="F32" s="541">
        <f xml:space="preserve"> Dashboard!D$24</f>
        <v>4318.6154076934317</v>
      </c>
      <c r="G32" s="70" t="str">
        <f xml:space="preserve"> Dashboard!E$24</f>
        <v>$ mn</v>
      </c>
      <c r="H32" s="16"/>
      <c r="I32" s="536">
        <f t="shared" si="5"/>
        <v>0</v>
      </c>
      <c r="J32" s="537">
        <f t="shared" si="6"/>
        <v>0</v>
      </c>
      <c r="K32" s="97"/>
      <c r="M32" s="3">
        <v>4318.6154076934317</v>
      </c>
      <c r="N32" s="3">
        <v>4318.6154076934317</v>
      </c>
      <c r="O32" s="3">
        <v>4318.6154076934317</v>
      </c>
      <c r="P32" s="3">
        <v>4318.6154076934317</v>
      </c>
      <c r="Q32" s="3">
        <v>4318.6154076934317</v>
      </c>
      <c r="R32" s="3">
        <v>4318.6154076934317</v>
      </c>
      <c r="S32" s="3">
        <v>10242.546480227034</v>
      </c>
      <c r="T32" s="3">
        <v>10242.546480227034</v>
      </c>
      <c r="U32" s="3">
        <v>10242.546480227034</v>
      </c>
      <c r="V32" s="3">
        <v>10242.546480227034</v>
      </c>
      <c r="W32" s="3">
        <v>10242.546480227034</v>
      </c>
      <c r="X32" s="3">
        <v>14362.262476231717</v>
      </c>
      <c r="Y32" s="3">
        <v>12779.369426092351</v>
      </c>
      <c r="Z32" s="3">
        <v>12779.369426092351</v>
      </c>
      <c r="AA32" s="3">
        <v>12779.369426092351</v>
      </c>
      <c r="AB32" s="3">
        <v>12779.369426092351</v>
      </c>
      <c r="AC32" s="3">
        <v>12779.369426092351</v>
      </c>
      <c r="AD32" s="3">
        <v>12779.369426092351</v>
      </c>
      <c r="AE32" s="3">
        <v>12779.369426092351</v>
      </c>
      <c r="AF32" s="3">
        <v>12779.369426092351</v>
      </c>
      <c r="AG32" s="3">
        <v>20100.228962806712</v>
      </c>
    </row>
    <row r="33" spans="2:33" ht="15" customHeight="1">
      <c r="E33" s="70" t="str">
        <f xml:space="preserve"> Dashboard!C$25</f>
        <v>Copper &amp; Cobalt net revenue</v>
      </c>
      <c r="F33" s="541">
        <f xml:space="preserve"> Dashboard!D$25</f>
        <v>11367.383939250485</v>
      </c>
      <c r="G33" s="70" t="str">
        <f xml:space="preserve"> Dashboard!E$25</f>
        <v>$ mn</v>
      </c>
      <c r="H33" s="16"/>
      <c r="I33" s="536">
        <f t="shared" si="5"/>
        <v>0</v>
      </c>
      <c r="J33" s="537">
        <f t="shared" si="6"/>
        <v>0</v>
      </c>
      <c r="K33" s="97"/>
      <c r="M33" s="3">
        <v>11367.383939250485</v>
      </c>
      <c r="N33" s="3">
        <v>11367.383939250485</v>
      </c>
      <c r="O33" s="3">
        <v>11367.383939250485</v>
      </c>
      <c r="P33" s="3">
        <v>11367.383939250485</v>
      </c>
      <c r="Q33" s="3">
        <v>11367.383939250485</v>
      </c>
      <c r="R33" s="3">
        <v>11367.383939250485</v>
      </c>
      <c r="S33" s="3">
        <v>46233.28515897505</v>
      </c>
      <c r="T33" s="3">
        <v>46233.28515897505</v>
      </c>
      <c r="U33" s="3">
        <v>46233.28515897505</v>
      </c>
      <c r="V33" s="3">
        <v>46233.28515897505</v>
      </c>
      <c r="W33" s="3">
        <v>46353.39515955119</v>
      </c>
      <c r="X33" s="3">
        <v>64838.076324948313</v>
      </c>
      <c r="Y33" s="3">
        <v>56705.688386401722</v>
      </c>
      <c r="Z33" s="3">
        <v>56705.688386401722</v>
      </c>
      <c r="AA33" s="3">
        <v>56705.688386401722</v>
      </c>
      <c r="AB33" s="3">
        <v>56705.688386401722</v>
      </c>
      <c r="AC33" s="3">
        <v>56705.688386401722</v>
      </c>
      <c r="AD33" s="3">
        <v>56705.688386401722</v>
      </c>
      <c r="AE33" s="3">
        <v>56705.688386401722</v>
      </c>
      <c r="AF33" s="3">
        <v>56705.688386401722</v>
      </c>
      <c r="AG33" s="3">
        <v>63879.29619696382</v>
      </c>
    </row>
    <row r="34" spans="2:33" ht="15" customHeight="1">
      <c r="E34" s="70" t="str">
        <f xml:space="preserve"> Dashboard!C$26</f>
        <v>Alternative Operating Cost Profile</v>
      </c>
      <c r="F34" s="541">
        <f xml:space="preserve"> Dashboard!D$26</f>
        <v>6758.5974930344937</v>
      </c>
      <c r="G34" s="70" t="str">
        <f xml:space="preserve"> Dashboard!E$26</f>
        <v>$ mn</v>
      </c>
      <c r="H34" s="16"/>
      <c r="I34" s="536">
        <f t="shared" si="5"/>
        <v>0</v>
      </c>
      <c r="J34" s="537">
        <f t="shared" si="6"/>
        <v>0</v>
      </c>
      <c r="K34" s="97"/>
      <c r="M34" s="3">
        <v>6758.5974930344937</v>
      </c>
      <c r="N34" s="3">
        <v>6758.5974930344937</v>
      </c>
      <c r="O34" s="3">
        <v>7964.9772715485451</v>
      </c>
      <c r="P34" s="3">
        <v>9656.4075543959989</v>
      </c>
      <c r="Q34" s="3">
        <v>9656.4075543959989</v>
      </c>
      <c r="R34" s="3">
        <v>9656.4075543959989</v>
      </c>
      <c r="S34" s="3">
        <v>28423.7707490348</v>
      </c>
      <c r="T34" s="3">
        <v>28423.7707490348</v>
      </c>
      <c r="U34" s="3">
        <v>28423.7707490348</v>
      </c>
      <c r="V34" s="3">
        <v>28423.7707490348</v>
      </c>
      <c r="W34" s="3">
        <v>28423.7707490348</v>
      </c>
      <c r="X34" s="3">
        <v>40196.122500777397</v>
      </c>
      <c r="Y34" s="3">
        <v>36498.351751742615</v>
      </c>
      <c r="Z34" s="3">
        <v>36498.351751742615</v>
      </c>
      <c r="AA34" s="3">
        <v>36498.351751742615</v>
      </c>
      <c r="AB34" s="3">
        <v>36498.351751742615</v>
      </c>
      <c r="AC34" s="3">
        <v>36498.351751742615</v>
      </c>
      <c r="AD34" s="3">
        <v>36498.351751742615</v>
      </c>
      <c r="AE34" s="3">
        <v>36498.351751742615</v>
      </c>
      <c r="AF34" s="3">
        <v>36498.351751742615</v>
      </c>
      <c r="AG34" s="3">
        <v>36498.351751742615</v>
      </c>
    </row>
    <row r="35" spans="2:33" ht="15" customHeight="1">
      <c r="E35" s="70" t="str">
        <f xml:space="preserve"> Dashboard!C$27</f>
        <v>Capital Costs inc. Sens.</v>
      </c>
      <c r="F35" s="541">
        <f xml:space="preserve"> Dashboard!D$27</f>
        <v>174.60669228524603</v>
      </c>
      <c r="G35" s="70" t="str">
        <f xml:space="preserve"> Dashboard!E$27</f>
        <v>$ mn</v>
      </c>
      <c r="H35" s="16"/>
      <c r="I35" s="536">
        <f t="shared" si="5"/>
        <v>0</v>
      </c>
      <c r="J35" s="537">
        <f t="shared" si="6"/>
        <v>0</v>
      </c>
      <c r="K35" s="97"/>
      <c r="M35" s="3">
        <v>174.60669228524603</v>
      </c>
      <c r="N35" s="3">
        <v>174.60669228524603</v>
      </c>
      <c r="O35" s="3">
        <v>174.60669228524603</v>
      </c>
      <c r="P35" s="3">
        <v>174.60669228524603</v>
      </c>
      <c r="Q35" s="3">
        <v>174.60669228524603</v>
      </c>
      <c r="R35" s="3">
        <v>174.60669228524603</v>
      </c>
      <c r="S35" s="3">
        <v>3652.3580853390231</v>
      </c>
      <c r="T35" s="3">
        <v>3652.3580853390231</v>
      </c>
      <c r="U35" s="3">
        <v>3652.3580853390231</v>
      </c>
      <c r="V35" s="3">
        <v>3652.3580853390231</v>
      </c>
      <c r="W35" s="3">
        <v>3652.3580853390231</v>
      </c>
      <c r="X35" s="3">
        <v>7050.0067659476917</v>
      </c>
      <c r="Y35" s="3">
        <v>6688.6486806086677</v>
      </c>
      <c r="Z35" s="3">
        <v>6688.6486806086677</v>
      </c>
      <c r="AA35" s="3">
        <v>6688.6486806086677</v>
      </c>
      <c r="AB35" s="3">
        <v>6688.6486806086677</v>
      </c>
      <c r="AC35" s="3">
        <v>6688.6486806086677</v>
      </c>
      <c r="AD35" s="3">
        <v>6688.6486806086677</v>
      </c>
      <c r="AE35" s="3">
        <v>6688.6486806086677</v>
      </c>
      <c r="AF35" s="3">
        <v>6688.6486806086677</v>
      </c>
      <c r="AG35" s="3">
        <v>6688.6486806086677</v>
      </c>
    </row>
    <row r="36" spans="2:33" ht="15" customHeight="1">
      <c r="E36" s="70" t="str">
        <f xml:space="preserve"> Dashboard!C$28</f>
        <v>Project costs</v>
      </c>
      <c r="F36" s="541">
        <f xml:space="preserve"> Dashboard!D$28</f>
        <v>6933.2041853197397</v>
      </c>
      <c r="G36" s="70" t="str">
        <f xml:space="preserve"> Dashboard!E$28</f>
        <v>$ mn</v>
      </c>
      <c r="H36" s="16"/>
      <c r="I36" s="536">
        <f t="shared" si="5"/>
        <v>0</v>
      </c>
      <c r="J36" s="537">
        <f t="shared" si="6"/>
        <v>0</v>
      </c>
      <c r="K36" s="97"/>
      <c r="M36" s="3">
        <v>6933.2041853197397</v>
      </c>
      <c r="N36" s="3">
        <v>6933.2041853197397</v>
      </c>
      <c r="O36" s="3">
        <v>8139.5839638337911</v>
      </c>
      <c r="P36" s="3">
        <v>9831.0142466812449</v>
      </c>
      <c r="Q36" s="3">
        <v>9831.0142466812449</v>
      </c>
      <c r="R36" s="3">
        <v>9831.0142466812449</v>
      </c>
      <c r="S36" s="3">
        <v>32076.12883437382</v>
      </c>
      <c r="T36" s="3">
        <v>32076.12883437382</v>
      </c>
      <c r="U36" s="3">
        <v>32076.12883437382</v>
      </c>
      <c r="V36" s="3">
        <v>32076.12883437382</v>
      </c>
      <c r="W36" s="3">
        <v>32076.12883437382</v>
      </c>
      <c r="X36" s="3">
        <v>47246.129266725096</v>
      </c>
      <c r="Y36" s="3">
        <v>43187.000432351284</v>
      </c>
      <c r="Z36" s="3">
        <v>43187.000432351284</v>
      </c>
      <c r="AA36" s="3">
        <v>43187.000432351284</v>
      </c>
      <c r="AB36" s="3">
        <v>43187.000432351284</v>
      </c>
      <c r="AC36" s="3">
        <v>43187.000432351284</v>
      </c>
      <c r="AD36" s="3">
        <v>43187.000432351284</v>
      </c>
      <c r="AE36" s="3">
        <v>43187.000432351284</v>
      </c>
      <c r="AF36" s="3">
        <v>43187.000432351284</v>
      </c>
      <c r="AG36" s="3">
        <v>43187.000432351284</v>
      </c>
    </row>
    <row r="37" spans="2:33" ht="15" customHeight="1">
      <c r="E37" s="70" t="str">
        <f xml:space="preserve"> Dashboard!C$29</f>
        <v>Project cashflows before fiscal regime</v>
      </c>
      <c r="F37" s="541">
        <f xml:space="preserve"> Dashboard!D$29</f>
        <v>4434.1797539307463</v>
      </c>
      <c r="G37" s="70" t="str">
        <f xml:space="preserve"> Dashboard!E$29</f>
        <v>$ mn</v>
      </c>
      <c r="H37" s="16"/>
      <c r="I37" s="536">
        <f t="shared" si="5"/>
        <v>0</v>
      </c>
      <c r="J37" s="537">
        <f t="shared" si="6"/>
        <v>0</v>
      </c>
      <c r="K37" s="97"/>
      <c r="M37" s="3">
        <v>4434.1797539307463</v>
      </c>
      <c r="N37" s="3">
        <v>4434.1797539307463</v>
      </c>
      <c r="O37" s="3">
        <v>3227.7999754166945</v>
      </c>
      <c r="P37" s="3">
        <v>1536.3696925692414</v>
      </c>
      <c r="Q37" s="3">
        <v>1536.3696925692414</v>
      </c>
      <c r="R37" s="3">
        <v>1536.3696925692414</v>
      </c>
      <c r="S37" s="3">
        <v>14157.15632460123</v>
      </c>
      <c r="T37" s="3">
        <v>14157.15632460123</v>
      </c>
      <c r="U37" s="3">
        <v>14157.15632460123</v>
      </c>
      <c r="V37" s="3">
        <v>14157.15632460123</v>
      </c>
      <c r="W37" s="3">
        <v>14277.266325177368</v>
      </c>
      <c r="X37" s="3">
        <v>17591.947058223213</v>
      </c>
      <c r="Y37" s="3">
        <v>13518.687954050436</v>
      </c>
      <c r="Z37" s="3">
        <v>13518.687954050436</v>
      </c>
      <c r="AA37" s="3">
        <v>13518.687954050436</v>
      </c>
      <c r="AB37" s="3">
        <v>13518.687954050436</v>
      </c>
      <c r="AC37" s="3">
        <v>13518.687954050436</v>
      </c>
      <c r="AD37" s="3">
        <v>13518.687954050436</v>
      </c>
      <c r="AE37" s="3">
        <v>13518.687954050436</v>
      </c>
      <c r="AF37" s="3">
        <v>13518.687954050436</v>
      </c>
      <c r="AG37" s="3">
        <v>20692.295764612551</v>
      </c>
    </row>
    <row r="38" spans="2:33" ht="15" customHeight="1">
      <c r="E38" s="472"/>
      <c r="F38" s="534"/>
      <c r="G38" s="195"/>
      <c r="H38" s="16"/>
      <c r="I38" s="16"/>
      <c r="J38" s="537"/>
      <c r="K38" s="97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</row>
    <row r="39" spans="2:33" ht="15" customHeight="1">
      <c r="B39" s="16" t="str">
        <f>"Participant results USD mn real from: " &amp; $F$17</f>
        <v>Participant results USD mn real from: 2025</v>
      </c>
      <c r="E39" s="472"/>
      <c r="F39" s="534"/>
      <c r="G39" s="195"/>
      <c r="H39" s="16"/>
      <c r="I39" s="16"/>
      <c r="J39" s="537"/>
      <c r="K39" s="97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</row>
    <row r="40" spans="2:33" ht="15" customHeight="1">
      <c r="E40" s="70" t="str">
        <f xml:space="preserve"> Dashboard!C$34</f>
        <v>Government revenues excl. Gecamines participation</v>
      </c>
      <c r="F40" s="541">
        <f xml:space="preserve"> Dashboard!D$34</f>
        <v>1771.4279690787264</v>
      </c>
      <c r="G40" s="62" t="s">
        <v>29</v>
      </c>
      <c r="H40" s="16"/>
      <c r="I40" s="536">
        <f t="shared" ref="I40:I49" si="7" xml:space="preserve"> IF(ABS(J40) &gt; CHK_TOL, 1, 0)</f>
        <v>0</v>
      </c>
      <c r="J40" s="537">
        <f t="shared" ref="J40:J49" si="8" xml:space="preserve"> IF(OR(ISTEXT(F40), ISTEXT(INDEX(L40:AG40, $I$5))), 0, F40 - INDEX(L40:AG40, $I$5))</f>
        <v>0</v>
      </c>
      <c r="K40" s="97"/>
      <c r="M40" s="548">
        <v>1771.4279690787264</v>
      </c>
      <c r="N40" s="548">
        <v>1771.4279690787264</v>
      </c>
      <c r="O40" s="548">
        <v>1387.654681820052</v>
      </c>
      <c r="P40" s="548">
        <v>1171.1522692065837</v>
      </c>
      <c r="Q40" s="548">
        <v>1662.7029815406461</v>
      </c>
      <c r="R40" s="548">
        <v>1662.7029815406461</v>
      </c>
      <c r="S40" s="548">
        <v>11566.056284361917</v>
      </c>
      <c r="T40" s="548">
        <v>11245.762071835219</v>
      </c>
      <c r="U40" s="548">
        <v>11242.480931272388</v>
      </c>
      <c r="V40" s="548">
        <v>11164.578557230539</v>
      </c>
      <c r="W40" s="548">
        <v>11220.667403065063</v>
      </c>
      <c r="X40" s="548">
        <v>14998.878965904019</v>
      </c>
      <c r="Y40" s="548">
        <v>10291.404546824637</v>
      </c>
      <c r="Z40" s="548">
        <v>10256.475230630618</v>
      </c>
      <c r="AA40" s="548">
        <v>10399.205462589744</v>
      </c>
      <c r="AB40" s="548">
        <v>8920.3401843671727</v>
      </c>
      <c r="AC40" s="548">
        <v>8826.6850800270968</v>
      </c>
      <c r="AD40" s="548">
        <v>7971.4124990270302</v>
      </c>
      <c r="AE40" s="548">
        <v>5818.6665656908563</v>
      </c>
      <c r="AF40" s="548">
        <v>5831.4141550119821</v>
      </c>
      <c r="AG40" s="548">
        <v>8723.5857909389233</v>
      </c>
    </row>
    <row r="41" spans="2:33" ht="15" customHeight="1">
      <c r="E41" s="70" t="str">
        <f xml:space="preserve"> Dashboard!C$35</f>
        <v>Gecamines share of net cashflows after tax</v>
      </c>
      <c r="F41" s="541">
        <f xml:space="preserve"> Dashboard!D$35</f>
        <v>110.44120586861044</v>
      </c>
      <c r="G41" s="62" t="s">
        <v>29</v>
      </c>
      <c r="H41" s="16"/>
      <c r="I41" s="536">
        <f t="shared" si="7"/>
        <v>0</v>
      </c>
      <c r="J41" s="537">
        <f t="shared" si="8"/>
        <v>0</v>
      </c>
      <c r="K41" s="97"/>
      <c r="M41" s="548">
        <v>110.44120586861044</v>
      </c>
      <c r="N41" s="548">
        <v>100.32837188517925</v>
      </c>
      <c r="O41" s="548">
        <v>11.574365881153142</v>
      </c>
      <c r="P41" s="548">
        <v>-62.328592919518258</v>
      </c>
      <c r="Q41" s="548">
        <v>0</v>
      </c>
      <c r="R41" s="548">
        <v>3.9039167062977418</v>
      </c>
      <c r="S41" s="548">
        <v>694.33137418280444</v>
      </c>
      <c r="T41" s="548">
        <v>694.33137418280444</v>
      </c>
      <c r="U41" s="548">
        <v>727.14277981111422</v>
      </c>
      <c r="V41" s="548">
        <v>734.97983798457847</v>
      </c>
      <c r="W41" s="548">
        <v>753.8590019474974</v>
      </c>
      <c r="X41" s="548">
        <v>1294.4023783808934</v>
      </c>
      <c r="Y41" s="548">
        <v>1416.3310757196498</v>
      </c>
      <c r="Z41" s="548">
        <v>1427.3023195912551</v>
      </c>
      <c r="AA41" s="548">
        <v>0</v>
      </c>
      <c r="AB41" s="548">
        <v>0</v>
      </c>
      <c r="AC41" s="548">
        <v>0</v>
      </c>
      <c r="AD41" s="548">
        <v>321.05779046520507</v>
      </c>
      <c r="AE41" s="548">
        <v>321.05779046520507</v>
      </c>
      <c r="AF41" s="548">
        <v>325.63466874323905</v>
      </c>
      <c r="AG41" s="548">
        <v>1730.5752011310076</v>
      </c>
    </row>
    <row r="42" spans="2:33" ht="15" customHeight="1">
      <c r="E42" s="70" t="str">
        <f xml:space="preserve"> Dashboard!C$36</f>
        <v>Government including Gecamines</v>
      </c>
      <c r="F42" s="541">
        <f xml:space="preserve"> Dashboard!D$36</f>
        <v>1881.8691749473371</v>
      </c>
      <c r="G42" s="62" t="s">
        <v>29</v>
      </c>
      <c r="H42" s="16"/>
      <c r="I42" s="536">
        <f t="shared" si="7"/>
        <v>0</v>
      </c>
      <c r="J42" s="537">
        <f t="shared" si="8"/>
        <v>0</v>
      </c>
      <c r="K42" s="97"/>
      <c r="M42" s="548">
        <v>1881.8691749473371</v>
      </c>
      <c r="N42" s="548">
        <v>1871.7563409639058</v>
      </c>
      <c r="O42" s="548">
        <v>1399.229047701205</v>
      </c>
      <c r="P42" s="548">
        <v>1108.8236762870656</v>
      </c>
      <c r="Q42" s="548">
        <v>1662.7029815406461</v>
      </c>
      <c r="R42" s="548">
        <v>1666.606898246944</v>
      </c>
      <c r="S42" s="548">
        <v>12260.387658544725</v>
      </c>
      <c r="T42" s="548">
        <v>11940.093446018023</v>
      </c>
      <c r="U42" s="548">
        <v>11969.623711083501</v>
      </c>
      <c r="V42" s="548">
        <v>11899.558395215117</v>
      </c>
      <c r="W42" s="548">
        <v>11974.526405012562</v>
      </c>
      <c r="X42" s="548">
        <v>16293.281344284918</v>
      </c>
      <c r="Y42" s="548">
        <v>11707.735622544284</v>
      </c>
      <c r="Z42" s="548">
        <v>11683.777550221872</v>
      </c>
      <c r="AA42" s="548">
        <v>10399.205462589744</v>
      </c>
      <c r="AB42" s="548">
        <v>8920.3401843671727</v>
      </c>
      <c r="AC42" s="548">
        <v>8826.6850800270968</v>
      </c>
      <c r="AD42" s="548">
        <v>8292.4702894922339</v>
      </c>
      <c r="AE42" s="548">
        <v>6139.7243561560617</v>
      </c>
      <c r="AF42" s="548">
        <v>6157.0488237552208</v>
      </c>
      <c r="AG42" s="548">
        <v>10454.160992069934</v>
      </c>
    </row>
    <row r="43" spans="2:33" ht="15" customHeight="1">
      <c r="E43" s="70" t="str">
        <f xml:space="preserve"> Dashboard!C$37</f>
        <v>Parent company net cashflows</v>
      </c>
      <c r="F43" s="541">
        <f xml:space="preserve"> Dashboard!D$37</f>
        <v>2465.8579495956801</v>
      </c>
      <c r="G43" s="62" t="s">
        <v>29</v>
      </c>
      <c r="H43" s="16"/>
      <c r="I43" s="536">
        <f t="shared" si="7"/>
        <v>0</v>
      </c>
      <c r="J43" s="537">
        <f t="shared" si="8"/>
        <v>0</v>
      </c>
      <c r="K43" s="97"/>
      <c r="M43" s="548">
        <v>2465.8579495956801</v>
      </c>
      <c r="N43" s="548">
        <v>1431.0837303495493</v>
      </c>
      <c r="O43" s="548">
        <v>790.12362732760607</v>
      </c>
      <c r="P43" s="548">
        <v>-612.83747244854601</v>
      </c>
      <c r="Q43" s="548">
        <v>-612.83747244854601</v>
      </c>
      <c r="R43" s="548">
        <v>-612.83747244854601</v>
      </c>
      <c r="S43" s="548">
        <v>3801.988021288912</v>
      </c>
      <c r="T43" s="548">
        <v>3801.988021288912</v>
      </c>
      <c r="U43" s="548">
        <v>3772.4577562234331</v>
      </c>
      <c r="V43" s="548">
        <v>3842.5230720918166</v>
      </c>
      <c r="W43" s="548">
        <v>3884.66231285611</v>
      </c>
      <c r="X43" s="548">
        <v>4296.0739611334166</v>
      </c>
      <c r="Y43" s="548">
        <v>4660.8030054848487</v>
      </c>
      <c r="Z43" s="548">
        <v>4684.7610778072603</v>
      </c>
      <c r="AA43" s="548">
        <v>5969.3331654393905</v>
      </c>
      <c r="AB43" s="548">
        <v>5969.3331654393905</v>
      </c>
      <c r="AC43" s="548">
        <v>6062.9882697794674</v>
      </c>
      <c r="AD43" s="548">
        <v>6597.2030603143276</v>
      </c>
      <c r="AE43" s="548">
        <v>6597.2030603143276</v>
      </c>
      <c r="AF43" s="548">
        <v>6579.8785927151694</v>
      </c>
      <c r="AG43" s="548">
        <v>9277.0340396985248</v>
      </c>
    </row>
    <row r="44" spans="2:33" ht="15" customHeight="1">
      <c r="E44" s="70" t="str">
        <f xml:space="preserve"> Dashboard!C$38</f>
        <v>Cu + Co private royalty (treat as distribution of profit)</v>
      </c>
      <c r="F44" s="541">
        <f xml:space="preserve"> Dashboard!D$38</f>
        <v>284.18459848126213</v>
      </c>
      <c r="G44" s="62" t="s">
        <v>29</v>
      </c>
      <c r="H44" s="16"/>
      <c r="I44" s="536">
        <f t="shared" si="7"/>
        <v>0</v>
      </c>
      <c r="J44" s="537">
        <f t="shared" si="8"/>
        <v>0</v>
      </c>
      <c r="K44" s="97"/>
      <c r="M44" s="548">
        <v>284.18459848126213</v>
      </c>
      <c r="N44" s="548">
        <v>284.18459848126213</v>
      </c>
      <c r="O44" s="548">
        <v>284.18459848126213</v>
      </c>
      <c r="P44" s="548">
        <v>284.18459848126213</v>
      </c>
      <c r="Q44" s="548">
        <v>284.18459848126213</v>
      </c>
      <c r="R44" s="548">
        <v>284.18459848126213</v>
      </c>
      <c r="S44" s="548">
        <v>1155.8321289743762</v>
      </c>
      <c r="T44" s="548">
        <v>1155.8321289743762</v>
      </c>
      <c r="U44" s="548">
        <v>1155.8321289743762</v>
      </c>
      <c r="V44" s="548">
        <v>1155.8321289743762</v>
      </c>
      <c r="W44" s="548">
        <v>1158.8348789887798</v>
      </c>
      <c r="X44" s="548">
        <v>1620.9519081237081</v>
      </c>
      <c r="Y44" s="548">
        <v>1417.6422096600429</v>
      </c>
      <c r="Z44" s="548">
        <v>1417.6422096600429</v>
      </c>
      <c r="AA44" s="548">
        <v>1417.6422096600429</v>
      </c>
      <c r="AB44" s="548">
        <v>1417.6422096600429</v>
      </c>
      <c r="AC44" s="548">
        <v>1417.6422096600429</v>
      </c>
      <c r="AD44" s="548">
        <v>1417.6422096600429</v>
      </c>
      <c r="AE44" s="548">
        <v>1417.6422096600429</v>
      </c>
      <c r="AF44" s="548">
        <v>1417.6422096600429</v>
      </c>
      <c r="AG44" s="548">
        <v>1596.9824049240958</v>
      </c>
    </row>
    <row r="45" spans="2:33" ht="15" customHeight="1">
      <c r="E45" s="70" t="str">
        <f xml:space="preserve"> Dashboard!C$39</f>
        <v>[Net debt cashflows (3rd party lender)]</v>
      </c>
      <c r="F45" s="541">
        <f xml:space="preserve"> Dashboard!D$39</f>
        <v>0</v>
      </c>
      <c r="G45" s="62" t="s">
        <v>29</v>
      </c>
      <c r="H45" s="16"/>
      <c r="I45" s="536">
        <f t="shared" si="7"/>
        <v>0</v>
      </c>
      <c r="J45" s="537">
        <f t="shared" si="8"/>
        <v>0</v>
      </c>
      <c r="K45" s="97"/>
      <c r="M45" s="548">
        <v>0</v>
      </c>
      <c r="N45" s="548">
        <v>0</v>
      </c>
      <c r="O45" s="548">
        <v>0</v>
      </c>
      <c r="P45" s="548">
        <v>0</v>
      </c>
      <c r="Q45" s="548">
        <v>0</v>
      </c>
      <c r="R45" s="548">
        <v>0</v>
      </c>
      <c r="S45" s="548">
        <v>0</v>
      </c>
      <c r="T45" s="548">
        <v>0</v>
      </c>
      <c r="U45" s="548">
        <v>0</v>
      </c>
      <c r="V45" s="548">
        <v>0</v>
      </c>
      <c r="W45" s="548">
        <v>0</v>
      </c>
      <c r="X45" s="548">
        <v>0</v>
      </c>
      <c r="Y45" s="548">
        <v>0</v>
      </c>
      <c r="Z45" s="548">
        <v>0</v>
      </c>
      <c r="AA45" s="548">
        <v>0</v>
      </c>
      <c r="AB45" s="548">
        <v>0</v>
      </c>
      <c r="AC45" s="548">
        <v>0</v>
      </c>
      <c r="AD45" s="548">
        <v>0</v>
      </c>
      <c r="AE45" s="548">
        <v>0</v>
      </c>
      <c r="AF45" s="548">
        <v>0</v>
      </c>
      <c r="AG45" s="548">
        <v>0</v>
      </c>
    </row>
    <row r="46" spans="2:33" ht="15" customHeight="1">
      <c r="E46" s="70" t="str">
        <f xml:space="preserve"> Dashboard!C$40</f>
        <v>Additional govt revenues incl. in project costs</v>
      </c>
      <c r="F46" s="541">
        <f xml:space="preserve"> Dashboard!D$40</f>
        <v>197.73196909353254</v>
      </c>
      <c r="G46" s="62" t="s">
        <v>29</v>
      </c>
      <c r="H46" s="16"/>
      <c r="I46" s="536">
        <f t="shared" si="7"/>
        <v>0</v>
      </c>
      <c r="J46" s="537">
        <f t="shared" si="8"/>
        <v>0</v>
      </c>
      <c r="K46" s="97"/>
      <c r="M46" s="548">
        <v>197.73196909353254</v>
      </c>
      <c r="N46" s="548">
        <v>197.73196909353254</v>
      </c>
      <c r="O46" s="548">
        <v>232.41538772581148</v>
      </c>
      <c r="P46" s="548">
        <v>281.04400835767581</v>
      </c>
      <c r="Q46" s="548">
        <v>772.59472069173796</v>
      </c>
      <c r="R46" s="548">
        <v>772.59472069173796</v>
      </c>
      <c r="S46" s="548">
        <v>3061.0514842067819</v>
      </c>
      <c r="T46" s="548">
        <v>2740.7572716800832</v>
      </c>
      <c r="U46" s="548">
        <v>2740.7572716800832</v>
      </c>
      <c r="V46" s="548">
        <v>2740.7572716800832</v>
      </c>
      <c r="W46" s="548">
        <v>2740.7572716800832</v>
      </c>
      <c r="X46" s="548">
        <v>4618.3601553188237</v>
      </c>
      <c r="Y46" s="548">
        <v>4267.4928836387408</v>
      </c>
      <c r="Z46" s="548">
        <v>4267.4928836387408</v>
      </c>
      <c r="AA46" s="548">
        <v>4267.4928836387408</v>
      </c>
      <c r="AB46" s="548">
        <v>2788.6276054161731</v>
      </c>
      <c r="AC46" s="548">
        <v>2788.6276054161731</v>
      </c>
      <c r="AD46" s="548">
        <v>2788.6276054161731</v>
      </c>
      <c r="AE46" s="548">
        <v>635.88167208000004</v>
      </c>
      <c r="AF46" s="548">
        <v>635.88167208000004</v>
      </c>
      <c r="AG46" s="548">
        <v>635.88167208000004</v>
      </c>
    </row>
    <row r="47" spans="2:33" ht="15" customHeight="1">
      <c r="E47" s="70" t="str">
        <f xml:space="preserve"> Dashboard!C$42</f>
        <v>Government share: excluding payroll &amp; indirect taxes</v>
      </c>
      <c r="F47" s="597">
        <f xml:space="preserve"> Dashboard!D$42</f>
        <v>0.3549012641154583</v>
      </c>
      <c r="G47" s="62" t="s">
        <v>26</v>
      </c>
      <c r="H47" s="16"/>
      <c r="I47" s="536">
        <f t="shared" si="7"/>
        <v>0</v>
      </c>
      <c r="J47" s="537">
        <f t="shared" si="8"/>
        <v>0</v>
      </c>
      <c r="K47" s="97"/>
      <c r="M47" s="421">
        <v>0.3549012641154583</v>
      </c>
      <c r="N47" s="421">
        <v>0.3690098530100302</v>
      </c>
      <c r="O47" s="421">
        <v>0.38055491224499</v>
      </c>
      <c r="P47" s="421">
        <v>0.63658123617573636</v>
      </c>
      <c r="Q47" s="421">
        <v>0.9565242256212334</v>
      </c>
      <c r="R47" s="421">
        <v>0.9565242256212334</v>
      </c>
      <c r="S47" s="421">
        <v>0.73666668752379449</v>
      </c>
      <c r="T47" s="421">
        <v>0.71404249625382066</v>
      </c>
      <c r="U47" s="421">
        <v>0.71381073074331847</v>
      </c>
      <c r="V47" s="421">
        <v>0.7083080455814349</v>
      </c>
      <c r="W47" s="421">
        <v>0.70627782261940819</v>
      </c>
      <c r="X47" s="421">
        <v>0.76012636995001515</v>
      </c>
      <c r="Y47" s="421">
        <v>0.72046027184554484</v>
      </c>
      <c r="Z47" s="421"/>
      <c r="AA47" s="421"/>
      <c r="AB47" s="421"/>
      <c r="AC47" s="421"/>
      <c r="AD47" s="421"/>
      <c r="AE47" s="421"/>
      <c r="AF47" s="421"/>
      <c r="AG47" s="421"/>
    </row>
    <row r="48" spans="2:33" ht="15" customHeight="1">
      <c r="E48" s="70" t="str">
        <f xml:space="preserve"> Dashboard!C$43</f>
        <v>Government share: excluding Gecamines</v>
      </c>
      <c r="F48" s="547">
        <f xml:space="preserve"> Dashboard!D$43</f>
        <v>0.39949394643020891</v>
      </c>
      <c r="G48" s="62" t="s">
        <v>26</v>
      </c>
      <c r="H48" s="16"/>
      <c r="I48" s="536">
        <f t="shared" si="7"/>
        <v>0</v>
      </c>
      <c r="J48" s="537">
        <f t="shared" si="8"/>
        <v>0</v>
      </c>
      <c r="K48" s="97"/>
      <c r="M48" s="549">
        <v>0.39949394643020891</v>
      </c>
      <c r="N48" s="549">
        <v>0.39949394643020891</v>
      </c>
      <c r="O48" s="549">
        <v>0.42990727194640121</v>
      </c>
      <c r="P48" s="549">
        <v>0.76228545438701567</v>
      </c>
      <c r="Q48" s="549">
        <v>1.0822284438325127</v>
      </c>
      <c r="R48" s="549">
        <v>1.0822284438325127</v>
      </c>
      <c r="S48" s="549">
        <v>0.81697595330379336</v>
      </c>
      <c r="T48" s="549">
        <v>0.79435176203381952</v>
      </c>
      <c r="U48" s="549">
        <v>0.79411999652331733</v>
      </c>
      <c r="V48" s="549">
        <v>0.78861731136143376</v>
      </c>
      <c r="W48" s="549">
        <v>0.78591147265200767</v>
      </c>
      <c r="X48" s="549">
        <v>0.85259914188366748</v>
      </c>
      <c r="Y48" s="549">
        <v>0.76127243870150518</v>
      </c>
      <c r="Z48" s="549">
        <v>0.75868865865474755</v>
      </c>
      <c r="AA48" s="549">
        <v>0.76924665307286411</v>
      </c>
      <c r="AB48" s="549">
        <v>0.65985251044236748</v>
      </c>
      <c r="AC48" s="549">
        <v>0.65292468544497084</v>
      </c>
      <c r="AD48" s="549">
        <v>0.58965873952572856</v>
      </c>
      <c r="AE48" s="549">
        <v>0.4304165156758043</v>
      </c>
      <c r="AF48" s="549">
        <v>0.43135947621786686</v>
      </c>
      <c r="AG48" s="549">
        <v>0.42158617343261556</v>
      </c>
    </row>
    <row r="49" spans="2:33" ht="15" customHeight="1">
      <c r="E49" s="70" t="str">
        <f xml:space="preserve"> Dashboard!C$44</f>
        <v>Government share: including Gecamines</v>
      </c>
      <c r="F49" s="547">
        <f xml:space="preserve"> Dashboard!D$44</f>
        <v>0.4244007413725448</v>
      </c>
      <c r="G49" s="62" t="s">
        <v>26</v>
      </c>
      <c r="H49" s="16"/>
      <c r="I49" s="536">
        <f t="shared" si="7"/>
        <v>0</v>
      </c>
      <c r="J49" s="537">
        <f t="shared" si="8"/>
        <v>0</v>
      </c>
      <c r="K49" s="97"/>
      <c r="M49" s="549">
        <v>0.4244007413725448</v>
      </c>
      <c r="N49" s="549">
        <v>0.42212008642740717</v>
      </c>
      <c r="O49" s="549">
        <v>0.43349310934937069</v>
      </c>
      <c r="P49" s="549">
        <v>0.72171670767131635</v>
      </c>
      <c r="Q49" s="549">
        <v>1.0822284438325127</v>
      </c>
      <c r="R49" s="549">
        <v>1.0847694446900402</v>
      </c>
      <c r="S49" s="549">
        <v>0.86602050421944921</v>
      </c>
      <c r="T49" s="549">
        <v>0.84339631294947537</v>
      </c>
      <c r="U49" s="549">
        <v>0.84548220254399542</v>
      </c>
      <c r="V49" s="549">
        <v>0.84053309311397295</v>
      </c>
      <c r="W49" s="549">
        <v>0.83871282725152918</v>
      </c>
      <c r="X49" s="549">
        <v>0.92617839801130775</v>
      </c>
      <c r="Y49" s="549">
        <v>0.86604082158997131</v>
      </c>
      <c r="Z49" s="549">
        <v>0.86426860283591422</v>
      </c>
      <c r="AA49" s="549">
        <v>0.76924665307286411</v>
      </c>
      <c r="AB49" s="549">
        <v>0.65985251044236748</v>
      </c>
      <c r="AC49" s="549">
        <v>0.65292468544497084</v>
      </c>
      <c r="AD49" s="549">
        <v>0.61340792225385055</v>
      </c>
      <c r="AE49" s="549">
        <v>0.45416569840392629</v>
      </c>
      <c r="AF49" s="549">
        <v>0.45544721830127466</v>
      </c>
      <c r="AG49" s="549">
        <v>0.50521996742132291</v>
      </c>
    </row>
    <row r="50" spans="2:33" ht="15" customHeight="1">
      <c r="E50" s="472"/>
      <c r="F50" s="534"/>
      <c r="G50" s="195"/>
      <c r="H50" s="16"/>
      <c r="I50" s="16"/>
      <c r="J50" s="537"/>
      <c r="K50" s="97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</row>
    <row r="51" spans="2:33" ht="15" customHeight="1">
      <c r="B51" s="16" t="str">
        <f>"Participant results USD mn NPV from: " &amp; F17</f>
        <v>Participant results USD mn NPV from: 2025</v>
      </c>
      <c r="E51" s="472"/>
      <c r="F51" s="534"/>
      <c r="G51" s="195"/>
      <c r="H51" s="16"/>
      <c r="I51" s="16"/>
      <c r="J51" s="537"/>
      <c r="K51" s="97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</row>
    <row r="52" spans="2:33" ht="15" customHeight="1">
      <c r="E52" s="70" t="str">
        <f xml:space="preserve"> Dashboard!C$34</f>
        <v>Government revenues excl. Gecamines participation</v>
      </c>
      <c r="F52" s="541">
        <f xml:space="preserve"> Dashboard!E$34</f>
        <v>1212.9782320588399</v>
      </c>
      <c r="G52" s="62" t="s">
        <v>29</v>
      </c>
      <c r="H52" s="16"/>
      <c r="I52" s="536">
        <f t="shared" ref="I52:I60" si="9" xml:space="preserve"> IF(ABS(J52) &gt; CHK_TOL, 1, 0)</f>
        <v>0</v>
      </c>
      <c r="J52" s="537">
        <f t="shared" ref="J52:J60" si="10" xml:space="preserve"> IF(OR(ISTEXT(F52), ISTEXT(INDEX(L52:AG52, $I$5))), 0, F52 - INDEX(L52:AG52, $I$5))</f>
        <v>0</v>
      </c>
      <c r="K52" s="97"/>
      <c r="M52" s="550">
        <v>1212.9782320588399</v>
      </c>
      <c r="N52" s="550">
        <v>1212.9782320588399</v>
      </c>
      <c r="O52" s="550">
        <v>935.20987252347288</v>
      </c>
      <c r="P52" s="550">
        <v>821.17327228347983</v>
      </c>
      <c r="Q52" s="550">
        <v>1163.0707395740249</v>
      </c>
      <c r="R52" s="550">
        <v>1163.0707395740249</v>
      </c>
      <c r="S52" s="550">
        <v>5757.8701414855504</v>
      </c>
      <c r="T52" s="550">
        <v>5578.978579079394</v>
      </c>
      <c r="U52" s="550">
        <v>5576.8445674044697</v>
      </c>
      <c r="V52" s="550">
        <v>5534.1963856665161</v>
      </c>
      <c r="W52" s="550">
        <v>5562.3530993786571</v>
      </c>
      <c r="X52" s="550">
        <v>3193.9726420544125</v>
      </c>
      <c r="Y52" s="550">
        <v>2666.3512282035153</v>
      </c>
      <c r="Z52" s="550">
        <v>2641.1798458186558</v>
      </c>
      <c r="AA52" s="550">
        <v>2676.4556076139802</v>
      </c>
      <c r="AB52" s="550">
        <v>2298.7696988441567</v>
      </c>
      <c r="AC52" s="550">
        <v>2252.6140434194153</v>
      </c>
      <c r="AD52" s="550">
        <v>1991.8782774083015</v>
      </c>
      <c r="AE52" s="550">
        <v>1503.8542529070114</v>
      </c>
      <c r="AF52" s="550">
        <v>1498.4844413426342</v>
      </c>
      <c r="AG52" s="550">
        <v>2223.443103994884</v>
      </c>
    </row>
    <row r="53" spans="2:33" ht="15" customHeight="1">
      <c r="E53" s="70" t="str">
        <f xml:space="preserve"> Dashboard!C$35</f>
        <v>Gecamines share of net cashflows after tax</v>
      </c>
      <c r="F53" s="541">
        <f xml:space="preserve"> Dashboard!E$35</f>
        <v>70.498158917542909</v>
      </c>
      <c r="G53" s="62" t="s">
        <v>29</v>
      </c>
      <c r="H53" s="16"/>
      <c r="I53" s="536">
        <f t="shared" si="9"/>
        <v>0</v>
      </c>
      <c r="J53" s="537">
        <f t="shared" si="10"/>
        <v>0</v>
      </c>
      <c r="K53" s="97"/>
      <c r="M53" s="550">
        <v>70.498158917542909</v>
      </c>
      <c r="N53" s="550">
        <v>63.826909655875916</v>
      </c>
      <c r="O53" s="550">
        <v>1.8107433614242234</v>
      </c>
      <c r="P53" s="550">
        <v>-47.990249077287942</v>
      </c>
      <c r="Q53" s="550">
        <v>0</v>
      </c>
      <c r="R53" s="550">
        <v>2.0571450776205813</v>
      </c>
      <c r="S53" s="550">
        <v>253.88957743424859</v>
      </c>
      <c r="T53" s="550">
        <v>253.88957743424859</v>
      </c>
      <c r="U53" s="550">
        <v>275.22969418348566</v>
      </c>
      <c r="V53" s="550">
        <v>277.4318771637935</v>
      </c>
      <c r="W53" s="550">
        <v>287.22046166167871</v>
      </c>
      <c r="X53" s="550">
        <v>340.75672455566388</v>
      </c>
      <c r="Y53" s="550">
        <v>346.38205215241317</v>
      </c>
      <c r="Z53" s="550">
        <v>352.75761795324121</v>
      </c>
      <c r="AA53" s="550">
        <v>0</v>
      </c>
      <c r="AB53" s="550">
        <v>0</v>
      </c>
      <c r="AC53" s="550">
        <v>0</v>
      </c>
      <c r="AD53" s="550">
        <v>23.034571430208967</v>
      </c>
      <c r="AE53" s="550">
        <v>23.034571430208967</v>
      </c>
      <c r="AF53" s="550">
        <v>23.434841351343962</v>
      </c>
      <c r="AG53" s="550">
        <v>267.27791918203349</v>
      </c>
    </row>
    <row r="54" spans="2:33" ht="15" customHeight="1">
      <c r="E54" s="70" t="str">
        <f xml:space="preserve"> Dashboard!C$36</f>
        <v>Government including Gecamines</v>
      </c>
      <c r="F54" s="541">
        <f xml:space="preserve"> Dashboard!E$36</f>
        <v>1283.4763909763831</v>
      </c>
      <c r="G54" s="62" t="s">
        <v>29</v>
      </c>
      <c r="H54" s="16"/>
      <c r="I54" s="536">
        <f t="shared" si="9"/>
        <v>0</v>
      </c>
      <c r="J54" s="537">
        <f t="shared" si="10"/>
        <v>0</v>
      </c>
      <c r="K54" s="97"/>
      <c r="M54" s="550">
        <v>1283.4763909763831</v>
      </c>
      <c r="N54" s="550">
        <v>1276.8051417147162</v>
      </c>
      <c r="O54" s="550">
        <v>937.02061588489721</v>
      </c>
      <c r="P54" s="550">
        <v>773.18302320619182</v>
      </c>
      <c r="Q54" s="550">
        <v>1163.0707395740249</v>
      </c>
      <c r="R54" s="550">
        <v>1165.1278846516452</v>
      </c>
      <c r="S54" s="550">
        <v>6011.7597189198013</v>
      </c>
      <c r="T54" s="550">
        <v>5832.8681565136412</v>
      </c>
      <c r="U54" s="550">
        <v>5852.0742615879553</v>
      </c>
      <c r="V54" s="550">
        <v>5811.6282628303097</v>
      </c>
      <c r="W54" s="550">
        <v>5849.5735610403362</v>
      </c>
      <c r="X54" s="550">
        <v>3534.7293666100768</v>
      </c>
      <c r="Y54" s="550">
        <v>3012.7332803559289</v>
      </c>
      <c r="Z54" s="550">
        <v>2993.9374637718975</v>
      </c>
      <c r="AA54" s="550">
        <v>2676.4556076139802</v>
      </c>
      <c r="AB54" s="550">
        <v>2298.7696988441567</v>
      </c>
      <c r="AC54" s="550">
        <v>2252.6140434194153</v>
      </c>
      <c r="AD54" s="550">
        <v>2014.9128488385106</v>
      </c>
      <c r="AE54" s="550">
        <v>1526.8888243372205</v>
      </c>
      <c r="AF54" s="550">
        <v>1521.9192826939784</v>
      </c>
      <c r="AG54" s="550">
        <v>2490.7210231769168</v>
      </c>
    </row>
    <row r="55" spans="2:33" ht="15" customHeight="1">
      <c r="E55" s="70" t="str">
        <f xml:space="preserve"> Dashboard!C$37</f>
        <v>Parent company net cashflows</v>
      </c>
      <c r="F55" s="541">
        <f xml:space="preserve"> Dashboard!E$37</f>
        <v>1762.1298822740898</v>
      </c>
      <c r="G55" s="62" t="s">
        <v>29</v>
      </c>
      <c r="H55" s="16"/>
      <c r="I55" s="536">
        <f t="shared" si="9"/>
        <v>0</v>
      </c>
      <c r="J55" s="537">
        <f t="shared" si="10"/>
        <v>0</v>
      </c>
      <c r="K55" s="97"/>
      <c r="M55" s="550">
        <v>1762.1298822740898</v>
      </c>
      <c r="N55" s="550">
        <v>1021.9033865803076</v>
      </c>
      <c r="O55" s="550">
        <v>511.56310336530998</v>
      </c>
      <c r="P55" s="550">
        <v>-444.28133465849925</v>
      </c>
      <c r="Q55" s="550">
        <v>-444.28133465849925</v>
      </c>
      <c r="R55" s="550">
        <v>-444.28133465849925</v>
      </c>
      <c r="S55" s="550">
        <v>2279.8611495691807</v>
      </c>
      <c r="T55" s="550">
        <v>2279.8611495691807</v>
      </c>
      <c r="U55" s="550">
        <v>2260.6550444948671</v>
      </c>
      <c r="V55" s="550">
        <v>2301.1010432525127</v>
      </c>
      <c r="W55" s="550">
        <v>2324.0424863297599</v>
      </c>
      <c r="X55" s="550">
        <v>341.55877961387637</v>
      </c>
      <c r="Y55" s="550">
        <v>349.59730227550136</v>
      </c>
      <c r="Z55" s="550">
        <v>368.39311885953322</v>
      </c>
      <c r="AA55" s="550">
        <v>685.87497501745042</v>
      </c>
      <c r="AB55" s="550">
        <v>685.87497501745042</v>
      </c>
      <c r="AC55" s="550">
        <v>732.03063044219095</v>
      </c>
      <c r="AD55" s="550">
        <v>969.73182502309646</v>
      </c>
      <c r="AE55" s="550">
        <v>969.73182502309646</v>
      </c>
      <c r="AF55" s="550">
        <v>974.70136666633812</v>
      </c>
      <c r="AG55" s="550">
        <v>1871.7562950354859</v>
      </c>
    </row>
    <row r="56" spans="2:33" ht="15" customHeight="1">
      <c r="E56" s="70" t="str">
        <f xml:space="preserve"> Dashboard!C$38</f>
        <v>Cu + Co private royalty (treat as distribution of profit)</v>
      </c>
      <c r="F56" s="541">
        <f xml:space="preserve"> Dashboard!E$38</f>
        <v>197.6896279701246</v>
      </c>
      <c r="G56" s="62" t="s">
        <v>29</v>
      </c>
      <c r="H56" s="16"/>
      <c r="I56" s="536">
        <f t="shared" si="9"/>
        <v>0</v>
      </c>
      <c r="J56" s="537">
        <f t="shared" si="10"/>
        <v>0</v>
      </c>
      <c r="K56" s="97"/>
      <c r="M56" s="550">
        <v>197.6896279701246</v>
      </c>
      <c r="N56" s="550">
        <v>197.6896279701246</v>
      </c>
      <c r="O56" s="550">
        <v>197.6896279701246</v>
      </c>
      <c r="P56" s="550">
        <v>197.6896279701246</v>
      </c>
      <c r="Q56" s="550">
        <v>197.6896279701246</v>
      </c>
      <c r="R56" s="550">
        <v>197.6896279701246</v>
      </c>
      <c r="S56" s="550">
        <v>621.21811143742514</v>
      </c>
      <c r="T56" s="550">
        <v>621.21811143742514</v>
      </c>
      <c r="U56" s="550">
        <v>621.21811143742514</v>
      </c>
      <c r="V56" s="550">
        <v>621.21811143742514</v>
      </c>
      <c r="W56" s="550">
        <v>622.77930993197049</v>
      </c>
      <c r="X56" s="550">
        <v>367.69531103702064</v>
      </c>
      <c r="Y56" s="550">
        <v>343.73067513563518</v>
      </c>
      <c r="Z56" s="550">
        <v>343.73067513563518</v>
      </c>
      <c r="AA56" s="550">
        <v>343.73067513563518</v>
      </c>
      <c r="AB56" s="550">
        <v>343.73067513563518</v>
      </c>
      <c r="AC56" s="550">
        <v>343.73067513563518</v>
      </c>
      <c r="AD56" s="550">
        <v>343.73067513563518</v>
      </c>
      <c r="AE56" s="550">
        <v>343.73067513563518</v>
      </c>
      <c r="AF56" s="550">
        <v>343.73067513563518</v>
      </c>
      <c r="AG56" s="550">
        <v>391.57315382415015</v>
      </c>
    </row>
    <row r="57" spans="2:33" ht="15" customHeight="1">
      <c r="E57" s="70" t="str">
        <f xml:space="preserve"> Dashboard!C$39</f>
        <v>[Net debt cashflows (3rd party lender)]</v>
      </c>
      <c r="F57" s="541">
        <f xml:space="preserve"> Dashboard!E$39</f>
        <v>0</v>
      </c>
      <c r="G57" s="62" t="s">
        <v>29</v>
      </c>
      <c r="H57" s="16"/>
      <c r="I57" s="536">
        <f t="shared" si="9"/>
        <v>0</v>
      </c>
      <c r="J57" s="537">
        <f t="shared" si="10"/>
        <v>0</v>
      </c>
      <c r="K57" s="97"/>
      <c r="M57" s="550">
        <v>0</v>
      </c>
      <c r="N57" s="550">
        <v>0</v>
      </c>
      <c r="O57" s="550">
        <v>0</v>
      </c>
      <c r="P57" s="550">
        <v>0</v>
      </c>
      <c r="Q57" s="550">
        <v>0</v>
      </c>
      <c r="R57" s="550">
        <v>0</v>
      </c>
      <c r="S57" s="550">
        <v>0</v>
      </c>
      <c r="T57" s="550">
        <v>0</v>
      </c>
      <c r="U57" s="550">
        <v>0</v>
      </c>
      <c r="V57" s="550">
        <v>0</v>
      </c>
      <c r="W57" s="550">
        <v>0</v>
      </c>
      <c r="X57" s="550">
        <v>0</v>
      </c>
      <c r="Y57" s="550">
        <v>0</v>
      </c>
      <c r="Z57" s="550">
        <v>0</v>
      </c>
      <c r="AA57" s="550">
        <v>0</v>
      </c>
      <c r="AB57" s="550">
        <v>0</v>
      </c>
      <c r="AC57" s="550">
        <v>0</v>
      </c>
      <c r="AD57" s="550">
        <v>0</v>
      </c>
      <c r="AE57" s="550">
        <v>0</v>
      </c>
      <c r="AF57" s="550">
        <v>0</v>
      </c>
      <c r="AG57" s="550">
        <v>0</v>
      </c>
    </row>
    <row r="58" spans="2:33" ht="15" customHeight="1">
      <c r="E58" s="70" t="str">
        <f xml:space="preserve"> Dashboard!C$40</f>
        <v>Additional govt revenues incl. in project costs</v>
      </c>
      <c r="F58" s="541">
        <f xml:space="preserve"> Dashboard!E$40</f>
        <v>136.91492971884031</v>
      </c>
      <c r="G58" s="62" t="s">
        <v>29</v>
      </c>
      <c r="H58" s="16"/>
      <c r="I58" s="536">
        <f t="shared" si="9"/>
        <v>0</v>
      </c>
      <c r="J58" s="537">
        <f t="shared" si="10"/>
        <v>0</v>
      </c>
      <c r="K58" s="97"/>
      <c r="M58" s="550">
        <v>136.91492971884031</v>
      </c>
      <c r="N58" s="550">
        <v>136.91492971884031</v>
      </c>
      <c r="O58" s="550">
        <v>163.43158918256461</v>
      </c>
      <c r="P58" s="550">
        <v>195.47135417593589</v>
      </c>
      <c r="Q58" s="550">
        <v>537.36882146648088</v>
      </c>
      <c r="R58" s="550">
        <v>537.36882146648088</v>
      </c>
      <c r="S58" s="550">
        <v>1672.101962708866</v>
      </c>
      <c r="T58" s="550">
        <v>1493.210400302708</v>
      </c>
      <c r="U58" s="550">
        <v>1493.210400302708</v>
      </c>
      <c r="V58" s="550">
        <v>1493.210400302708</v>
      </c>
      <c r="W58" s="550">
        <v>1493.210400302708</v>
      </c>
      <c r="X58" s="550">
        <v>1374.6537236337008</v>
      </c>
      <c r="Y58" s="550">
        <v>1335.0799525267585</v>
      </c>
      <c r="Z58" s="550">
        <v>1335.0799525267585</v>
      </c>
      <c r="AA58" s="550">
        <v>1335.0799525267585</v>
      </c>
      <c r="AB58" s="550">
        <v>957.3940437569355</v>
      </c>
      <c r="AC58" s="550">
        <v>957.3940437569355</v>
      </c>
      <c r="AD58" s="550">
        <v>957.3940437569355</v>
      </c>
      <c r="AE58" s="550">
        <v>469.37001925564545</v>
      </c>
      <c r="AF58" s="550">
        <v>469.37001925564545</v>
      </c>
      <c r="AG58" s="550">
        <v>469.37001925564545</v>
      </c>
    </row>
    <row r="59" spans="2:33" ht="15" customHeight="1">
      <c r="E59" s="70" t="str">
        <f xml:space="preserve"> Dashboard!C$43</f>
        <v>Government share: excluding Gecamines</v>
      </c>
      <c r="F59" s="547">
        <f xml:space="preserve"> Dashboard!E$43</f>
        <v>0.39047954619437247</v>
      </c>
      <c r="G59" s="62" t="s">
        <v>26</v>
      </c>
      <c r="H59" s="16"/>
      <c r="I59" s="536">
        <f t="shared" si="9"/>
        <v>0</v>
      </c>
      <c r="J59" s="537">
        <f t="shared" si="10"/>
        <v>0</v>
      </c>
      <c r="K59" s="97"/>
      <c r="M59" s="551">
        <v>0.39047954619437247</v>
      </c>
      <c r="N59" s="551">
        <v>0.39047954619437247</v>
      </c>
      <c r="O59" s="551">
        <v>0.42819741801452516</v>
      </c>
      <c r="P59" s="551">
        <v>0.76771298512659347</v>
      </c>
      <c r="Q59" s="551">
        <v>1.087352133257848</v>
      </c>
      <c r="R59" s="551">
        <v>1.087352133257848</v>
      </c>
      <c r="S59" s="551">
        <v>0.79520498090098779</v>
      </c>
      <c r="T59" s="551">
        <v>0.77049871661038105</v>
      </c>
      <c r="U59" s="551">
        <v>0.77020399361880576</v>
      </c>
      <c r="V59" s="551">
        <v>0.76431396037542987</v>
      </c>
      <c r="W59" s="551">
        <v>0.76163388057804948</v>
      </c>
      <c r="X59" s="551">
        <v>1.1131424195074096</v>
      </c>
      <c r="Y59" s="551">
        <v>1.1245770779847091</v>
      </c>
      <c r="Z59" s="551">
        <v>1.1139606373028588</v>
      </c>
      <c r="AA59" s="551">
        <v>1.1288387646492695</v>
      </c>
      <c r="AB59" s="551">
        <v>0.96954357833334714</v>
      </c>
      <c r="AC59" s="551">
        <v>0.95007667856373323</v>
      </c>
      <c r="AD59" s="551">
        <v>0.84010712062802129</v>
      </c>
      <c r="AE59" s="551">
        <v>0.63427503607186431</v>
      </c>
      <c r="AF59" s="551">
        <v>0.63201023054492544</v>
      </c>
      <c r="AG59" s="551">
        <v>0.5189285708696878</v>
      </c>
    </row>
    <row r="60" spans="2:33" ht="15" customHeight="1">
      <c r="E60" s="70" t="str">
        <f xml:space="preserve"> Dashboard!C$44</f>
        <v>Government share: including Gecamines</v>
      </c>
      <c r="F60" s="547">
        <f xml:space="preserve"> Dashboard!E$44</f>
        <v>0.41317417366096459</v>
      </c>
      <c r="G60" s="62" t="s">
        <v>26</v>
      </c>
      <c r="H60" s="16"/>
      <c r="I60" s="536">
        <f t="shared" si="9"/>
        <v>0</v>
      </c>
      <c r="J60" s="537">
        <f t="shared" si="10"/>
        <v>0</v>
      </c>
      <c r="K60" s="97"/>
      <c r="M60" s="551">
        <v>0.41317417366096459</v>
      </c>
      <c r="N60" s="551">
        <v>0.41102657833287387</v>
      </c>
      <c r="O60" s="551">
        <v>0.42902648927952008</v>
      </c>
      <c r="P60" s="551">
        <v>0.72284701271903706</v>
      </c>
      <c r="Q60" s="551">
        <v>1.087352133257848</v>
      </c>
      <c r="R60" s="551">
        <v>1.0892753534133055</v>
      </c>
      <c r="S60" s="551">
        <v>0.83026903264468899</v>
      </c>
      <c r="T60" s="551">
        <v>0.80556276835408214</v>
      </c>
      <c r="U60" s="551">
        <v>0.80821527527825898</v>
      </c>
      <c r="V60" s="551">
        <v>0.80262937999419193</v>
      </c>
      <c r="W60" s="551">
        <v>0.80096199062220319</v>
      </c>
      <c r="X60" s="551">
        <v>1.2319007206402999</v>
      </c>
      <c r="Y60" s="551">
        <v>1.270669352684153</v>
      </c>
      <c r="Z60" s="551">
        <v>1.2627419107669648</v>
      </c>
      <c r="AA60" s="551">
        <v>1.1288387646492695</v>
      </c>
      <c r="AB60" s="551">
        <v>0.96954357833334714</v>
      </c>
      <c r="AC60" s="551">
        <v>0.95007667856373323</v>
      </c>
      <c r="AD60" s="551">
        <v>0.84982232647097677</v>
      </c>
      <c r="AE60" s="551">
        <v>0.64399024191481979</v>
      </c>
      <c r="AF60" s="551">
        <v>0.64189425674941236</v>
      </c>
      <c r="AG60" s="551">
        <v>0.58130846643659317</v>
      </c>
    </row>
    <row r="61" spans="2:33" ht="15" customHeight="1">
      <c r="E61" s="472"/>
      <c r="F61" s="534"/>
      <c r="G61" s="195"/>
      <c r="H61" s="16"/>
      <c r="I61" s="16"/>
      <c r="J61" s="537"/>
      <c r="K61" s="97"/>
      <c r="M61" s="551"/>
      <c r="N61" s="551"/>
      <c r="O61" s="551"/>
      <c r="P61" s="551"/>
      <c r="Q61" s="551"/>
      <c r="R61" s="551"/>
      <c r="S61" s="551"/>
      <c r="T61" s="551"/>
      <c r="U61" s="551"/>
      <c r="V61" s="551"/>
      <c r="W61" s="551"/>
      <c r="X61" s="551"/>
      <c r="Y61" s="551"/>
      <c r="Z61" s="551"/>
      <c r="AA61" s="551"/>
      <c r="AB61" s="551"/>
      <c r="AC61" s="551"/>
      <c r="AD61" s="551"/>
      <c r="AE61" s="551"/>
      <c r="AF61" s="551"/>
      <c r="AG61" s="551"/>
    </row>
    <row r="62" spans="2:33" ht="15" customHeight="1">
      <c r="B62" s="16" t="str">
        <f>"Government results: USD mn from " &amp; F17</f>
        <v>Government results: USD mn from 2025</v>
      </c>
      <c r="E62" s="472"/>
      <c r="F62" s="534"/>
      <c r="G62" s="195"/>
      <c r="H62" s="16"/>
      <c r="I62" s="16"/>
      <c r="J62" s="537"/>
      <c r="K62" s="97"/>
      <c r="M62" s="551"/>
      <c r="N62" s="551"/>
      <c r="O62" s="551"/>
      <c r="P62" s="551"/>
      <c r="Q62" s="551"/>
      <c r="R62" s="551"/>
      <c r="S62" s="551"/>
      <c r="T62" s="551"/>
      <c r="U62" s="551"/>
      <c r="V62" s="551"/>
      <c r="W62" s="551"/>
      <c r="X62" s="551"/>
      <c r="Y62" s="551"/>
      <c r="Z62" s="551"/>
      <c r="AA62" s="551"/>
      <c r="AB62" s="551"/>
      <c r="AC62" s="551"/>
      <c r="AD62" s="551"/>
      <c r="AE62" s="551"/>
      <c r="AF62" s="551"/>
      <c r="AG62" s="551"/>
    </row>
    <row r="63" spans="2:33" ht="15" customHeight="1">
      <c r="E63" s="70" t="str">
        <f xml:space="preserve"> Dashboard!C$48</f>
        <v>Cu + Co government royalty</v>
      </c>
      <c r="F63" s="541">
        <f xml:space="preserve"> Dashboard!D$48</f>
        <v>678.56843937384019</v>
      </c>
      <c r="G63" s="70" t="str">
        <f xml:space="preserve"> Dashboard!E$48</f>
        <v>$ mn</v>
      </c>
      <c r="H63" s="16"/>
      <c r="I63" s="536">
        <f t="shared" ref="I63:I70" si="11" xml:space="preserve"> IF(ABS(J63) &gt; CHK_TOL, 1, 0)</f>
        <v>0</v>
      </c>
      <c r="J63" s="537">
        <f t="shared" ref="J63:J70" si="12" xml:space="preserve"> IF(OR(ISTEXT(F63), ISTEXT(INDEX(L63:AG63, $I$5))), 0, F63 - INDEX(L63:AG63, $I$5))</f>
        <v>0</v>
      </c>
      <c r="K63" s="97"/>
      <c r="M63" s="548">
        <v>678.56843937384019</v>
      </c>
      <c r="N63" s="548">
        <v>678.56843937384019</v>
      </c>
      <c r="O63" s="548">
        <v>678.56843937384019</v>
      </c>
      <c r="P63" s="548">
        <v>678.56843937384019</v>
      </c>
      <c r="Q63" s="548">
        <v>678.56843937384019</v>
      </c>
      <c r="R63" s="548">
        <v>678.56843937384019</v>
      </c>
      <c r="S63" s="548">
        <v>2283.9305017788847</v>
      </c>
      <c r="T63" s="548">
        <v>2283.9305017788847</v>
      </c>
      <c r="U63" s="548">
        <v>2283.9305017788847</v>
      </c>
      <c r="V63" s="548">
        <v>2283.9305017788847</v>
      </c>
      <c r="W63" s="548">
        <v>2288.134351799049</v>
      </c>
      <c r="X63" s="548">
        <v>3135.4769982562111</v>
      </c>
      <c r="Y63" s="548">
        <v>2747.9553721480206</v>
      </c>
      <c r="Z63" s="548">
        <v>2747.9553721480206</v>
      </c>
      <c r="AA63" s="548">
        <v>2747.9553721480206</v>
      </c>
      <c r="AB63" s="548">
        <v>2747.9553721480206</v>
      </c>
      <c r="AC63" s="548">
        <v>2747.9553721480206</v>
      </c>
      <c r="AD63" s="548">
        <v>2747.9553721480206</v>
      </c>
      <c r="AE63" s="548">
        <v>2747.9553721480206</v>
      </c>
      <c r="AF63" s="604">
        <v>2747.9553721480206</v>
      </c>
      <c r="AG63" s="550">
        <v>3467.486813608205</v>
      </c>
    </row>
    <row r="64" spans="2:33" ht="15" customHeight="1">
      <c r="E64" s="70" t="str">
        <f xml:space="preserve"> Dashboard!C$49</f>
        <v>Turnover tax (Chiffre d'Affaires 0.3PC)</v>
      </c>
      <c r="F64" s="70">
        <f xml:space="preserve"> Dashboard!D$49</f>
        <v>34.102151817751455</v>
      </c>
      <c r="G64" s="70" t="str">
        <f xml:space="preserve"> Dashboard!E$49</f>
        <v>$ mn</v>
      </c>
      <c r="H64" s="16"/>
      <c r="I64" s="536">
        <f t="shared" ref="I64" si="13" xml:space="preserve"> IF(ABS(J64) &gt; CHK_TOL, 1, 0)</f>
        <v>0</v>
      </c>
      <c r="J64" s="537">
        <f t="shared" si="12"/>
        <v>0</v>
      </c>
      <c r="K64" s="97"/>
      <c r="M64" s="548">
        <v>34.102151817751455</v>
      </c>
      <c r="N64" s="548">
        <v>34.102151817751455</v>
      </c>
      <c r="O64" s="548">
        <v>34.102151817751455</v>
      </c>
      <c r="P64" s="548">
        <v>34.102151817751455</v>
      </c>
      <c r="Q64" s="548">
        <v>34.102151817751455</v>
      </c>
      <c r="R64" s="548">
        <v>34.102151817751455</v>
      </c>
      <c r="S64" s="548">
        <v>138.69985547692517</v>
      </c>
      <c r="T64" s="548">
        <v>138.69985547692517</v>
      </c>
      <c r="U64" s="548">
        <v>138.69985547692517</v>
      </c>
      <c r="V64" s="548"/>
      <c r="W64" s="548"/>
      <c r="X64" s="548"/>
      <c r="Y64" s="548"/>
      <c r="Z64" s="548"/>
      <c r="AA64" s="548"/>
      <c r="AB64" s="548"/>
      <c r="AC64" s="548"/>
      <c r="AD64" s="548"/>
      <c r="AE64" s="548"/>
      <c r="AF64" s="604"/>
      <c r="AG64" s="550"/>
    </row>
    <row r="65" spans="1:68" ht="15" customHeight="1">
      <c r="E65" s="70" t="str">
        <f xml:space="preserve"> Dashboard!C$50</f>
        <v>CIT payable</v>
      </c>
      <c r="F65" s="541">
        <f xml:space="preserve"> Dashboard!D$50</f>
        <v>761.62832351185295</v>
      </c>
      <c r="G65" s="70" t="str">
        <f xml:space="preserve"> Dashboard!E$50</f>
        <v>$ mn</v>
      </c>
      <c r="H65" s="16"/>
      <c r="I65" s="536">
        <f t="shared" si="11"/>
        <v>0</v>
      </c>
      <c r="J65" s="537">
        <f t="shared" si="12"/>
        <v>0</v>
      </c>
      <c r="K65" s="97"/>
      <c r="M65" s="550">
        <v>761.62832351185295</v>
      </c>
      <c r="N65" s="550">
        <v>761.62832351185295</v>
      </c>
      <c r="O65" s="550">
        <v>327.0449462265305</v>
      </c>
      <c r="P65" s="550">
        <v>113.67383939250487</v>
      </c>
      <c r="Q65" s="550">
        <v>113.67383939250487</v>
      </c>
      <c r="R65" s="550">
        <v>113.67383939250487</v>
      </c>
      <c r="S65" s="550">
        <v>1113.8980336666584</v>
      </c>
      <c r="T65" s="550">
        <v>1113.8980336666584</v>
      </c>
      <c r="U65" s="604">
        <v>1113.8980336666584</v>
      </c>
      <c r="V65" s="604">
        <v>1128.1761669261052</v>
      </c>
      <c r="W65" s="604">
        <v>1139.5863084320924</v>
      </c>
      <c r="X65" s="604">
        <v>1953.5752470811676</v>
      </c>
      <c r="Y65" s="604">
        <v>2650.8370435180004</v>
      </c>
      <c r="Z65" s="548">
        <v>2614.8284720894294</v>
      </c>
      <c r="AA65" s="548">
        <v>2614.8284720894294</v>
      </c>
      <c r="AB65" s="604">
        <v>2614.8284720894294</v>
      </c>
      <c r="AC65" s="604">
        <v>2517.2982605764964</v>
      </c>
      <c r="AD65" s="548">
        <v>1625.9219979147726</v>
      </c>
      <c r="AE65" s="604">
        <v>1625.9219979147726</v>
      </c>
      <c r="AF65" s="604">
        <v>1640.5945280802489</v>
      </c>
      <c r="AG65" s="550">
        <v>3550.3479515728477</v>
      </c>
    </row>
    <row r="66" spans="1:68" ht="15" customHeight="1">
      <c r="E66" s="70" t="str">
        <f xml:space="preserve"> Dashboard!C$51</f>
        <v>Special Tax On Excess Profits</v>
      </c>
      <c r="F66" s="541">
        <f xml:space="preserve"> Dashboard!D$51</f>
        <v>0</v>
      </c>
      <c r="G66" s="70" t="str">
        <f xml:space="preserve"> Dashboard!E$51</f>
        <v>$ mn</v>
      </c>
      <c r="H66" s="16"/>
      <c r="I66" s="536">
        <f t="shared" si="11"/>
        <v>0</v>
      </c>
      <c r="J66" s="537">
        <f t="shared" si="12"/>
        <v>0</v>
      </c>
      <c r="K66" s="97"/>
      <c r="M66" s="548">
        <v>0</v>
      </c>
      <c r="N66" s="548">
        <v>0</v>
      </c>
      <c r="O66" s="548">
        <v>0</v>
      </c>
      <c r="P66" s="548">
        <v>0</v>
      </c>
      <c r="Q66" s="548">
        <v>0</v>
      </c>
      <c r="R66" s="548">
        <v>0</v>
      </c>
      <c r="S66" s="548">
        <v>4611.0568885383791</v>
      </c>
      <c r="T66" s="548">
        <v>4611.0568885383791</v>
      </c>
      <c r="U66" s="548">
        <v>4611.0568885383791</v>
      </c>
      <c r="V66" s="548">
        <v>4652.2876847597245</v>
      </c>
      <c r="W66" s="548">
        <v>4689.9696153545101</v>
      </c>
      <c r="X66" s="548">
        <v>4689.9696153545101</v>
      </c>
      <c r="Y66" s="548">
        <v>0</v>
      </c>
      <c r="Z66" s="548">
        <v>0</v>
      </c>
      <c r="AA66" s="548">
        <v>0</v>
      </c>
      <c r="AB66" s="548">
        <v>0</v>
      </c>
      <c r="AC66" s="548">
        <v>0</v>
      </c>
      <c r="AD66" s="548">
        <v>0</v>
      </c>
      <c r="AE66" s="548">
        <v>0</v>
      </c>
      <c r="AF66" s="548">
        <v>0</v>
      </c>
      <c r="AG66" s="548">
        <v>0</v>
      </c>
    </row>
    <row r="67" spans="1:68" ht="15" customHeight="1">
      <c r="E67" s="70" t="str">
        <f xml:space="preserve"> Dashboard!C$52</f>
        <v>Payroll taxes (included in costs)</v>
      </c>
      <c r="F67" s="541">
        <f xml:space="preserve"> Dashboard!D$52</f>
        <v>135.17194986068989</v>
      </c>
      <c r="G67" s="70" t="str">
        <f xml:space="preserve"> Dashboard!E$52</f>
        <v>$ mn</v>
      </c>
      <c r="H67" s="16"/>
      <c r="I67" s="536">
        <f t="shared" si="11"/>
        <v>0</v>
      </c>
      <c r="J67" s="537">
        <f t="shared" si="12"/>
        <v>0</v>
      </c>
      <c r="K67" s="97"/>
      <c r="M67" s="550">
        <v>135.17194986068989</v>
      </c>
      <c r="N67" s="550">
        <v>135.17194986068989</v>
      </c>
      <c r="O67" s="550">
        <v>159.29954543097091</v>
      </c>
      <c r="P67" s="550">
        <v>193.12815108791995</v>
      </c>
      <c r="Q67" s="550">
        <v>193.12815108791995</v>
      </c>
      <c r="R67" s="550">
        <v>193.12815108791995</v>
      </c>
      <c r="S67" s="550">
        <v>1136.9508299613917</v>
      </c>
      <c r="T67" s="550">
        <v>1136.9508299613917</v>
      </c>
      <c r="U67" s="550">
        <v>1136.9508299613917</v>
      </c>
      <c r="V67" s="550">
        <v>1136.9508299613917</v>
      </c>
      <c r="W67" s="550">
        <v>1136.9508299613917</v>
      </c>
      <c r="X67" s="550">
        <v>1626.7761081839608</v>
      </c>
      <c r="Y67" s="550">
        <v>1478.865278222569</v>
      </c>
      <c r="Z67" s="550">
        <v>1478.865278222569</v>
      </c>
      <c r="AA67" s="604">
        <v>1478.865278222569</v>
      </c>
      <c r="AB67" s="548">
        <v>0</v>
      </c>
      <c r="AC67" s="548">
        <v>0</v>
      </c>
      <c r="AD67" s="548">
        <v>0</v>
      </c>
      <c r="AE67" s="548">
        <v>0</v>
      </c>
      <c r="AF67" s="548">
        <v>0</v>
      </c>
      <c r="AG67" s="548">
        <v>0</v>
      </c>
    </row>
    <row r="68" spans="1:68" ht="15" customHeight="1">
      <c r="E68" s="70" t="str">
        <f xml:space="preserve"> Dashboard!C$53</f>
        <v>Import duties</v>
      </c>
      <c r="F68" s="541">
        <f xml:space="preserve"> Dashboard!D$53</f>
        <v>0</v>
      </c>
      <c r="G68" s="70" t="str">
        <f xml:space="preserve"> Dashboard!E$53</f>
        <v>$ mn</v>
      </c>
      <c r="H68" s="16"/>
      <c r="I68" s="536">
        <f t="shared" si="11"/>
        <v>0</v>
      </c>
      <c r="J68" s="537">
        <f t="shared" si="12"/>
        <v>0</v>
      </c>
      <c r="K68" s="97"/>
      <c r="M68" s="550">
        <v>0</v>
      </c>
      <c r="N68" s="550">
        <v>0</v>
      </c>
      <c r="O68" s="550">
        <v>0</v>
      </c>
      <c r="P68" s="550">
        <v>0</v>
      </c>
      <c r="Q68" s="550">
        <v>491.55071233406227</v>
      </c>
      <c r="R68" s="550">
        <v>491.55071233406227</v>
      </c>
      <c r="S68" s="550">
        <v>1603.8064417186908</v>
      </c>
      <c r="T68" s="550">
        <v>1603.8064417186908</v>
      </c>
      <c r="U68" s="550">
        <v>1603.8064417186908</v>
      </c>
      <c r="V68" s="550">
        <v>1603.8064417186908</v>
      </c>
      <c r="W68" s="550">
        <v>1603.8064417186908</v>
      </c>
      <c r="X68" s="550">
        <v>2851.6809071348639</v>
      </c>
      <c r="Y68" s="550">
        <v>2648.7244654161732</v>
      </c>
      <c r="Z68" s="550">
        <v>2648.7244654161732</v>
      </c>
      <c r="AA68" s="550">
        <v>2648.7244654161732</v>
      </c>
      <c r="AB68" s="550">
        <v>2648.7244654161732</v>
      </c>
      <c r="AC68" s="550">
        <v>2648.7244654161732</v>
      </c>
      <c r="AD68" s="604">
        <v>2648.7244654161732</v>
      </c>
      <c r="AE68" s="548">
        <v>495.97853207999992</v>
      </c>
      <c r="AF68" s="548">
        <v>495.97853207999992</v>
      </c>
      <c r="AG68" s="548">
        <v>495.97853207999992</v>
      </c>
    </row>
    <row r="69" spans="1:68" ht="15" customHeight="1">
      <c r="E69" s="70" t="str">
        <f xml:space="preserve"> Dashboard!C$54</f>
        <v>Interest Withholding Tax</v>
      </c>
      <c r="F69" s="541">
        <f xml:space="preserve"> Dashboard!D$54</f>
        <v>0</v>
      </c>
      <c r="G69" s="70" t="str">
        <f xml:space="preserve"> Dashboard!E$54</f>
        <v>$ mn</v>
      </c>
      <c r="H69" s="16"/>
      <c r="I69" s="536">
        <f t="shared" si="11"/>
        <v>0</v>
      </c>
      <c r="J69" s="537">
        <f t="shared" si="12"/>
        <v>0</v>
      </c>
      <c r="K69" s="97"/>
      <c r="M69" s="548">
        <v>0</v>
      </c>
      <c r="N69" s="548">
        <v>0</v>
      </c>
      <c r="O69" s="548">
        <v>63.763830264811659</v>
      </c>
      <c r="P69" s="548">
        <v>63.763830264811659</v>
      </c>
      <c r="Q69" s="548">
        <v>63.763830264811659</v>
      </c>
      <c r="R69" s="548">
        <v>63.763830264811659</v>
      </c>
      <c r="S69" s="548">
        <v>12.395036538376893</v>
      </c>
      <c r="T69" s="548">
        <v>12.395036538376893</v>
      </c>
      <c r="U69" s="548">
        <v>12.395036538376893</v>
      </c>
      <c r="V69" s="548">
        <v>12.336912804656777</v>
      </c>
      <c r="W69" s="548">
        <v>12.284064626889108</v>
      </c>
      <c r="X69" s="548">
        <v>67.907440323225927</v>
      </c>
      <c r="Y69" s="548">
        <v>67.907440323225927</v>
      </c>
      <c r="Z69" s="548">
        <v>67.907440323225927</v>
      </c>
      <c r="AA69" s="548">
        <v>67.907440323225927</v>
      </c>
      <c r="AB69" s="548">
        <v>67.907440323225927</v>
      </c>
      <c r="AC69" s="548">
        <v>67.320484266303282</v>
      </c>
      <c r="AD69" s="548">
        <v>67.320484266303282</v>
      </c>
      <c r="AE69" s="548">
        <v>67.320484266303282</v>
      </c>
      <c r="AF69" s="548">
        <v>67.320484266303282</v>
      </c>
      <c r="AG69" s="548">
        <v>63.665470511908374</v>
      </c>
    </row>
    <row r="70" spans="1:68" ht="15" customHeight="1">
      <c r="E70" s="70" t="str">
        <f xml:space="preserve"> Dashboard!C$55</f>
        <v>Dividend withholding tax</v>
      </c>
      <c r="F70" s="541">
        <f xml:space="preserve"> Dashboard!D$55</f>
        <v>99.397085281749398</v>
      </c>
      <c r="G70" s="70" t="str">
        <f xml:space="preserve"> Dashboard!E$55</f>
        <v>$ mn</v>
      </c>
      <c r="H70" s="16"/>
      <c r="I70" s="536">
        <f t="shared" si="11"/>
        <v>0</v>
      </c>
      <c r="J70" s="537">
        <f t="shared" si="12"/>
        <v>0</v>
      </c>
      <c r="K70" s="97"/>
      <c r="M70" s="604">
        <v>99.397085281749398</v>
      </c>
      <c r="N70" s="604">
        <v>99.397085281749398</v>
      </c>
      <c r="O70" s="604">
        <v>51.759926411306658</v>
      </c>
      <c r="P70" s="604">
        <v>0</v>
      </c>
      <c r="Q70" s="604">
        <v>0</v>
      </c>
      <c r="R70" s="604">
        <v>0</v>
      </c>
      <c r="S70" s="604">
        <v>345.02448415591118</v>
      </c>
      <c r="T70" s="604">
        <v>345.02448415591118</v>
      </c>
      <c r="U70" s="604">
        <v>341.74334359308023</v>
      </c>
      <c r="V70" s="604">
        <v>347.09001928108609</v>
      </c>
      <c r="W70" s="604">
        <v>349.9357911724419</v>
      </c>
      <c r="X70" s="604">
        <v>533.5895095700846</v>
      </c>
      <c r="Y70" s="604">
        <v>557.21180719664449</v>
      </c>
      <c r="Z70" s="604">
        <v>558.29106243119941</v>
      </c>
      <c r="AA70" s="548">
        <v>701.02129439032501</v>
      </c>
      <c r="AB70" s="548">
        <v>701.02129439032501</v>
      </c>
      <c r="AC70" s="548">
        <v>705.48335762010413</v>
      </c>
      <c r="AD70" s="548">
        <v>741.58703928175953</v>
      </c>
      <c r="AE70" s="548">
        <v>741.58703928175953</v>
      </c>
      <c r="AF70" s="548">
        <v>739.66209843740887</v>
      </c>
      <c r="AG70" s="548">
        <v>1006.2038831659625</v>
      </c>
    </row>
    <row r="71" spans="1:68" s="3" customFormat="1" ht="15" customHeight="1">
      <c r="A71" s="95"/>
      <c r="B71" s="95"/>
      <c r="C71" s="96"/>
      <c r="E71" s="70" t="str">
        <f xml:space="preserve"> Dashboard!C$56</f>
        <v>WHT on non-resident services</v>
      </c>
      <c r="F71" s="70">
        <f xml:space="preserve"> Dashboard!D$56</f>
        <v>62.560019232842642</v>
      </c>
      <c r="G71" s="70" t="str">
        <f xml:space="preserve"> Dashboard!E$56</f>
        <v>$ mn</v>
      </c>
      <c r="H71" s="95"/>
      <c r="I71" s="970">
        <f t="shared" ref="I71" si="14" xml:space="preserve"> IF(ABS(J71) &gt; CHK_TOL, 1, 0)</f>
        <v>0</v>
      </c>
      <c r="J71" s="537">
        <f t="shared" ref="J71" si="15" xml:space="preserve"> IF(OR(ISTEXT(F71), ISTEXT(INDEX(L71:AG71, $I$5))), 0, F71 - INDEX(L71:AG71, $I$5))</f>
        <v>0</v>
      </c>
      <c r="K71" s="97"/>
      <c r="L71" s="4"/>
      <c r="M71" s="3">
        <v>62.560019232842642</v>
      </c>
      <c r="N71" s="3">
        <v>62.560019232842642</v>
      </c>
      <c r="O71" s="3">
        <v>73.115842294840604</v>
      </c>
      <c r="P71" s="3">
        <v>87.915857269755818</v>
      </c>
      <c r="Q71" s="3">
        <v>87.915857269755818</v>
      </c>
      <c r="R71" s="3">
        <v>87.915857269755818</v>
      </c>
      <c r="S71" s="3">
        <v>320.29421252669931</v>
      </c>
      <c r="AH71" s="4"/>
    </row>
    <row r="72" spans="1:68" ht="15" customHeight="1">
      <c r="E72" s="70" t="str">
        <f xml:space="preserve"> Dashboard!C$58</f>
        <v>Government revenues excl. Gecamines participation</v>
      </c>
      <c r="F72" s="541">
        <f xml:space="preserve"> Dashboard!D$58</f>
        <v>1771.4279690787264</v>
      </c>
      <c r="G72" s="70" t="str">
        <f xml:space="preserve"> Dashboard!E$58</f>
        <v>$ mn</v>
      </c>
      <c r="H72" s="16"/>
      <c r="I72" s="536">
        <f xml:space="preserve"> IF(ABS(J72) &gt; CHK_TOL, 1, 0)</f>
        <v>0</v>
      </c>
      <c r="J72" s="537">
        <f xml:space="preserve"> IF(OR(ISTEXT(F72), ISTEXT(INDEX(L72:AG72, $I$5))), 0, F72 - INDEX(L72:AG72, $I$5))</f>
        <v>0</v>
      </c>
      <c r="K72" s="97"/>
      <c r="M72" s="548">
        <v>1771.4279690787264</v>
      </c>
      <c r="N72" s="548">
        <v>1771.4279690787264</v>
      </c>
      <c r="O72" s="548">
        <v>1387.654681820052</v>
      </c>
      <c r="P72" s="548">
        <v>1171.1522692065837</v>
      </c>
      <c r="Q72" s="548">
        <v>1662.7029815406461</v>
      </c>
      <c r="R72" s="548">
        <v>1662.7029815406461</v>
      </c>
      <c r="S72" s="548">
        <v>11566.056284361917</v>
      </c>
      <c r="T72" s="548">
        <v>11245.762071835219</v>
      </c>
      <c r="U72" s="548">
        <v>11242.480931272388</v>
      </c>
      <c r="V72" s="548">
        <v>11164.578557230539</v>
      </c>
      <c r="W72" s="548">
        <v>11220.667403065063</v>
      </c>
      <c r="X72" s="548">
        <v>14998.878965904019</v>
      </c>
      <c r="Y72" s="548">
        <v>10291.404546824637</v>
      </c>
      <c r="Z72" s="548">
        <v>10256.475230630618</v>
      </c>
      <c r="AA72" s="548">
        <v>10399.205462589744</v>
      </c>
      <c r="AB72" s="548">
        <v>8920.3401843671727</v>
      </c>
      <c r="AC72" s="548">
        <v>8826.6850800270968</v>
      </c>
      <c r="AD72" s="548">
        <v>7971.4124990270302</v>
      </c>
      <c r="AE72" s="548">
        <v>5818.6665656908563</v>
      </c>
      <c r="AF72" s="548">
        <v>5831.4141550119821</v>
      </c>
      <c r="AG72" s="548">
        <v>8723.5857909389233</v>
      </c>
    </row>
    <row r="73" spans="1:68" ht="15" customHeight="1">
      <c r="E73" s="70" t="str">
        <f xml:space="preserve"> Dashboard!C$59</f>
        <v>Gecamines share of net cashflows after tax</v>
      </c>
      <c r="F73" s="541">
        <f xml:space="preserve"> Dashboard!D$59</f>
        <v>110.44120586861044</v>
      </c>
      <c r="G73" s="70" t="str">
        <f xml:space="preserve"> Dashboard!E$59</f>
        <v>$ mn</v>
      </c>
      <c r="H73" s="16"/>
      <c r="I73" s="536">
        <f xml:space="preserve"> IF(ABS(J73) &gt; CHK_TOL, 1, 0)</f>
        <v>0</v>
      </c>
      <c r="J73" s="537">
        <f xml:space="preserve"> IF(OR(ISTEXT(F73), ISTEXT(INDEX(L73:AG73, $I$5))), 0, F73 - INDEX(L73:AG73, $I$5))</f>
        <v>0</v>
      </c>
      <c r="K73" s="97"/>
      <c r="M73" s="604">
        <v>110.44120586861044</v>
      </c>
      <c r="N73" s="604">
        <v>110.44120586861044</v>
      </c>
      <c r="O73" s="604">
        <v>27.242066532266662</v>
      </c>
      <c r="P73" s="604">
        <v>3.9039167062977418</v>
      </c>
      <c r="Q73" s="604">
        <v>3.9039167062977418</v>
      </c>
      <c r="R73" s="604">
        <v>3.9039167062977418</v>
      </c>
      <c r="S73" s="604">
        <v>694.33137418280444</v>
      </c>
      <c r="T73" s="604">
        <v>694.33137418280444</v>
      </c>
      <c r="U73" s="604">
        <v>727.14277981111422</v>
      </c>
      <c r="V73" s="604">
        <v>734.97983798457847</v>
      </c>
      <c r="W73" s="604">
        <v>753.8590019474974</v>
      </c>
      <c r="X73" s="604">
        <v>1294.4023783808934</v>
      </c>
      <c r="Y73" s="604">
        <v>1416.3310757196498</v>
      </c>
      <c r="Z73" s="604">
        <v>1427.3023195912551</v>
      </c>
      <c r="AA73" s="548">
        <v>0</v>
      </c>
      <c r="AB73" s="548">
        <v>0</v>
      </c>
      <c r="AC73" s="548">
        <v>0</v>
      </c>
      <c r="AD73" s="548">
        <v>321.05779046520507</v>
      </c>
      <c r="AE73" s="548">
        <v>321.05779046520507</v>
      </c>
      <c r="AF73" s="548">
        <v>325.63466874323905</v>
      </c>
      <c r="AG73" s="548">
        <v>1730.5752011310076</v>
      </c>
    </row>
    <row r="74" spans="1:68" ht="15" customHeight="1">
      <c r="E74" s="70" t="str">
        <f xml:space="preserve"> Dashboard!C$60</f>
        <v xml:space="preserve">Government revenues incl. Gecamines </v>
      </c>
      <c r="F74" s="541">
        <f xml:space="preserve"> Dashboard!D$60</f>
        <v>1881.8691749473371</v>
      </c>
      <c r="G74" s="70" t="str">
        <f xml:space="preserve"> Dashboard!E$60</f>
        <v>$ mn</v>
      </c>
      <c r="H74" s="16"/>
      <c r="I74" s="536">
        <f xml:space="preserve"> IF(ABS(J74) &gt; CHK_TOL, 1, 0)</f>
        <v>0</v>
      </c>
      <c r="J74" s="537">
        <f xml:space="preserve"> IF(OR(ISTEXT(F74), ISTEXT(INDEX(L74:AG74, $I$5))), 0, F74 - INDEX(L74:AG74, $I$5))</f>
        <v>0</v>
      </c>
      <c r="K74" s="97"/>
      <c r="M74" s="548">
        <v>1881.8691749473371</v>
      </c>
      <c r="N74" s="548">
        <v>1881.8691749473371</v>
      </c>
      <c r="O74" s="548">
        <v>1414.8967483523186</v>
      </c>
      <c r="P74" s="548">
        <v>1175.0561859128816</v>
      </c>
      <c r="Q74" s="548">
        <v>1666.606898246944</v>
      </c>
      <c r="R74" s="548">
        <v>1666.606898246944</v>
      </c>
      <c r="S74" s="548">
        <v>12260.387658544725</v>
      </c>
      <c r="T74" s="548">
        <v>11940.093446018023</v>
      </c>
      <c r="U74" s="548">
        <v>11969.623711083501</v>
      </c>
      <c r="V74" s="548">
        <v>11899.558395215117</v>
      </c>
      <c r="W74" s="548">
        <v>11974.526405012562</v>
      </c>
      <c r="X74" s="548">
        <v>16293.281344284918</v>
      </c>
      <c r="Y74" s="548">
        <v>11707.735622544284</v>
      </c>
      <c r="Z74" s="548">
        <v>11683.777550221872</v>
      </c>
      <c r="AA74" s="548">
        <v>10399.205462589744</v>
      </c>
      <c r="AB74" s="548">
        <v>8920.3401843671727</v>
      </c>
      <c r="AC74" s="548">
        <v>8826.6850800270968</v>
      </c>
      <c r="AD74" s="548">
        <v>8292.4702894922339</v>
      </c>
      <c r="AE74" s="548">
        <v>6139.7243561560617</v>
      </c>
      <c r="AF74" s="548">
        <v>6157.0488237552208</v>
      </c>
      <c r="AG74" s="548">
        <v>10454.160992069934</v>
      </c>
    </row>
    <row r="75" spans="1:68" ht="15" customHeight="1">
      <c r="F75" s="25"/>
      <c r="G75" s="16"/>
      <c r="H75" s="16"/>
      <c r="I75" s="26"/>
      <c r="J75" s="27"/>
      <c r="K75" s="97"/>
    </row>
    <row r="76" spans="1:68" s="31" customFormat="1" ht="15" customHeight="1" collapsed="1">
      <c r="A76" s="34" t="s">
        <v>804</v>
      </c>
      <c r="B76" s="28"/>
      <c r="C76" s="29"/>
      <c r="D76" s="30"/>
      <c r="E76" s="28"/>
      <c r="F76" s="28"/>
      <c r="G76" s="28"/>
      <c r="H76" s="28"/>
      <c r="I76" s="28"/>
      <c r="J76" s="28"/>
      <c r="K76" s="28"/>
      <c r="L76" s="49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49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</row>
    <row r="77" spans="1:68" ht="15" customHeight="1">
      <c r="C77" s="196"/>
      <c r="D77" s="38"/>
      <c r="I77" s="18"/>
      <c r="K77" s="97"/>
    </row>
    <row r="78" spans="1:68" ht="15" customHeight="1">
      <c r="C78" s="17" t="s">
        <v>810</v>
      </c>
    </row>
    <row r="79" spans="1:68" ht="15" customHeight="1">
      <c r="E79" s="41" t="str">
        <f ca="1" xml:space="preserve"> Dashboard!C$74</f>
        <v>SheetChecks: Dashboard</v>
      </c>
      <c r="F79" s="305">
        <f xml:space="preserve"> Dashboard!D$74</f>
        <v>0</v>
      </c>
      <c r="G79" s="41" t="str">
        <f xml:space="preserve"> Dashboard!E$74</f>
        <v>sheet checks</v>
      </c>
      <c r="I79" s="536">
        <f xml:space="preserve"> IF(ABS(J79) &gt; CHK_TOL, 1, 0)</f>
        <v>0</v>
      </c>
      <c r="J79" s="537">
        <f xml:space="preserve"> IF(OR(ISTEXT(F79), ISTEXT(INDEX(L79:AG79, $I$5))), 0, F79 - INDEX(L79:AG79, $I$5))</f>
        <v>0</v>
      </c>
      <c r="M79" s="305"/>
      <c r="N79" s="305"/>
      <c r="O79" s="305">
        <v>0</v>
      </c>
      <c r="P79" s="305">
        <v>0</v>
      </c>
      <c r="Q79" s="305">
        <v>0</v>
      </c>
      <c r="R79" s="305">
        <v>0</v>
      </c>
      <c r="S79" s="305">
        <v>0</v>
      </c>
      <c r="T79" s="305">
        <v>0</v>
      </c>
      <c r="U79" s="305">
        <v>0</v>
      </c>
      <c r="V79" s="305">
        <v>0</v>
      </c>
      <c r="W79" s="305">
        <v>0</v>
      </c>
      <c r="X79" s="305">
        <v>0</v>
      </c>
      <c r="Y79" s="305">
        <v>0</v>
      </c>
      <c r="Z79" s="305">
        <v>0</v>
      </c>
      <c r="AA79" s="305">
        <v>0</v>
      </c>
      <c r="AB79" s="305">
        <v>0</v>
      </c>
      <c r="AC79" s="305">
        <v>0</v>
      </c>
      <c r="AD79" s="305">
        <v>0</v>
      </c>
      <c r="AE79" s="305">
        <v>0</v>
      </c>
      <c r="AF79" s="305">
        <v>0</v>
      </c>
      <c r="AG79" s="305">
        <v>0</v>
      </c>
    </row>
    <row r="80" spans="1:68" ht="15" customHeight="1">
      <c r="E80" s="41" t="str">
        <f ca="1" xml:space="preserve"> SummaryC_Flow!E$94</f>
        <v>SheetChecks: SummaryC_Flow</v>
      </c>
      <c r="F80" s="305">
        <f xml:space="preserve"> SummaryC_Flow!F$94</f>
        <v>0</v>
      </c>
      <c r="G80" s="41" t="str">
        <f xml:space="preserve"> SummaryC_Flow!G$94</f>
        <v>sheet checks</v>
      </c>
      <c r="I80" s="536">
        <f xml:space="preserve"> IF(ABS(J80) &gt; CHK_TOL, 1, 0)</f>
        <v>0</v>
      </c>
      <c r="J80" s="537">
        <f xml:space="preserve"> IF(OR(ISTEXT(F80), ISTEXT(INDEX(L80:AG80, $I$5))), 0, F80 - INDEX(L80:AG80, $I$5))</f>
        <v>0</v>
      </c>
      <c r="M80" s="305"/>
      <c r="N80" s="305"/>
      <c r="O80" s="305">
        <v>0</v>
      </c>
      <c r="P80" s="305">
        <v>0</v>
      </c>
      <c r="Q80" s="305">
        <v>0</v>
      </c>
      <c r="R80" s="305">
        <v>0</v>
      </c>
      <c r="S80" s="305">
        <v>0</v>
      </c>
      <c r="T80" s="305">
        <v>0</v>
      </c>
      <c r="U80" s="305">
        <v>0</v>
      </c>
      <c r="V80" s="305">
        <v>0</v>
      </c>
      <c r="W80" s="305">
        <v>0</v>
      </c>
      <c r="X80" s="305">
        <v>0</v>
      </c>
      <c r="Y80" s="305">
        <v>0</v>
      </c>
      <c r="Z80" s="305">
        <v>0</v>
      </c>
      <c r="AA80" s="305">
        <v>0</v>
      </c>
      <c r="AB80" s="305">
        <v>0</v>
      </c>
      <c r="AC80" s="305">
        <v>0</v>
      </c>
      <c r="AD80" s="305">
        <v>0</v>
      </c>
      <c r="AE80" s="305">
        <v>0</v>
      </c>
      <c r="AF80" s="305">
        <v>0</v>
      </c>
      <c r="AG80" s="305">
        <v>0</v>
      </c>
    </row>
    <row r="81" spans="1:68" ht="15" customHeight="1">
      <c r="E81" s="41" t="str">
        <f ca="1" xml:space="preserve"> Metalkol_Model1!E$1036</f>
        <v>SheetChecks: Metalkol_Model1</v>
      </c>
      <c r="F81" s="305">
        <f xml:space="preserve"> Metalkol_Model1!F$1036</f>
        <v>0</v>
      </c>
      <c r="G81" s="41" t="str">
        <f xml:space="preserve"> Metalkol_Model1!G$1036</f>
        <v>sheet checks</v>
      </c>
      <c r="I81" s="536">
        <f xml:space="preserve"> IF(ABS(J81) &gt; CHK_TOL, 1, 0)</f>
        <v>0</v>
      </c>
      <c r="J81" s="537">
        <f xml:space="preserve"> IF(OR(ISTEXT(F81), ISTEXT(INDEX(L81:AG81, $I$5))), 0, F81 - INDEX(L81:AG81, $I$5))</f>
        <v>0</v>
      </c>
      <c r="M81" s="305"/>
      <c r="N81" s="305"/>
      <c r="O81" s="305">
        <v>0</v>
      </c>
      <c r="P81" s="305">
        <v>0</v>
      </c>
      <c r="Q81" s="305">
        <v>0</v>
      </c>
      <c r="R81" s="305">
        <v>0</v>
      </c>
      <c r="S81" s="305">
        <v>0</v>
      </c>
      <c r="T81" s="305">
        <v>0</v>
      </c>
      <c r="U81" s="305">
        <v>0</v>
      </c>
      <c r="V81" s="305">
        <v>0</v>
      </c>
      <c r="W81" s="305">
        <v>0</v>
      </c>
      <c r="X81" s="305">
        <v>0</v>
      </c>
      <c r="Y81" s="305">
        <v>0</v>
      </c>
      <c r="Z81" s="305">
        <v>0</v>
      </c>
      <c r="AA81" s="305">
        <v>0</v>
      </c>
      <c r="AB81" s="305">
        <v>0</v>
      </c>
      <c r="AC81" s="305">
        <v>0</v>
      </c>
      <c r="AD81" s="305">
        <v>0</v>
      </c>
      <c r="AE81" s="305">
        <v>0</v>
      </c>
      <c r="AF81" s="305">
        <v>0</v>
      </c>
      <c r="AG81" s="305">
        <v>0</v>
      </c>
    </row>
    <row r="82" spans="1:68" ht="15" customHeight="1">
      <c r="E82" s="39" t="str">
        <f ca="1" xml:space="preserve"> Kamoto_2019TR!E$320</f>
        <v>SheetChecks: Kamoto_2019TR</v>
      </c>
      <c r="F82" s="305">
        <f xml:space="preserve"> Kamoto_2019TR!F$320</f>
        <v>0</v>
      </c>
      <c r="G82" s="41" t="str">
        <f xml:space="preserve"> Kamoto_2019TR!G$320</f>
        <v>sheet checks</v>
      </c>
      <c r="I82" s="536">
        <f xml:space="preserve"> IF(ABS(J82) &gt; CHK_TOL, 1, 0)</f>
        <v>0</v>
      </c>
      <c r="J82" s="537">
        <f xml:space="preserve"> IF(OR(ISTEXT(F82), ISTEXT(INDEX(L82:AG82, $I$5))), 0, F82 - INDEX(L82:AG82, $I$5))</f>
        <v>0</v>
      </c>
      <c r="M82" s="305"/>
      <c r="N82" s="305"/>
      <c r="O82" s="305">
        <v>0</v>
      </c>
      <c r="P82" s="305">
        <v>0</v>
      </c>
      <c r="Q82" s="305">
        <v>0</v>
      </c>
      <c r="R82" s="305">
        <v>0</v>
      </c>
      <c r="S82" s="305">
        <v>0</v>
      </c>
      <c r="T82" s="305">
        <v>0</v>
      </c>
      <c r="U82" s="305">
        <v>0</v>
      </c>
      <c r="V82" s="305">
        <v>0</v>
      </c>
      <c r="W82" s="305">
        <v>0</v>
      </c>
      <c r="X82" s="305">
        <v>0</v>
      </c>
      <c r="Y82" s="305">
        <v>0</v>
      </c>
      <c r="Z82" s="305">
        <v>0</v>
      </c>
      <c r="AA82" s="305">
        <v>0</v>
      </c>
      <c r="AB82" s="305">
        <v>0</v>
      </c>
      <c r="AC82" s="305">
        <v>0</v>
      </c>
      <c r="AD82" s="305">
        <v>0</v>
      </c>
      <c r="AE82" s="305">
        <v>0</v>
      </c>
      <c r="AF82" s="305">
        <v>0</v>
      </c>
      <c r="AG82" s="305">
        <v>0</v>
      </c>
    </row>
    <row r="83" spans="1:68" ht="15" customHeight="1">
      <c r="E83" s="39" t="str">
        <f ca="1" xml:space="preserve"> Kamoto_2011TR!E$218</f>
        <v>SheetChecks: Kamoto_2011TR</v>
      </c>
      <c r="F83" s="482">
        <f xml:space="preserve"> Kamoto_2011TR!F$218</f>
        <v>0</v>
      </c>
      <c r="G83" s="41" t="str">
        <f xml:space="preserve"> Kamoto_2011TR!G$218</f>
        <v>sheet checks</v>
      </c>
      <c r="I83" s="536">
        <f xml:space="preserve"> IF(ABS(J83) &gt; CHK_TOL, 1, 0)</f>
        <v>0</v>
      </c>
      <c r="J83" s="537">
        <f xml:space="preserve"> IF(OR(ISTEXT(F83), ISTEXT(INDEX(L83:AG83, $I$5))), 0, F83 - INDEX(L83:AG83, $I$5))</f>
        <v>0</v>
      </c>
      <c r="M83" s="305"/>
      <c r="N83" s="305"/>
      <c r="O83" s="305">
        <v>0</v>
      </c>
      <c r="P83" s="305">
        <v>0</v>
      </c>
      <c r="Q83" s="305">
        <v>0</v>
      </c>
      <c r="R83" s="305">
        <v>0</v>
      </c>
      <c r="S83" s="305">
        <v>0</v>
      </c>
      <c r="T83" s="305">
        <v>0</v>
      </c>
      <c r="U83" s="305">
        <v>0</v>
      </c>
      <c r="V83" s="305">
        <v>0</v>
      </c>
      <c r="W83" s="305">
        <v>0</v>
      </c>
      <c r="X83" s="305">
        <v>0</v>
      </c>
      <c r="Y83" s="305">
        <v>0</v>
      </c>
      <c r="Z83" s="305">
        <v>0</v>
      </c>
      <c r="AA83" s="305">
        <v>0</v>
      </c>
      <c r="AB83" s="305">
        <v>0</v>
      </c>
      <c r="AC83" s="305">
        <v>0</v>
      </c>
      <c r="AD83" s="305">
        <v>0</v>
      </c>
      <c r="AE83" s="305">
        <v>0</v>
      </c>
      <c r="AF83" s="305">
        <v>0</v>
      </c>
      <c r="AG83" s="305">
        <v>0</v>
      </c>
    </row>
    <row r="84" spans="1:68" ht="15" customHeight="1">
      <c r="E84" s="475"/>
      <c r="F84" s="475"/>
      <c r="G84" s="475"/>
      <c r="I84"/>
      <c r="J84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1"/>
      <c r="AA84" s="441"/>
      <c r="AB84" s="441"/>
      <c r="AC84" s="441"/>
      <c r="AD84" s="441"/>
      <c r="AE84" s="441"/>
      <c r="AF84" s="441"/>
      <c r="AG84" s="441"/>
    </row>
    <row r="85" spans="1:68" s="103" customFormat="1" ht="15" customHeight="1">
      <c r="A85" s="246"/>
      <c r="B85" s="246"/>
      <c r="C85" s="247"/>
      <c r="E85" s="32" t="s">
        <v>811</v>
      </c>
      <c r="F85" s="305">
        <f>SUM(F79:F83)</f>
        <v>0</v>
      </c>
      <c r="G85" s="32" t="s">
        <v>113</v>
      </c>
      <c r="I85" s="536">
        <f xml:space="preserve"> IF(ABS(J85) &gt; CHK_TOL, 1, 0)</f>
        <v>0</v>
      </c>
      <c r="J85" s="537">
        <f xml:space="preserve"> IF(OR(ISTEXT(F85), ISTEXT(INDEX(L85:AG85, $I$5))), 0, F85 - INDEX(L85:AG85, $I$5))</f>
        <v>0</v>
      </c>
      <c r="K85" s="253"/>
      <c r="L85" s="529"/>
      <c r="M85" s="305"/>
      <c r="N85" s="305"/>
      <c r="O85" s="305">
        <v>0</v>
      </c>
      <c r="P85" s="305">
        <v>0</v>
      </c>
      <c r="Q85" s="305">
        <v>0</v>
      </c>
      <c r="R85" s="305">
        <v>0</v>
      </c>
      <c r="S85" s="305">
        <v>0</v>
      </c>
      <c r="T85" s="305">
        <v>0</v>
      </c>
      <c r="U85" s="305">
        <v>0</v>
      </c>
      <c r="V85" s="305">
        <v>0</v>
      </c>
      <c r="W85" s="305">
        <v>0</v>
      </c>
      <c r="X85" s="305">
        <v>0</v>
      </c>
      <c r="Y85" s="305">
        <v>0</v>
      </c>
      <c r="Z85" s="305">
        <v>0</v>
      </c>
      <c r="AA85" s="305">
        <v>0</v>
      </c>
      <c r="AB85" s="305">
        <v>0</v>
      </c>
      <c r="AC85" s="305">
        <v>0</v>
      </c>
      <c r="AD85" s="305">
        <v>0</v>
      </c>
      <c r="AE85" s="305">
        <v>0</v>
      </c>
      <c r="AF85" s="305">
        <v>0</v>
      </c>
      <c r="AG85" s="305">
        <v>0</v>
      </c>
      <c r="AH85" s="529"/>
    </row>
    <row r="86" spans="1:68" s="103" customFormat="1" ht="15" customHeight="1">
      <c r="A86" s="246"/>
      <c r="B86" s="246"/>
      <c r="C86" s="247"/>
      <c r="E86" s="32"/>
      <c r="F86" s="32"/>
      <c r="G86" s="32"/>
      <c r="I86" s="210"/>
      <c r="K86" s="253"/>
      <c r="L86" s="529"/>
      <c r="AH86" s="529"/>
    </row>
    <row r="87" spans="1:68" s="31" customFormat="1" ht="15" customHeight="1" collapsed="1">
      <c r="A87" s="34" t="s">
        <v>812</v>
      </c>
      <c r="B87" s="28"/>
      <c r="C87" s="29"/>
      <c r="D87" s="30"/>
      <c r="E87" s="28"/>
      <c r="F87" s="28"/>
      <c r="G87" s="28"/>
      <c r="H87" s="28"/>
      <c r="I87" s="28"/>
      <c r="J87" s="28"/>
      <c r="K87" s="28"/>
      <c r="L87" s="49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49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</row>
    <row r="88" spans="1:68" s="103" customFormat="1" ht="15" customHeight="1">
      <c r="A88" s="246"/>
      <c r="B88" s="246"/>
      <c r="C88" s="247"/>
      <c r="E88" s="32"/>
      <c r="F88" s="32"/>
      <c r="G88" s="32"/>
      <c r="I88" s="210"/>
      <c r="K88" s="253"/>
      <c r="L88" s="529"/>
      <c r="AH88" s="529"/>
    </row>
    <row r="89" spans="1:68" s="103" customFormat="1" ht="15" customHeight="1">
      <c r="A89" s="246"/>
      <c r="B89" s="246"/>
      <c r="C89" s="247"/>
      <c r="E89" s="552" t="s">
        <v>841</v>
      </c>
      <c r="F89" s="553">
        <f ca="1" xml:space="preserve"> TODAY()</f>
        <v>45877</v>
      </c>
      <c r="G89" s="32"/>
      <c r="I89" s="210"/>
      <c r="K89" s="253"/>
      <c r="L89" s="529"/>
      <c r="M89" s="553"/>
      <c r="N89" s="553"/>
      <c r="O89" s="553">
        <v>45848</v>
      </c>
      <c r="P89" s="553">
        <v>45848</v>
      </c>
      <c r="Q89" s="553">
        <v>45831</v>
      </c>
      <c r="R89" s="553">
        <v>45831</v>
      </c>
      <c r="S89" s="553">
        <v>45831</v>
      </c>
      <c r="T89" s="553">
        <v>45831</v>
      </c>
      <c r="U89" s="553">
        <v>45831</v>
      </c>
      <c r="V89" s="553">
        <v>45828</v>
      </c>
      <c r="W89" s="553">
        <v>45828</v>
      </c>
      <c r="X89" s="553">
        <v>45827</v>
      </c>
      <c r="Y89" s="553">
        <v>45825</v>
      </c>
      <c r="Z89" s="553">
        <v>45825</v>
      </c>
      <c r="AA89" s="553">
        <v>45825</v>
      </c>
      <c r="AB89" s="553">
        <v>45825</v>
      </c>
      <c r="AC89" s="553">
        <v>45824</v>
      </c>
      <c r="AD89" s="553">
        <v>45824</v>
      </c>
      <c r="AE89" s="553">
        <v>45824</v>
      </c>
      <c r="AF89" s="553">
        <v>45824</v>
      </c>
      <c r="AG89" s="553">
        <v>45785</v>
      </c>
      <c r="AH89" s="529"/>
    </row>
    <row r="90" spans="1:68" s="103" customFormat="1" ht="15" customHeight="1">
      <c r="A90" s="246"/>
      <c r="B90" s="246"/>
      <c r="C90" s="247"/>
      <c r="E90" s="552" t="s">
        <v>842</v>
      </c>
      <c r="F90" s="554">
        <f ca="1" xml:space="preserve"> NOW()</f>
        <v>45877.520857291667</v>
      </c>
      <c r="G90" s="32"/>
      <c r="I90" s="210"/>
      <c r="K90" s="253"/>
      <c r="L90" s="529"/>
      <c r="M90" s="554"/>
      <c r="N90" s="554"/>
      <c r="O90" s="554">
        <v>0.56666666666666665</v>
      </c>
      <c r="P90" s="554">
        <v>0.56666666666666665</v>
      </c>
      <c r="Q90" s="554">
        <v>45831.727816319442</v>
      </c>
      <c r="R90" s="554">
        <v>45831.727816319442</v>
      </c>
      <c r="S90" s="554">
        <v>45831.727816319442</v>
      </c>
      <c r="T90" s="554">
        <v>45831.569934606479</v>
      </c>
      <c r="U90" s="554">
        <v>45831.569934606479</v>
      </c>
      <c r="V90" s="554">
        <v>45828.367171874997</v>
      </c>
      <c r="W90" s="554">
        <v>45828.366199074073</v>
      </c>
      <c r="X90" s="554">
        <v>45827.70566284722</v>
      </c>
      <c r="Y90" s="554">
        <v>45825.574537962966</v>
      </c>
      <c r="Z90" s="554">
        <v>45825.469885185186</v>
      </c>
      <c r="AA90" s="554">
        <v>45825.457226620369</v>
      </c>
      <c r="AB90" s="554">
        <v>45825.450076273148</v>
      </c>
      <c r="AC90" s="554">
        <v>45824.725783449074</v>
      </c>
      <c r="AD90" s="554">
        <v>45824.721406481483</v>
      </c>
      <c r="AE90" s="554">
        <v>45824.647175694445</v>
      </c>
      <c r="AF90" s="554">
        <v>45824.545244328707</v>
      </c>
      <c r="AG90" s="554">
        <v>45785.90978321759</v>
      </c>
      <c r="AH90" s="529"/>
    </row>
    <row r="91" spans="1:68" ht="15" customHeight="1">
      <c r="E91" s="531" t="s">
        <v>843</v>
      </c>
      <c r="F91" s="537" t="str">
        <f ca="1" xml:space="preserve"> MID(CELL("filename",$A$1), SEARCH("[", CELL("filename",$A$1)) + 1, SEARCH("]", CELL("filename",$A$1)) - SEARCH("[", CELL("filename",$A$1)) - 1)</f>
        <v>Metalkol_July 1a_250721_1105_AW.xlsx</v>
      </c>
      <c r="M91" s="537"/>
      <c r="N91" s="537"/>
      <c r="O91" s="537" t="s">
        <v>1143</v>
      </c>
      <c r="P91" s="537" t="s">
        <v>1143</v>
      </c>
      <c r="Q91" s="537" t="s">
        <v>1143</v>
      </c>
      <c r="R91" s="537" t="s">
        <v>1143</v>
      </c>
      <c r="S91" s="537" t="s">
        <v>1143</v>
      </c>
      <c r="T91" s="537" t="s">
        <v>1105</v>
      </c>
      <c r="U91" s="537" t="s">
        <v>1105</v>
      </c>
      <c r="V91" s="537" t="s">
        <v>1076</v>
      </c>
      <c r="W91" s="537" t="s">
        <v>1076</v>
      </c>
      <c r="X91" s="537" t="s">
        <v>1076</v>
      </c>
      <c r="Y91" s="537" t="s">
        <v>919</v>
      </c>
      <c r="Z91" s="537" t="s">
        <v>919</v>
      </c>
      <c r="AA91" s="537" t="s">
        <v>885</v>
      </c>
      <c r="AB91" s="537" t="s">
        <v>885</v>
      </c>
      <c r="AC91" s="537" t="s">
        <v>885</v>
      </c>
      <c r="AD91" s="537" t="s">
        <v>885</v>
      </c>
      <c r="AE91" s="537" t="s">
        <v>849</v>
      </c>
      <c r="AF91" s="537" t="s">
        <v>849</v>
      </c>
      <c r="AG91" s="537" t="s">
        <v>833</v>
      </c>
    </row>
    <row r="92" spans="1:68" ht="15" customHeight="1">
      <c r="E92" s="531"/>
      <c r="F92" s="537"/>
    </row>
    <row r="93" spans="1:68" s="233" customFormat="1" ht="15" customHeight="1">
      <c r="A93" s="231" t="s">
        <v>163</v>
      </c>
      <c r="B93" s="231"/>
      <c r="C93" s="232"/>
      <c r="I93" s="234"/>
      <c r="K93" s="243"/>
      <c r="L93" s="119"/>
      <c r="AH93" s="119"/>
    </row>
    <row r="94" spans="1:68" ht="72">
      <c r="M94" s="603"/>
      <c r="N94" s="603"/>
      <c r="O94" s="603" t="s">
        <v>1144</v>
      </c>
      <c r="P94" s="603" t="s">
        <v>1144</v>
      </c>
      <c r="Q94" s="603" t="s">
        <v>1144</v>
      </c>
      <c r="R94" s="603" t="s">
        <v>1144</v>
      </c>
      <c r="S94" s="603" t="s">
        <v>1144</v>
      </c>
      <c r="T94" s="603" t="s">
        <v>1128</v>
      </c>
      <c r="U94" s="603" t="s">
        <v>1106</v>
      </c>
      <c r="V94" s="603" t="s">
        <v>1084</v>
      </c>
      <c r="W94" s="603" t="s">
        <v>1084</v>
      </c>
      <c r="X94" s="603" t="s">
        <v>1077</v>
      </c>
      <c r="Y94" s="603" t="s">
        <v>965</v>
      </c>
      <c r="Z94" s="603" t="s">
        <v>920</v>
      </c>
      <c r="AA94" s="603" t="s">
        <v>914</v>
      </c>
      <c r="AB94" s="603" t="s">
        <v>912</v>
      </c>
      <c r="AC94" s="603" t="s">
        <v>889</v>
      </c>
      <c r="AD94" s="603" t="s">
        <v>887</v>
      </c>
      <c r="AE94" s="603" t="s">
        <v>886</v>
      </c>
      <c r="AF94" s="603" t="s">
        <v>847</v>
      </c>
      <c r="AG94" s="603"/>
    </row>
    <row r="95" spans="1:68" ht="34.049999999999997" customHeight="1">
      <c r="M95" s="603"/>
      <c r="N95" s="603"/>
      <c r="O95" s="603"/>
      <c r="P95" s="603"/>
      <c r="Q95" s="603"/>
      <c r="R95" s="603"/>
      <c r="S95" s="603"/>
      <c r="T95" s="603"/>
      <c r="U95" s="603" t="s">
        <v>1113</v>
      </c>
      <c r="V95" s="603"/>
      <c r="W95" s="603"/>
      <c r="X95" s="603"/>
      <c r="Y95" s="603"/>
      <c r="Z95" s="603"/>
      <c r="AA95" s="603"/>
      <c r="AB95" s="603"/>
      <c r="AC95" s="603"/>
      <c r="AD95" s="603"/>
      <c r="AE95" s="603"/>
      <c r="AF95" s="603" t="s">
        <v>848</v>
      </c>
      <c r="AG95" s="603"/>
    </row>
    <row r="96" spans="1:68" ht="15" customHeight="1">
      <c r="M96" s="603"/>
      <c r="N96" s="603"/>
      <c r="O96" s="603"/>
      <c r="P96" s="603"/>
      <c r="Q96" s="603"/>
      <c r="R96" s="603"/>
      <c r="S96" s="603"/>
      <c r="T96" s="603"/>
      <c r="U96" s="603"/>
      <c r="V96" s="603"/>
      <c r="W96" s="603"/>
      <c r="X96" s="603"/>
      <c r="Y96" s="603"/>
      <c r="Z96" s="603"/>
      <c r="AA96" s="603"/>
      <c r="AB96" s="603"/>
      <c r="AC96" s="603"/>
      <c r="AD96" s="603"/>
      <c r="AE96" s="603"/>
      <c r="AF96" s="603" t="s">
        <v>925</v>
      </c>
      <c r="AG96" s="603"/>
    </row>
    <row r="97" spans="13:33" ht="15" customHeight="1">
      <c r="M97" s="603"/>
      <c r="N97" s="603"/>
      <c r="O97" s="603"/>
      <c r="P97" s="603"/>
      <c r="Q97" s="603"/>
      <c r="R97" s="603"/>
      <c r="S97" s="603"/>
      <c r="T97" s="603"/>
      <c r="U97" s="603"/>
      <c r="V97" s="603"/>
      <c r="W97" s="603"/>
      <c r="X97" s="603"/>
      <c r="Y97" s="603"/>
      <c r="Z97" s="603"/>
      <c r="AA97" s="603"/>
      <c r="AB97" s="603"/>
      <c r="AC97" s="603"/>
      <c r="AD97" s="603"/>
      <c r="AE97" s="603"/>
      <c r="AF97" s="603" t="s">
        <v>924</v>
      </c>
      <c r="AG97" s="603"/>
    </row>
    <row r="98" spans="13:33" ht="15" customHeight="1">
      <c r="M98" s="603"/>
      <c r="N98" s="603"/>
      <c r="O98" s="603"/>
      <c r="P98" s="603"/>
      <c r="Q98" s="603"/>
      <c r="R98" s="603"/>
      <c r="S98" s="603"/>
      <c r="T98" s="603"/>
      <c r="U98" s="603"/>
      <c r="V98" s="603"/>
      <c r="W98" s="603"/>
      <c r="X98" s="603"/>
      <c r="Y98" s="603"/>
      <c r="Z98" s="603"/>
      <c r="AA98" s="603"/>
      <c r="AB98" s="603"/>
      <c r="AC98" s="603"/>
      <c r="AD98" s="603"/>
      <c r="AE98" s="603"/>
      <c r="AF98" s="603"/>
      <c r="AG98" s="603"/>
    </row>
  </sheetData>
  <mergeCells count="9">
    <mergeCell ref="AJ18:AS18"/>
    <mergeCell ref="AJ19:AS20"/>
    <mergeCell ref="AJ9:AS11"/>
    <mergeCell ref="AJ12:AS12"/>
    <mergeCell ref="AJ13:AS13"/>
    <mergeCell ref="AJ14:AS14"/>
    <mergeCell ref="AJ15:AS15"/>
    <mergeCell ref="AJ16:AS16"/>
    <mergeCell ref="AJ17:AS17"/>
  </mergeCells>
  <conditionalFormatting sqref="F2">
    <cfRule type="cellIs" dxfId="234" priority="41" stopIfTrue="1" operator="notEqual">
      <formula>0</formula>
    </cfRule>
    <cfRule type="cellIs" dxfId="233" priority="42" stopIfTrue="1" operator="equal">
      <formula>""</formula>
    </cfRule>
  </conditionalFormatting>
  <conditionalFormatting sqref="F3 I63:I74">
    <cfRule type="cellIs" dxfId="232" priority="43" stopIfTrue="1" operator="notEqual">
      <formula>0</formula>
    </cfRule>
    <cfRule type="cellIs" dxfId="231" priority="44" stopIfTrue="1" operator="equal">
      <formula>""</formula>
    </cfRule>
  </conditionalFormatting>
  <conditionalFormatting sqref="F79:F83">
    <cfRule type="cellIs" dxfId="230" priority="65" stopIfTrue="1" operator="notEqual">
      <formula>0</formula>
    </cfRule>
    <cfRule type="cellIs" dxfId="229" priority="66" stopIfTrue="1" operator="equal">
      <formula>""</formula>
    </cfRule>
  </conditionalFormatting>
  <conditionalFormatting sqref="F85">
    <cfRule type="cellIs" dxfId="228" priority="63" stopIfTrue="1" operator="notEqual">
      <formula>0</formula>
    </cfRule>
    <cfRule type="cellIs" dxfId="227" priority="64" stopIfTrue="1" operator="equal">
      <formula>""</formula>
    </cfRule>
  </conditionalFormatting>
  <conditionalFormatting sqref="I9:I24">
    <cfRule type="cellIs" dxfId="226" priority="59" stopIfTrue="1" operator="notEqual">
      <formula>0</formula>
    </cfRule>
    <cfRule type="cellIs" dxfId="225" priority="60" stopIfTrue="1" operator="equal">
      <formula>""</formula>
    </cfRule>
  </conditionalFormatting>
  <conditionalFormatting sqref="I13">
    <cfRule type="cellIs" dxfId="224" priority="57" stopIfTrue="1" operator="notEqual">
      <formula>0</formula>
    </cfRule>
    <cfRule type="cellIs" dxfId="223" priority="58" stopIfTrue="1" operator="equal">
      <formula>""</formula>
    </cfRule>
  </conditionalFormatting>
  <conditionalFormatting sqref="I28:I37 I40:I49 I52:I60">
    <cfRule type="cellIs" dxfId="222" priority="81" stopIfTrue="1" operator="notEqual">
      <formula>0</formula>
    </cfRule>
    <cfRule type="cellIs" dxfId="221" priority="82" stopIfTrue="1" operator="equal">
      <formula>""</formula>
    </cfRule>
  </conditionalFormatting>
  <conditionalFormatting sqref="I32">
    <cfRule type="cellIs" dxfId="220" priority="53" stopIfTrue="1" operator="notEqual">
      <formula>0</formula>
    </cfRule>
    <cfRule type="cellIs" dxfId="219" priority="54" stopIfTrue="1" operator="equal">
      <formula>""</formula>
    </cfRule>
    <cfRule type="cellIs" dxfId="218" priority="55" stopIfTrue="1" operator="notEqual">
      <formula>0</formula>
    </cfRule>
    <cfRule type="cellIs" dxfId="217" priority="56" stopIfTrue="1" operator="equal">
      <formula>""</formula>
    </cfRule>
  </conditionalFormatting>
  <conditionalFormatting sqref="I79:I83 I85">
    <cfRule type="cellIs" dxfId="216" priority="51" stopIfTrue="1" operator="notEqual">
      <formula>0</formula>
    </cfRule>
    <cfRule type="cellIs" dxfId="215" priority="52" stopIfTrue="1" operator="equal">
      <formula>""</formula>
    </cfRule>
  </conditionalFormatting>
  <conditionalFormatting sqref="M79:AG83">
    <cfRule type="cellIs" dxfId="214" priority="1" stopIfTrue="1" operator="notEqual">
      <formula>0</formula>
    </cfRule>
    <cfRule type="cellIs" dxfId="213" priority="2" stopIfTrue="1" operator="equal">
      <formula>""</formula>
    </cfRule>
  </conditionalFormatting>
  <conditionalFormatting sqref="M85:AG85">
    <cfRule type="cellIs" dxfId="212" priority="47" stopIfTrue="1" operator="notEqual">
      <formula>0</formula>
    </cfRule>
    <cfRule type="cellIs" dxfId="211" priority="48" stopIfTrue="1" operator="equal">
      <formula>""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1"/>
  </sheetPr>
  <dimension ref="A1:AK82"/>
  <sheetViews>
    <sheetView showGridLines="0" zoomScale="50" zoomScaleNormal="50" workbookViewId="0">
      <selection activeCell="C20" sqref="C20"/>
    </sheetView>
  </sheetViews>
  <sheetFormatPr baseColWidth="10" defaultColWidth="0" defaultRowHeight="14.4" zeroHeight="1"/>
  <cols>
    <col min="1" max="2" width="2.69921875" style="3" customWidth="1"/>
    <col min="3" max="3" width="44.69921875" style="3" customWidth="1"/>
    <col min="4" max="4" width="14.59765625" style="3" customWidth="1"/>
    <col min="5" max="5" width="10.69921875" style="3" customWidth="1"/>
    <col min="6" max="28" width="8.8984375" style="3" customWidth="1"/>
    <col min="29" max="29" width="2.69921875" style="3" customWidth="1"/>
    <col min="30" max="37" width="0" style="3" hidden="1" customWidth="1"/>
    <col min="38" max="16384" width="8.8984375" style="3" hidden="1"/>
  </cols>
  <sheetData>
    <row r="1" spans="1:29" s="8" customFormat="1" ht="28.8">
      <c r="A1" s="471" t="str">
        <f ca="1" xml:space="preserve"> RIGHT( CELL("filename",A1), LEN( CELL("filename",A1)) - SEARCH("]", CELL("filename",A1)))</f>
        <v>Dashboard</v>
      </c>
      <c r="B1" s="481"/>
      <c r="C1" s="481"/>
      <c r="D1" s="481"/>
      <c r="E1" s="481"/>
      <c r="F1" s="481"/>
      <c r="G1" s="578"/>
      <c r="H1" s="578"/>
      <c r="I1" s="578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481"/>
      <c r="Y1" s="481"/>
      <c r="Z1" s="481"/>
      <c r="AA1" s="481"/>
      <c r="AB1" s="481"/>
      <c r="AC1" s="481"/>
    </row>
    <row r="2" spans="1:29" ht="28.8">
      <c r="A2" s="422"/>
      <c r="B2" s="422"/>
      <c r="C2" s="422"/>
      <c r="D2" s="578"/>
      <c r="E2" s="578"/>
      <c r="F2" s="578"/>
      <c r="G2" s="581" t="str">
        <f xml:space="preserve"> InputsCon!F8</f>
        <v>Metalkol Copper Mine</v>
      </c>
      <c r="H2" s="581"/>
      <c r="I2" s="581"/>
      <c r="J2" s="581"/>
      <c r="K2" s="581"/>
      <c r="L2" s="422"/>
      <c r="M2" s="482">
        <f xml:space="preserve"> Track!$F$85</f>
        <v>0</v>
      </c>
      <c r="N2" s="449" t="s">
        <v>1</v>
      </c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</row>
    <row r="3" spans="1:29" ht="28.8">
      <c r="A3" s="422"/>
      <c r="B3" s="422"/>
      <c r="C3" s="422"/>
      <c r="D3" s="422"/>
      <c r="E3" s="578"/>
      <c r="F3" s="578"/>
      <c r="G3" s="580" t="s">
        <v>745</v>
      </c>
      <c r="H3" s="422"/>
      <c r="I3" s="579">
        <f xml:space="preserve"> InputsCon!F9</f>
        <v>45809</v>
      </c>
      <c r="J3" s="422"/>
      <c r="K3" s="422"/>
      <c r="L3" s="422"/>
      <c r="M3" s="588">
        <f xml:space="preserve"> Track!F3</f>
        <v>0</v>
      </c>
      <c r="N3" s="449" t="s">
        <v>2</v>
      </c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  <c r="AC3" s="422"/>
    </row>
    <row r="4" spans="1:29" ht="25.8">
      <c r="A4" s="422"/>
      <c r="B4" s="422"/>
      <c r="C4" s="424"/>
      <c r="D4" s="423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2"/>
      <c r="X4" s="422"/>
      <c r="Y4" s="422"/>
      <c r="Z4" s="422"/>
      <c r="AA4" s="422"/>
      <c r="AB4" s="422"/>
      <c r="AC4" s="422"/>
    </row>
    <row r="5" spans="1:29">
      <c r="A5" s="422"/>
      <c r="AC5" s="422"/>
    </row>
    <row r="6" spans="1:29">
      <c r="A6" s="422"/>
      <c r="C6" s="449" t="s">
        <v>1035</v>
      </c>
      <c r="D6" s="449"/>
      <c r="E6" s="449"/>
      <c r="F6" s="449"/>
      <c r="AC6" s="422"/>
    </row>
    <row r="7" spans="1:29" s="8" customFormat="1">
      <c r="A7" s="481"/>
      <c r="C7" t="s">
        <v>968</v>
      </c>
      <c r="D7" s="614" t="s">
        <v>969</v>
      </c>
      <c r="E7" t="s">
        <v>622</v>
      </c>
      <c r="F7"/>
      <c r="I7"/>
      <c r="AC7" s="481"/>
    </row>
    <row r="8" spans="1:29" s="8" customFormat="1">
      <c r="A8" s="481"/>
      <c r="C8" s="148" t="s">
        <v>795</v>
      </c>
      <c r="D8" s="125">
        <v>2025</v>
      </c>
      <c r="E8" s="148" t="s">
        <v>62</v>
      </c>
      <c r="F8"/>
      <c r="AC8" s="481"/>
    </row>
    <row r="9" spans="1:29" s="8" customFormat="1">
      <c r="A9" s="481"/>
      <c r="F9"/>
      <c r="AC9" s="481"/>
    </row>
    <row r="10" spans="1:29" s="8" customFormat="1">
      <c r="A10" s="481"/>
      <c r="C10" s="449" t="s">
        <v>1036</v>
      </c>
      <c r="D10" s="449"/>
      <c r="E10" s="449"/>
      <c r="F10" s="449"/>
      <c r="T10" s="413"/>
      <c r="AC10" s="481"/>
    </row>
    <row r="11" spans="1:29" s="8" customFormat="1">
      <c r="A11" s="481"/>
      <c r="F11"/>
      <c r="AC11" s="481"/>
    </row>
    <row r="12" spans="1:29" s="8" customFormat="1">
      <c r="A12" s="481"/>
      <c r="C12" t="s">
        <v>1037</v>
      </c>
      <c r="D12">
        <f>D58</f>
        <v>1771.4279690787264</v>
      </c>
      <c r="E12" t="str">
        <f>E58</f>
        <v>$ mn</v>
      </c>
      <c r="F12"/>
      <c r="AC12" s="481"/>
    </row>
    <row r="13" spans="1:29" s="8" customFormat="1">
      <c r="A13" s="481"/>
      <c r="C13" t="s">
        <v>125</v>
      </c>
      <c r="D13">
        <f>D59</f>
        <v>110.44120586861044</v>
      </c>
      <c r="E13" t="str">
        <f xml:space="preserve"> E60</f>
        <v>$ mn</v>
      </c>
      <c r="F13"/>
      <c r="AC13" s="481"/>
    </row>
    <row r="14" spans="1:29" s="8" customFormat="1">
      <c r="A14" s="481"/>
      <c r="C14" t="s">
        <v>1038</v>
      </c>
      <c r="D14">
        <f>SUM(D12:D13)</f>
        <v>1881.8691749473369</v>
      </c>
      <c r="E14" t="str">
        <f xml:space="preserve"> E13</f>
        <v>$ mn</v>
      </c>
      <c r="F14"/>
      <c r="AC14" s="481"/>
    </row>
    <row r="15" spans="1:29" s="8" customFormat="1">
      <c r="A15" s="481"/>
      <c r="C15" t="s">
        <v>1041</v>
      </c>
      <c r="D15" s="668">
        <f xml:space="preserve"> D42</f>
        <v>0.3549012641154583</v>
      </c>
      <c r="E15" t="s">
        <v>26</v>
      </c>
      <c r="F15"/>
      <c r="AC15" s="481"/>
    </row>
    <row r="16" spans="1:29" s="8" customFormat="1">
      <c r="A16" s="481"/>
      <c r="AC16" s="481"/>
    </row>
    <row r="17" spans="1:29" s="8" customFormat="1">
      <c r="A17" s="481"/>
      <c r="C17" t="s">
        <v>1039</v>
      </c>
      <c r="D17">
        <f>E37</f>
        <v>1762.1298822740898</v>
      </c>
      <c r="E17" t="str">
        <f xml:space="preserve"> E32</f>
        <v>$mn NPV10</v>
      </c>
      <c r="F17"/>
      <c r="AC17" s="481"/>
    </row>
    <row r="18" spans="1:29" s="8" customFormat="1">
      <c r="A18" s="481"/>
      <c r="C18"/>
      <c r="D18"/>
      <c r="E18"/>
      <c r="F18"/>
      <c r="AC18" s="481"/>
    </row>
    <row r="19" spans="1:29" s="8" customFormat="1">
      <c r="A19" s="481"/>
      <c r="C19" s="449" t="str">
        <f>"Project cashflows from: " &amp; $D$8</f>
        <v>Project cashflows from: 2025</v>
      </c>
      <c r="D19" s="449"/>
      <c r="E19" s="449"/>
      <c r="F19" s="449"/>
      <c r="AC19" s="481"/>
    </row>
    <row r="20" spans="1:29">
      <c r="A20" s="422"/>
      <c r="C20" s="6" t="str">
        <f xml:space="preserve"> Metalkol_Model1!E951</f>
        <v>Copper production 2022Fs + actuals</v>
      </c>
      <c r="D20" s="6">
        <f xml:space="preserve"> Metalkol_Model1!O951</f>
        <v>836.90899999999999</v>
      </c>
      <c r="E20" s="6" t="str">
        <f xml:space="preserve"> Metalkol_Model1!G951</f>
        <v>KT Cu</v>
      </c>
      <c r="F20" s="8"/>
      <c r="AC20" s="422"/>
    </row>
    <row r="21" spans="1:29">
      <c r="A21" s="422"/>
      <c r="C21" s="6" t="str">
        <f xml:space="preserve"> Metalkol_Model1!E952</f>
        <v xml:space="preserve">Cobalt production 2022FS + actuals </v>
      </c>
      <c r="D21" s="6">
        <f xml:space="preserve"> Metalkol_Model1!O952</f>
        <v>161.17799999999997</v>
      </c>
      <c r="E21" s="6" t="str">
        <f xml:space="preserve"> Metalkol_Model1!G952</f>
        <v>KT</v>
      </c>
      <c r="F21" s="8"/>
      <c r="AC21" s="422"/>
    </row>
    <row r="22" spans="1:29" s="8" customFormat="1">
      <c r="A22" s="481"/>
      <c r="C22" s="6" t="str">
        <f xml:space="preserve"> Metalkol_Model1!E953</f>
        <v>Ratio Co to Cu production</v>
      </c>
      <c r="D22" s="342">
        <f xml:space="preserve"> Metalkol_Model1!O953</f>
        <v>0.192587246642108</v>
      </c>
      <c r="E22" s="6" t="str">
        <f xml:space="preserve"> Metalkol_Model1!G953</f>
        <v>ratio</v>
      </c>
      <c r="AC22" s="481"/>
    </row>
    <row r="23" spans="1:29" s="8" customFormat="1">
      <c r="A23" s="481"/>
      <c r="C23" s="6" t="str">
        <f xml:space="preserve"> Metalkol_Model1!E963</f>
        <v>Copper net revenue</v>
      </c>
      <c r="D23" s="6">
        <f xml:space="preserve"> Metalkol_Model1!O963</f>
        <v>7048.7685315570543</v>
      </c>
      <c r="E23" s="6" t="str">
        <f xml:space="preserve"> Metalkol_Model1!G963</f>
        <v>$ mn</v>
      </c>
      <c r="AC23" s="481"/>
    </row>
    <row r="24" spans="1:29" s="8" customFormat="1">
      <c r="A24" s="481"/>
      <c r="C24" s="6" t="str">
        <f xml:space="preserve"> Metalkol_Model1!E964</f>
        <v>Cobalt net revenue</v>
      </c>
      <c r="D24" s="6">
        <f xml:space="preserve"> Metalkol_Model1!O964</f>
        <v>4318.6154076934317</v>
      </c>
      <c r="E24" s="6" t="str">
        <f xml:space="preserve"> Metalkol_Model1!G964</f>
        <v>$ mn</v>
      </c>
      <c r="AC24" s="481"/>
    </row>
    <row r="25" spans="1:29" s="8" customFormat="1">
      <c r="A25" s="481"/>
      <c r="C25" s="310" t="str">
        <f xml:space="preserve"> Metalkol_Model1!E965</f>
        <v>Copper &amp; Cobalt net revenue</v>
      </c>
      <c r="D25" s="310">
        <f xml:space="preserve"> Metalkol_Model1!O965</f>
        <v>11367.383939250485</v>
      </c>
      <c r="E25" s="6" t="str">
        <f xml:space="preserve"> Metalkol_Model1!G965</f>
        <v>$ mn</v>
      </c>
      <c r="AC25" s="481"/>
    </row>
    <row r="26" spans="1:29" s="8" customFormat="1">
      <c r="A26" s="481"/>
      <c r="C26" s="6" t="str">
        <f xml:space="preserve"> Metalkol_Model1!E967</f>
        <v>Alternative Operating Cost Profile</v>
      </c>
      <c r="D26" s="6">
        <f xml:space="preserve"> Metalkol_Model1!O967</f>
        <v>6758.5974930344937</v>
      </c>
      <c r="E26" s="6" t="str">
        <f xml:space="preserve"> Metalkol_Model1!G967</f>
        <v>$ mn</v>
      </c>
      <c r="AC26" s="481"/>
    </row>
    <row r="27" spans="1:29" s="8" customFormat="1">
      <c r="A27" s="481"/>
      <c r="C27" s="6" t="str">
        <f xml:space="preserve"> Metalkol_Model1!E968</f>
        <v>Capital Costs inc. Sens.</v>
      </c>
      <c r="D27" s="6">
        <f xml:space="preserve"> Metalkol_Model1!O968</f>
        <v>174.60669228524603</v>
      </c>
      <c r="E27" s="6" t="str">
        <f xml:space="preserve"> Metalkol_Model1!G968</f>
        <v>$ mn</v>
      </c>
      <c r="AC27" s="481"/>
    </row>
    <row r="28" spans="1:29" s="8" customFormat="1">
      <c r="A28" s="481"/>
      <c r="C28" s="466" t="str">
        <f xml:space="preserve"> Metalkol_Model1!E969</f>
        <v>Project costs</v>
      </c>
      <c r="D28" s="466">
        <f xml:space="preserve"> Metalkol_Model1!O969</f>
        <v>6933.2041853197397</v>
      </c>
      <c r="E28" s="6" t="str">
        <f xml:space="preserve"> Metalkol_Model1!G969</f>
        <v>$ mn</v>
      </c>
      <c r="AC28" s="481"/>
    </row>
    <row r="29" spans="1:29" s="8" customFormat="1">
      <c r="A29" s="481"/>
      <c r="C29" s="310" t="str">
        <f xml:space="preserve"> Metalkol_Model1!E971</f>
        <v>Project cashflows before fiscal regime</v>
      </c>
      <c r="D29" s="310">
        <f xml:space="preserve"> Metalkol_Model1!O971</f>
        <v>4434.1797539307463</v>
      </c>
      <c r="E29" s="6" t="str">
        <f xml:space="preserve"> Metalkol_Model1!G971</f>
        <v>$ mn</v>
      </c>
      <c r="F29" s="1"/>
      <c r="AC29" s="481"/>
    </row>
    <row r="30" spans="1:29" s="8" customFormat="1">
      <c r="A30" s="481"/>
      <c r="C30" s="3" t="str">
        <f xml:space="preserve"> C29 &amp; " check"</f>
        <v>Project cashflows before fiscal regime check</v>
      </c>
      <c r="D30" s="305">
        <f xml:space="preserve"> IF( ABS(D29 - D33) &gt; CHK_TOL, 1, 0)</f>
        <v>0</v>
      </c>
      <c r="E30" s="3" t="s">
        <v>113</v>
      </c>
      <c r="F30" s="3"/>
      <c r="AC30" s="481"/>
    </row>
    <row r="31" spans="1:29" s="8" customFormat="1">
      <c r="A31" s="481"/>
      <c r="C31" s="3"/>
      <c r="D31" s="3"/>
      <c r="E31" s="3"/>
      <c r="F31" s="3"/>
      <c r="AC31" s="481"/>
    </row>
    <row r="32" spans="1:29">
      <c r="A32" s="422"/>
      <c r="C32" s="449" t="str">
        <f>"Participant results from: " &amp; $D$8 &amp; " USD mn"</f>
        <v>Participant results from: 2025 USD mn</v>
      </c>
      <c r="D32" s="461" t="s">
        <v>719</v>
      </c>
      <c r="E32" s="461" t="str">
        <f xml:space="preserve"> "$mn NPV" &amp; InputsCon!F14 * 100</f>
        <v>$mn NPV10</v>
      </c>
      <c r="F32" s="449"/>
      <c r="AC32" s="422"/>
    </row>
    <row r="33" spans="1:29">
      <c r="A33" s="422"/>
      <c r="C33" s="3" t="str">
        <f xml:space="preserve"> Metalkol_Model1!E994</f>
        <v>Project cashflows before tax</v>
      </c>
      <c r="D33" s="3">
        <f xml:space="preserve"> Metalkol_Model1!O994</f>
        <v>4434.1797539307463</v>
      </c>
      <c r="E33" s="3">
        <f xml:space="preserve"> Metalkol_Model1!O1008</f>
        <v>3106.3809715017569</v>
      </c>
      <c r="AC33" s="422"/>
    </row>
    <row r="34" spans="1:29">
      <c r="A34" s="422"/>
      <c r="C34" s="6" t="str">
        <f xml:space="preserve"> Metalkol_Model1!E995</f>
        <v>Government revenues excl. Gecamines participation</v>
      </c>
      <c r="D34" s="6">
        <f xml:space="preserve"> Metalkol_Model1!O995</f>
        <v>1771.4279690787264</v>
      </c>
      <c r="E34" s="6">
        <f xml:space="preserve"> Metalkol_Model1!O1009</f>
        <v>1212.9782320588399</v>
      </c>
      <c r="F34" s="6"/>
      <c r="AC34" s="422"/>
    </row>
    <row r="35" spans="1:29">
      <c r="A35" s="422"/>
      <c r="C35" s="6" t="str">
        <f xml:space="preserve"> Metalkol_Model1!E996</f>
        <v>Gecamines share of net cashflows after tax</v>
      </c>
      <c r="D35" s="6">
        <f xml:space="preserve"> Metalkol_Model1!O996</f>
        <v>110.44120586861044</v>
      </c>
      <c r="E35" s="6">
        <f xml:space="preserve"> Metalkol_Model1!O1010</f>
        <v>70.498158917542909</v>
      </c>
      <c r="F35" s="6"/>
      <c r="AC35" s="422"/>
    </row>
    <row r="36" spans="1:29" s="8" customFormat="1">
      <c r="A36" s="481"/>
      <c r="C36" s="6" t="str">
        <f xml:space="preserve"> Metalkol_Model1!E997</f>
        <v>Government including Gecamines</v>
      </c>
      <c r="D36" s="6">
        <f xml:space="preserve"> Metalkol_Model1!O997</f>
        <v>1881.8691749473371</v>
      </c>
      <c r="E36" s="6">
        <f xml:space="preserve"> Metalkol_Model1!O1011</f>
        <v>1283.4763909763831</v>
      </c>
      <c r="F36" s="6"/>
      <c r="AC36" s="481"/>
    </row>
    <row r="37" spans="1:29" s="8" customFormat="1">
      <c r="A37" s="481"/>
      <c r="C37" s="6" t="str">
        <f xml:space="preserve"> Metalkol_Model1!E998</f>
        <v>Parent company net cashflows</v>
      </c>
      <c r="D37" s="6">
        <f xml:space="preserve"> Metalkol_Model1!O998</f>
        <v>2465.8579495956801</v>
      </c>
      <c r="E37" s="6">
        <f xml:space="preserve"> Metalkol_Model1!O1012</f>
        <v>1762.1298822740898</v>
      </c>
      <c r="F37" s="6"/>
      <c r="AC37" s="481"/>
    </row>
    <row r="38" spans="1:29" s="8" customFormat="1">
      <c r="A38" s="481"/>
      <c r="C38" s="6" t="str">
        <f xml:space="preserve"> Metalkol_Model1!E999</f>
        <v>Cu + Co private royalty (treat as distribution of profit)</v>
      </c>
      <c r="D38" s="6">
        <f xml:space="preserve"> Metalkol_Model1!O999</f>
        <v>284.18459848126213</v>
      </c>
      <c r="E38" s="6">
        <f xml:space="preserve"> Metalkol_Model1!O1013</f>
        <v>197.6896279701246</v>
      </c>
      <c r="F38" s="6"/>
      <c r="AC38" s="481"/>
    </row>
    <row r="39" spans="1:29" s="8" customFormat="1">
      <c r="A39" s="481"/>
      <c r="C39" s="6" t="str">
        <f xml:space="preserve"> Metalkol_Model1!E1000</f>
        <v>[Net debt cashflows (3rd party lender)]</v>
      </c>
      <c r="D39" s="6">
        <f xml:space="preserve"> Metalkol_Model1!O1000</f>
        <v>0</v>
      </c>
      <c r="E39" s="6">
        <f xml:space="preserve"> Metalkol_Model1!O1014</f>
        <v>0</v>
      </c>
      <c r="F39" s="6"/>
      <c r="AC39" s="481"/>
    </row>
    <row r="40" spans="1:29" s="8" customFormat="1">
      <c r="A40" s="481"/>
      <c r="C40" s="6" t="str">
        <f xml:space="preserve"> Metalkol_Model1!E1001</f>
        <v>Additional govt revenues incl. in project costs</v>
      </c>
      <c r="D40" s="6">
        <f xml:space="preserve"> Metalkol_Model1!O1001</f>
        <v>197.73196909353254</v>
      </c>
      <c r="E40" s="6">
        <f xml:space="preserve"> Metalkol_Model1!O1015</f>
        <v>136.91492971884031</v>
      </c>
      <c r="F40" s="6"/>
      <c r="AC40" s="481"/>
    </row>
    <row r="41" spans="1:29" s="8" customFormat="1">
      <c r="A41" s="481"/>
      <c r="C41" s="6" t="str">
        <f xml:space="preserve"> Metalkol_Model1!E1002</f>
        <v>Check: project cashflows by time period</v>
      </c>
      <c r="D41" s="305">
        <f xml:space="preserve"> Metalkol_Model1!O1002</f>
        <v>0</v>
      </c>
      <c r="E41" s="305">
        <f xml:space="preserve"> Metalkol_Model1!O1016</f>
        <v>0</v>
      </c>
      <c r="F41" s="6" t="s">
        <v>113</v>
      </c>
      <c r="AC41" s="481"/>
    </row>
    <row r="42" spans="1:29" s="8" customFormat="1">
      <c r="A42" s="481"/>
      <c r="C42" s="6" t="str">
        <f xml:space="preserve"> Metalkol_Model1!E1004</f>
        <v>Government share: excluding payroll &amp; indirect taxes</v>
      </c>
      <c r="D42" s="981">
        <f xml:space="preserve"> (D58 - D52 - D53 - D56) / D33</f>
        <v>0.3549012641154583</v>
      </c>
      <c r="E42" s="669"/>
      <c r="AC42" s="481"/>
    </row>
    <row r="43" spans="1:29" s="8" customFormat="1">
      <c r="A43" s="481"/>
      <c r="C43" s="6" t="str">
        <f xml:space="preserve"> Metalkol_Model1!E1005</f>
        <v>Government share: excluding Gecamines</v>
      </c>
      <c r="D43" s="421">
        <f xml:space="preserve"> D34 / D33</f>
        <v>0.39949394643020891</v>
      </c>
      <c r="E43" s="421">
        <f xml:space="preserve"> Metalkol_Model1!O1018</f>
        <v>0.39047954619437247</v>
      </c>
      <c r="F43" s="6"/>
      <c r="AC43" s="481"/>
    </row>
    <row r="44" spans="1:29" s="8" customFormat="1">
      <c r="A44" s="481"/>
      <c r="C44" s="6" t="str">
        <f xml:space="preserve"> Metalkol_Model1!E1006</f>
        <v>Government share: including Gecamines</v>
      </c>
      <c r="D44" s="421">
        <f xml:space="preserve"> Metalkol_Model1!O1006</f>
        <v>0.4244007413725448</v>
      </c>
      <c r="E44" s="421">
        <f xml:space="preserve"> Metalkol_Model1!O1019</f>
        <v>0.41317417366096459</v>
      </c>
      <c r="F44" s="6"/>
      <c r="AC44" s="481"/>
    </row>
    <row r="45" spans="1:29" s="8" customFormat="1">
      <c r="A45" s="481"/>
      <c r="C45" s="3"/>
      <c r="D45" s="3"/>
      <c r="E45" s="3"/>
      <c r="F45" s="3"/>
      <c r="AC45" s="481"/>
    </row>
    <row r="46" spans="1:29">
      <c r="A46" s="422"/>
      <c r="C46" s="449" t="str">
        <f>"Government results from: " &amp; $D$8 &amp; " USD mn"</f>
        <v>Government results from: 2025 USD mn</v>
      </c>
      <c r="D46" s="461"/>
      <c r="E46" s="461"/>
      <c r="F46" s="449"/>
      <c r="AC46" s="422"/>
    </row>
    <row r="47" spans="1:29">
      <c r="A47" s="422"/>
      <c r="C47" s="296">
        <f xml:space="preserve"> Metalkol_Model1!E975</f>
        <v>0</v>
      </c>
      <c r="D47" s="605" t="str">
        <f xml:space="preserve"> Metalkol_Model1!F975</f>
        <v>top</v>
      </c>
      <c r="E47" s="296"/>
      <c r="F47"/>
      <c r="AC47" s="422"/>
    </row>
    <row r="48" spans="1:29">
      <c r="A48" s="422"/>
      <c r="C48" s="6" t="str">
        <f xml:space="preserve"> Metalkol_Model1!E976</f>
        <v>Cu + Co government royalty</v>
      </c>
      <c r="D48" s="6">
        <f xml:space="preserve"> Metalkol_Model1!O976</f>
        <v>678.56843937384019</v>
      </c>
      <c r="E48" s="6" t="str">
        <f xml:space="preserve"> Metalkol_Model1!G976</f>
        <v>$ mn</v>
      </c>
      <c r="F48" s="1"/>
      <c r="AC48" s="422"/>
    </row>
    <row r="49" spans="1:29" s="8" customFormat="1">
      <c r="A49" s="481"/>
      <c r="C49" s="98" t="str">
        <f xml:space="preserve"> Metalkol_Model1!E977</f>
        <v>Turnover tax (Chiffre d'Affaires 0.3PC)</v>
      </c>
      <c r="D49" s="6">
        <f xml:space="preserve"> Metalkol_Model1!O977</f>
        <v>34.102151817751455</v>
      </c>
      <c r="E49" s="6" t="str">
        <f xml:space="preserve"> Metalkol_Model1!G977</f>
        <v>$ mn</v>
      </c>
      <c r="F49" s="1"/>
      <c r="AC49" s="481"/>
    </row>
    <row r="50" spans="1:29" s="8" customFormat="1">
      <c r="A50" s="481"/>
      <c r="C50" s="6" t="str">
        <f xml:space="preserve"> Metalkol_Model1!E978</f>
        <v>CIT payable</v>
      </c>
      <c r="D50" s="6">
        <f xml:space="preserve"> Metalkol_Model1!O978</f>
        <v>761.62832351185295</v>
      </c>
      <c r="E50" s="6" t="str">
        <f xml:space="preserve"> Metalkol_Model1!G978</f>
        <v>$ mn</v>
      </c>
      <c r="F50" s="1"/>
      <c r="AC50" s="481"/>
    </row>
    <row r="51" spans="1:29" s="8" customFormat="1">
      <c r="A51" s="481"/>
      <c r="C51" s="6" t="str">
        <f xml:space="preserve"> Metalkol_Model1!E979</f>
        <v>Special Tax On Excess Profits</v>
      </c>
      <c r="D51" s="6">
        <f xml:space="preserve"> Metalkol_Model1!O979</f>
        <v>0</v>
      </c>
      <c r="E51" s="6" t="str">
        <f xml:space="preserve"> Metalkol_Model1!G979</f>
        <v>$ mn</v>
      </c>
      <c r="F51" s="1"/>
      <c r="AC51" s="481"/>
    </row>
    <row r="52" spans="1:29" s="8" customFormat="1">
      <c r="A52" s="481"/>
      <c r="C52" s="6" t="str">
        <f xml:space="preserve"> Metalkol_Model1!E980</f>
        <v>Payroll taxes (included in costs)</v>
      </c>
      <c r="D52" s="6">
        <f xml:space="preserve"> Metalkol_Model1!O980</f>
        <v>135.17194986068989</v>
      </c>
      <c r="E52" s="6" t="str">
        <f xml:space="preserve"> Metalkol_Model1!G980</f>
        <v>$ mn</v>
      </c>
      <c r="F52" s="1"/>
      <c r="AC52" s="481"/>
    </row>
    <row r="53" spans="1:29" s="8" customFormat="1">
      <c r="A53" s="481"/>
      <c r="C53" s="6" t="str">
        <f xml:space="preserve"> Metalkol_Model1!E981</f>
        <v>Import duties</v>
      </c>
      <c r="D53" s="6">
        <f xml:space="preserve"> Metalkol_Model1!O981</f>
        <v>0</v>
      </c>
      <c r="E53" s="6" t="str">
        <f xml:space="preserve"> Metalkol_Model1!G981</f>
        <v>$ mn</v>
      </c>
      <c r="F53" s="1"/>
      <c r="AC53" s="481"/>
    </row>
    <row r="54" spans="1:29" s="8" customFormat="1">
      <c r="A54" s="481"/>
      <c r="C54" s="6" t="str">
        <f xml:space="preserve"> Metalkol_Model1!E982</f>
        <v>Interest Withholding Tax</v>
      </c>
      <c r="D54" s="6">
        <f xml:space="preserve"> Metalkol_Model1!O982</f>
        <v>0</v>
      </c>
      <c r="E54" s="6" t="str">
        <f xml:space="preserve"> Metalkol_Model1!G982</f>
        <v>$ mn</v>
      </c>
      <c r="F54" s="1"/>
      <c r="AC54" s="481"/>
    </row>
    <row r="55" spans="1:29" s="8" customFormat="1">
      <c r="A55" s="481"/>
      <c r="C55" s="6" t="str">
        <f xml:space="preserve"> Metalkol_Model1!E983</f>
        <v>Dividend withholding tax</v>
      </c>
      <c r="D55" s="6">
        <f xml:space="preserve"> Metalkol_Model1!O983</f>
        <v>99.397085281749398</v>
      </c>
      <c r="E55" s="6" t="str">
        <f xml:space="preserve"> Metalkol_Model1!G983</f>
        <v>$ mn</v>
      </c>
      <c r="F55" s="1"/>
      <c r="AC55" s="481"/>
    </row>
    <row r="56" spans="1:29" s="8" customFormat="1">
      <c r="A56" s="481"/>
      <c r="C56" s="98" t="str">
        <f xml:space="preserve"> Metalkol_Model1!E984</f>
        <v>WHT on non-resident services</v>
      </c>
      <c r="D56" s="6">
        <f xml:space="preserve"> Metalkol_Model1!O984</f>
        <v>62.560019232842642</v>
      </c>
      <c r="E56" s="6" t="str">
        <f xml:space="preserve"> Metalkol_Model1!G984</f>
        <v>$ mn</v>
      </c>
      <c r="F56" s="1"/>
      <c r="AC56" s="481"/>
    </row>
    <row r="57" spans="1:29" s="8" customFormat="1">
      <c r="A57" s="481"/>
      <c r="C57" s="296">
        <f xml:space="preserve"> Metalkol_Model1!E985</f>
        <v>0</v>
      </c>
      <c r="D57" s="605" t="str">
        <f xml:space="preserve"> Metalkol_Model1!F985</f>
        <v>bottom</v>
      </c>
      <c r="E57" s="296">
        <f xml:space="preserve"> Metalkol_Model1!G985</f>
        <v>0</v>
      </c>
      <c r="F57"/>
      <c r="AC57" s="481"/>
    </row>
    <row r="58" spans="1:29">
      <c r="A58" s="422"/>
      <c r="C58" s="6" t="str">
        <f xml:space="preserve"> Metalkol_Model1!E986</f>
        <v>Government revenues excl. Gecamines participation</v>
      </c>
      <c r="D58" s="6">
        <f xml:space="preserve"> Metalkol_Model1!O986</f>
        <v>1771.4279690787264</v>
      </c>
      <c r="E58" s="6" t="str">
        <f xml:space="preserve"> Metalkol_Model1!G986</f>
        <v>$ mn</v>
      </c>
      <c r="F58" s="1"/>
      <c r="AC58" s="422"/>
    </row>
    <row r="59" spans="1:29" s="8" customFormat="1">
      <c r="A59" s="481"/>
      <c r="C59" s="6" t="str">
        <f xml:space="preserve"> Metalkol_Model1!E987</f>
        <v>Gecamines share of net cashflows after tax</v>
      </c>
      <c r="D59" s="6">
        <f xml:space="preserve"> Metalkol_Model1!O987</f>
        <v>110.44120586861044</v>
      </c>
      <c r="E59" s="6" t="str">
        <f xml:space="preserve"> Metalkol_Model1!G987</f>
        <v>$ mn</v>
      </c>
      <c r="F59" s="1"/>
      <c r="AC59" s="481"/>
    </row>
    <row r="60" spans="1:29" s="8" customFormat="1">
      <c r="A60" s="481"/>
      <c r="C60" s="6" t="str">
        <f xml:space="preserve"> Metalkol_Model1!E988</f>
        <v xml:space="preserve">Government revenues incl. Gecamines </v>
      </c>
      <c r="D60" s="6">
        <f xml:space="preserve"> Metalkol_Model1!O988</f>
        <v>1881.8691749473371</v>
      </c>
      <c r="E60" s="6" t="str">
        <f xml:space="preserve"> Metalkol_Model1!G988</f>
        <v>$ mn</v>
      </c>
      <c r="F60" s="1"/>
      <c r="AC60" s="481"/>
    </row>
    <row r="61" spans="1:29" s="8" customFormat="1">
      <c r="A61" s="481"/>
      <c r="C61" s="3" t="s">
        <v>806</v>
      </c>
      <c r="D61" s="305">
        <f xml:space="preserve"> IF( ABS(D36 - D58 - D59) &gt; CHK_TOL, 1, 0)</f>
        <v>0</v>
      </c>
      <c r="E61" s="3" t="s">
        <v>113</v>
      </c>
      <c r="F61" s="3"/>
      <c r="AC61" s="481"/>
    </row>
    <row r="62" spans="1:29" s="8" customFormat="1">
      <c r="A62" s="481"/>
      <c r="F62" s="3"/>
      <c r="AC62" s="481"/>
    </row>
    <row r="63" spans="1:29">
      <c r="A63" s="422"/>
      <c r="AC63" s="422"/>
    </row>
    <row r="64" spans="1:29">
      <c r="A64" s="422"/>
      <c r="AC64" s="422"/>
    </row>
    <row r="65" spans="1:29">
      <c r="A65" s="422"/>
      <c r="B65" s="422"/>
      <c r="C65" s="422"/>
      <c r="D65" s="422"/>
      <c r="E65" s="422"/>
      <c r="F65" s="422"/>
      <c r="G65" s="422"/>
      <c r="H65" s="422"/>
      <c r="I65" s="422"/>
      <c r="J65" s="422"/>
      <c r="K65" s="422"/>
      <c r="L65" s="422"/>
      <c r="M65" s="422"/>
      <c r="N65" s="422"/>
      <c r="O65" s="422"/>
      <c r="P65" s="422"/>
      <c r="Q65" s="422"/>
      <c r="R65" s="422"/>
      <c r="S65" s="422"/>
      <c r="T65" s="422"/>
      <c r="U65" s="422"/>
      <c r="V65" s="422"/>
      <c r="W65" s="422"/>
      <c r="X65" s="422"/>
      <c r="Y65" s="422"/>
      <c r="Z65" s="422"/>
      <c r="AA65" s="422"/>
      <c r="AB65" s="422"/>
      <c r="AC65" s="422"/>
    </row>
    <row r="66" spans="1:29"/>
    <row r="67" spans="1:29">
      <c r="A67" s="164" t="s">
        <v>804</v>
      </c>
      <c r="B67" s="162"/>
      <c r="C67" s="315"/>
      <c r="D67" s="386"/>
      <c r="E67" s="162"/>
      <c r="F67" s="162"/>
      <c r="G67" s="162"/>
      <c r="H67" s="162"/>
      <c r="I67" s="160"/>
      <c r="J67" s="160"/>
      <c r="K67" s="160"/>
    </row>
    <row r="68" spans="1:29">
      <c r="A68" s="344"/>
      <c r="B68" s="111"/>
      <c r="C68" s="303"/>
      <c r="D68" s="121"/>
      <c r="E68" s="121"/>
      <c r="F68" s="121"/>
      <c r="G68" s="121"/>
      <c r="H68" s="121"/>
      <c r="I68" s="304"/>
      <c r="J68" s="121"/>
      <c r="K68" s="320"/>
    </row>
    <row r="69" spans="1:29">
      <c r="A69" s="344"/>
      <c r="B69" s="111"/>
      <c r="C69" s="393"/>
      <c r="D69" s="393"/>
      <c r="E69"/>
      <c r="F69"/>
      <c r="G69"/>
      <c r="H69"/>
      <c r="I69"/>
      <c r="J69" s="121"/>
      <c r="K69" s="320"/>
    </row>
    <row r="70" spans="1:29" s="8" customFormat="1">
      <c r="A70" s="473"/>
      <c r="B70" s="473"/>
      <c r="C70" s="121" t="str">
        <f xml:space="preserve"> C$30</f>
        <v>Project cashflows before fiscal regime check</v>
      </c>
      <c r="D70" s="305">
        <f xml:space="preserve"> D$30</f>
        <v>0</v>
      </c>
      <c r="E70" s="477" t="str">
        <f xml:space="preserve"> E$30</f>
        <v>check</v>
      </c>
      <c r="F70" s="1"/>
      <c r="G70" s="1"/>
      <c r="H70" s="1"/>
      <c r="I70" s="1"/>
      <c r="J70" s="187"/>
      <c r="K70" s="136"/>
    </row>
    <row r="71" spans="1:29" s="8" customFormat="1">
      <c r="A71" s="473"/>
      <c r="B71" s="473"/>
      <c r="C71" s="121" t="str">
        <f xml:space="preserve"> C41</f>
        <v>Check: project cashflows by time period</v>
      </c>
      <c r="D71" s="305">
        <f xml:space="preserve"> SUM(D41:E41)</f>
        <v>0</v>
      </c>
      <c r="E71" s="477" t="str">
        <f xml:space="preserve"> F41</f>
        <v>check</v>
      </c>
      <c r="F71" s="1"/>
      <c r="G71" s="1"/>
      <c r="H71" s="1"/>
      <c r="I71" s="1"/>
      <c r="J71" s="187"/>
      <c r="K71" s="136"/>
    </row>
    <row r="72" spans="1:29" s="8" customFormat="1">
      <c r="A72" s="473"/>
      <c r="B72" s="473"/>
      <c r="C72" s="121" t="str">
        <f xml:space="preserve"> C$61</f>
        <v>Government revenue check</v>
      </c>
      <c r="D72" s="305">
        <f xml:space="preserve"> D$61</f>
        <v>0</v>
      </c>
      <c r="E72" s="477" t="str">
        <f xml:space="preserve"> E$61</f>
        <v>check</v>
      </c>
      <c r="F72" s="1"/>
      <c r="G72" s="1"/>
      <c r="H72" s="1"/>
      <c r="I72" s="1"/>
      <c r="J72" s="187"/>
      <c r="K72" s="136"/>
    </row>
    <row r="73" spans="1:29" s="8" customFormat="1">
      <c r="A73" s="473"/>
      <c r="B73" s="473"/>
      <c r="C73" s="393"/>
      <c r="D73" s="393"/>
      <c r="E73" s="477"/>
      <c r="F73" s="1"/>
      <c r="G73" s="1"/>
      <c r="H73" s="1"/>
      <c r="I73" s="1"/>
      <c r="J73" s="187"/>
      <c r="K73" s="136"/>
    </row>
    <row r="74" spans="1:29" s="8" customFormat="1">
      <c r="A74" s="473"/>
      <c r="B74" s="473"/>
      <c r="C74" s="121" t="str">
        <f ca="1">"SheetChecks: " &amp; A1</f>
        <v>SheetChecks: Dashboard</v>
      </c>
      <c r="D74" s="305">
        <f xml:space="preserve"> SUM(D69:D73)</f>
        <v>0</v>
      </c>
      <c r="E74" s="121" t="s">
        <v>803</v>
      </c>
      <c r="F74" s="1"/>
      <c r="G74" s="1"/>
      <c r="H74" s="1"/>
      <c r="I74" s="1"/>
      <c r="J74" s="187"/>
      <c r="K74" s="136"/>
    </row>
    <row r="75" spans="1:29">
      <c r="A75" s="344"/>
      <c r="B75" s="111"/>
      <c r="C75" s="303"/>
      <c r="D75" s="121"/>
      <c r="E75"/>
      <c r="F75"/>
      <c r="G75"/>
      <c r="H75"/>
      <c r="I75"/>
      <c r="J75" s="121"/>
      <c r="K75" s="320"/>
    </row>
    <row r="76" spans="1:29">
      <c r="A76" s="344"/>
      <c r="B76" s="111"/>
      <c r="C76" s="303"/>
      <c r="D76" s="121"/>
      <c r="E76" s="121"/>
      <c r="F76" s="121"/>
      <c r="G76" s="121"/>
      <c r="H76" s="121"/>
      <c r="I76" s="304"/>
      <c r="J76" s="121"/>
      <c r="K76" s="320"/>
    </row>
    <row r="77" spans="1:29">
      <c r="A77" s="380" t="s">
        <v>163</v>
      </c>
      <c r="B77" s="380"/>
      <c r="C77" s="232"/>
      <c r="D77" s="381"/>
      <c r="E77" s="381"/>
      <c r="F77" s="381"/>
      <c r="G77" s="381"/>
      <c r="H77" s="381"/>
      <c r="I77" s="382"/>
      <c r="J77" s="381"/>
      <c r="K77" s="383"/>
      <c r="L77" s="383"/>
      <c r="M77" s="383"/>
      <c r="N77" s="383"/>
      <c r="O77" s="383"/>
      <c r="P77" s="383"/>
      <c r="Q77" s="383"/>
      <c r="R77" s="383"/>
      <c r="S77" s="383"/>
      <c r="T77" s="383"/>
      <c r="U77" s="383"/>
      <c r="V77" s="383"/>
      <c r="W77" s="383"/>
      <c r="X77" s="383"/>
      <c r="Y77" s="383"/>
      <c r="Z77" s="383"/>
      <c r="AA77" s="383"/>
      <c r="AB77" s="383"/>
      <c r="AC77" s="383"/>
    </row>
    <row r="78" spans="1:29"/>
    <row r="79" spans="1:29"/>
    <row r="80" spans="1:29"/>
    <row r="81"/>
    <row r="82"/>
  </sheetData>
  <conditionalFormatting sqref="D30">
    <cfRule type="cellIs" dxfId="210" priority="7" stopIfTrue="1" operator="notEqual">
      <formula>0</formula>
    </cfRule>
    <cfRule type="cellIs" dxfId="209" priority="8" stopIfTrue="1" operator="equal">
      <formula>""</formula>
    </cfRule>
  </conditionalFormatting>
  <conditionalFormatting sqref="D61">
    <cfRule type="cellIs" dxfId="208" priority="5" stopIfTrue="1" operator="notEqual">
      <formula>0</formula>
    </cfRule>
    <cfRule type="cellIs" dxfId="207" priority="6" stopIfTrue="1" operator="equal">
      <formula>""</formula>
    </cfRule>
  </conditionalFormatting>
  <conditionalFormatting sqref="D70:D72">
    <cfRule type="cellIs" dxfId="206" priority="11" stopIfTrue="1" operator="notEqual">
      <formula>0</formula>
    </cfRule>
    <cfRule type="cellIs" dxfId="205" priority="12" stopIfTrue="1" operator="equal">
      <formula>""</formula>
    </cfRule>
  </conditionalFormatting>
  <conditionalFormatting sqref="D74">
    <cfRule type="cellIs" dxfId="204" priority="9" stopIfTrue="1" operator="notEqual">
      <formula>0</formula>
    </cfRule>
    <cfRule type="cellIs" dxfId="203" priority="10" stopIfTrue="1" operator="equal">
      <formula>""</formula>
    </cfRule>
  </conditionalFormatting>
  <conditionalFormatting sqref="D41:E41">
    <cfRule type="cellIs" dxfId="202" priority="15" stopIfTrue="1" operator="notEqual">
      <formula>0</formula>
    </cfRule>
    <cfRule type="cellIs" dxfId="201" priority="16" stopIfTrue="1" operator="equal">
      <formula>""</formula>
    </cfRule>
  </conditionalFormatting>
  <conditionalFormatting sqref="M2">
    <cfRule type="cellIs" dxfId="200" priority="3" stopIfTrue="1" operator="notEqual">
      <formula>0</formula>
    </cfRule>
    <cfRule type="cellIs" dxfId="199" priority="4" stopIfTrue="1" operator="equal">
      <formula>""</formula>
    </cfRule>
  </conditionalFormatting>
  <conditionalFormatting sqref="M3">
    <cfRule type="cellIs" dxfId="198" priority="1" stopIfTrue="1" operator="notEqual">
      <formula>0</formula>
    </cfRule>
    <cfRule type="cellIs" dxfId="197" priority="2" stopIfTrue="1" operator="equal">
      <formula>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Scenarios!$G$7:$T$7</xm:f>
          </x14:formula1>
          <xm:sqref>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70C0"/>
  </sheetPr>
  <dimension ref="A1:BG96"/>
  <sheetViews>
    <sheetView zoomScale="85" zoomScaleNormal="85" workbookViewId="0">
      <pane xSplit="11" ySplit="4" topLeftCell="L34" activePane="bottomRight" state="frozen"/>
      <selection pane="topRight" activeCell="K1" sqref="K1"/>
      <selection pane="bottomLeft" activeCell="A5" sqref="A5"/>
      <selection pane="bottomRight" activeCell="M69" sqref="M69"/>
    </sheetView>
  </sheetViews>
  <sheetFormatPr baseColWidth="10" defaultColWidth="0" defaultRowHeight="15" customHeight="1"/>
  <cols>
    <col min="1" max="2" width="1.296875" style="95" customWidth="1"/>
    <col min="3" max="3" width="1.296875" style="96" customWidth="1"/>
    <col min="4" max="4" width="1.296875" style="3" customWidth="1"/>
    <col min="5" max="5" width="60.59765625" style="3" customWidth="1"/>
    <col min="6" max="6" width="12.69921875" style="3" customWidth="1"/>
    <col min="7" max="7" width="20.69921875" style="3" customWidth="1"/>
    <col min="8" max="8" width="20.69921875" style="3" hidden="1" customWidth="1"/>
    <col min="9" max="9" width="25.09765625" style="97" hidden="1" customWidth="1"/>
    <col min="10" max="10" width="12.69921875" style="3" customWidth="1" collapsed="1"/>
    <col min="11" max="11" width="1.59765625" style="98" customWidth="1"/>
    <col min="12" max="48" width="10.69921875" style="3" customWidth="1"/>
    <col min="49" max="57" width="11.69921875" style="3" hidden="1" customWidth="1"/>
    <col min="58" max="59" width="0" style="3" hidden="1" customWidth="1"/>
    <col min="60" max="16384" width="14.59765625" style="3" hidden="1"/>
  </cols>
  <sheetData>
    <row r="1" spans="1:48" s="8" customFormat="1" ht="26.25" customHeight="1">
      <c r="A1" s="398" t="str">
        <f ca="1" xml:space="preserve"> RIGHT(CELL("filename", $A$3), LEN(CELL("filename", $A$3)) - SEARCH("]", CELL("filename", $A$3)))</f>
        <v>SummaryC_Flow</v>
      </c>
      <c r="B1" s="413"/>
      <c r="C1" s="478"/>
      <c r="I1" s="102"/>
      <c r="K1" s="102"/>
    </row>
    <row r="2" spans="1:48" ht="15" customHeight="1">
      <c r="F2" s="482">
        <f xml:space="preserve"> Track!$F$85</f>
        <v>0</v>
      </c>
      <c r="G2" s="401" t="s">
        <v>1</v>
      </c>
      <c r="H2" s="401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5">
        <f xml:space="preserve"> Track!F$3</f>
        <v>0</v>
      </c>
      <c r="G3" s="311" t="s">
        <v>2</v>
      </c>
      <c r="H3" s="311"/>
      <c r="L3" s="7" t="s">
        <v>3</v>
      </c>
      <c r="M3" s="7" t="s">
        <v>3</v>
      </c>
      <c r="N3" s="7" t="s">
        <v>3</v>
      </c>
      <c r="O3" s="7" t="s">
        <v>3</v>
      </c>
      <c r="P3" s="7" t="s">
        <v>3</v>
      </c>
      <c r="Q3" s="7" t="s">
        <v>3</v>
      </c>
      <c r="R3" s="7" t="s">
        <v>3</v>
      </c>
      <c r="S3" s="7" t="s">
        <v>3</v>
      </c>
      <c r="T3" s="7" t="s">
        <v>3</v>
      </c>
      <c r="U3" s="7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7" t="s">
        <v>3</v>
      </c>
      <c r="AA3" s="7" t="s">
        <v>3</v>
      </c>
      <c r="AB3" s="7" t="s">
        <v>3</v>
      </c>
      <c r="AC3" s="7" t="s">
        <v>3</v>
      </c>
      <c r="AD3" s="7" t="s">
        <v>3</v>
      </c>
      <c r="AE3" s="7" t="s">
        <v>4</v>
      </c>
      <c r="AF3" s="7" t="s">
        <v>4</v>
      </c>
      <c r="AG3" s="7" t="s">
        <v>4</v>
      </c>
      <c r="AH3" s="7" t="s">
        <v>4</v>
      </c>
      <c r="AI3" s="7" t="s">
        <v>4</v>
      </c>
      <c r="AJ3" s="7" t="s">
        <v>4</v>
      </c>
      <c r="AK3" s="7" t="s">
        <v>4</v>
      </c>
      <c r="AL3" s="7" t="s">
        <v>4</v>
      </c>
      <c r="AM3" s="7" t="s">
        <v>4</v>
      </c>
      <c r="AN3" s="7" t="s">
        <v>4</v>
      </c>
      <c r="AO3" s="7" t="s">
        <v>4</v>
      </c>
      <c r="AP3" s="7" t="s">
        <v>4</v>
      </c>
      <c r="AQ3" s="7" t="s">
        <v>4</v>
      </c>
      <c r="AR3" s="7" t="s">
        <v>4</v>
      </c>
      <c r="AS3" s="7" t="s">
        <v>4</v>
      </c>
      <c r="AT3" s="7" t="s">
        <v>4</v>
      </c>
      <c r="AU3" s="7" t="s">
        <v>4</v>
      </c>
      <c r="AV3" s="7" t="s">
        <v>4</v>
      </c>
    </row>
    <row r="4" spans="1:48" ht="15" customHeight="1">
      <c r="F4" s="95" t="s">
        <v>5</v>
      </c>
      <c r="G4" s="95" t="s">
        <v>6</v>
      </c>
      <c r="H4" s="95" t="s">
        <v>7</v>
      </c>
      <c r="I4" s="241" t="s">
        <v>8</v>
      </c>
      <c r="J4" s="402"/>
      <c r="L4" s="3">
        <f xml:space="preserve"> 'T&amp;E'!L$11</f>
        <v>1</v>
      </c>
      <c r="M4" s="3">
        <f xml:space="preserve"> 'T&amp;E'!M$11</f>
        <v>2</v>
      </c>
      <c r="N4" s="3">
        <f xml:space="preserve"> 'T&amp;E'!N$11</f>
        <v>3</v>
      </c>
      <c r="O4" s="3">
        <f xml:space="preserve"> 'T&amp;E'!O$11</f>
        <v>4</v>
      </c>
      <c r="P4" s="3">
        <f xml:space="preserve"> 'T&amp;E'!P$11</f>
        <v>5</v>
      </c>
      <c r="Q4" s="3">
        <f xml:space="preserve"> 'T&amp;E'!Q$11</f>
        <v>6</v>
      </c>
      <c r="R4" s="3">
        <f xml:space="preserve"> 'T&amp;E'!R$11</f>
        <v>7</v>
      </c>
      <c r="S4" s="3">
        <f xml:space="preserve"> 'T&amp;E'!S$11</f>
        <v>8</v>
      </c>
      <c r="T4" s="3">
        <f xml:space="preserve"> 'T&amp;E'!T$11</f>
        <v>9</v>
      </c>
      <c r="U4" s="3">
        <f xml:space="preserve"> 'T&amp;E'!U$11</f>
        <v>10</v>
      </c>
      <c r="V4" s="3">
        <f xml:space="preserve"> 'T&amp;E'!V$11</f>
        <v>11</v>
      </c>
      <c r="W4" s="3">
        <f xml:space="preserve"> 'T&amp;E'!W$11</f>
        <v>12</v>
      </c>
      <c r="X4" s="3">
        <f xml:space="preserve"> 'T&amp;E'!X$11</f>
        <v>13</v>
      </c>
      <c r="Y4" s="3">
        <f xml:space="preserve"> 'T&amp;E'!Y$11</f>
        <v>14</v>
      </c>
      <c r="Z4" s="3">
        <f xml:space="preserve"> 'T&amp;E'!Z$11</f>
        <v>15</v>
      </c>
      <c r="AA4" s="3">
        <f xml:space="preserve"> 'T&amp;E'!AA$11</f>
        <v>16</v>
      </c>
      <c r="AB4" s="3">
        <f xml:space="preserve"> 'T&amp;E'!AB$11</f>
        <v>17</v>
      </c>
      <c r="AC4" s="3">
        <f xml:space="preserve"> 'T&amp;E'!AC$11</f>
        <v>18</v>
      </c>
      <c r="AD4" s="3">
        <f xml:space="preserve"> 'T&amp;E'!AD$11</f>
        <v>19</v>
      </c>
      <c r="AE4" s="3">
        <f xml:space="preserve"> 'T&amp;E'!AE$11</f>
        <v>20</v>
      </c>
      <c r="AF4" s="3">
        <f xml:space="preserve"> 'T&amp;E'!AF$11</f>
        <v>21</v>
      </c>
      <c r="AG4" s="3">
        <f xml:space="preserve"> 'T&amp;E'!AG$11</f>
        <v>22</v>
      </c>
      <c r="AH4" s="3">
        <f xml:space="preserve"> 'T&amp;E'!AH$11</f>
        <v>23</v>
      </c>
      <c r="AI4" s="3">
        <f xml:space="preserve"> 'T&amp;E'!AI$11</f>
        <v>24</v>
      </c>
      <c r="AJ4" s="3">
        <f xml:space="preserve"> 'T&amp;E'!AJ$11</f>
        <v>25</v>
      </c>
      <c r="AK4" s="3">
        <f xml:space="preserve"> 'T&amp;E'!AK$11</f>
        <v>26</v>
      </c>
      <c r="AL4" s="3">
        <f xml:space="preserve"> 'T&amp;E'!AL$11</f>
        <v>27</v>
      </c>
      <c r="AM4" s="3">
        <f xml:space="preserve"> 'T&amp;E'!AM$11</f>
        <v>28</v>
      </c>
      <c r="AN4" s="3">
        <f xml:space="preserve"> 'T&amp;E'!AN$11</f>
        <v>29</v>
      </c>
      <c r="AO4" s="3">
        <f xml:space="preserve"> 'T&amp;E'!AO$11</f>
        <v>30</v>
      </c>
      <c r="AP4" s="3">
        <f xml:space="preserve"> 'T&amp;E'!AP$11</f>
        <v>31</v>
      </c>
      <c r="AQ4" s="3">
        <f xml:space="preserve"> 'T&amp;E'!AQ$11</f>
        <v>32</v>
      </c>
      <c r="AR4" s="3">
        <f xml:space="preserve"> 'T&amp;E'!AR$11</f>
        <v>33</v>
      </c>
      <c r="AS4" s="3">
        <f xml:space="preserve"> 'T&amp;E'!AS$11</f>
        <v>34</v>
      </c>
      <c r="AT4" s="3">
        <f xml:space="preserve"> 'T&amp;E'!AT$11</f>
        <v>35</v>
      </c>
      <c r="AU4" s="3">
        <f xml:space="preserve"> 'T&amp;E'!AU$11</f>
        <v>36</v>
      </c>
      <c r="AV4" s="3">
        <f xml:space="preserve"> 'T&amp;E'!AV$11</f>
        <v>37</v>
      </c>
    </row>
    <row r="5" spans="1:48" ht="15" customHeight="1">
      <c r="F5" s="95"/>
      <c r="G5" s="95"/>
      <c r="H5" s="95"/>
      <c r="I5" s="241"/>
      <c r="J5" s="402"/>
      <c r="K5" s="97"/>
    </row>
    <row r="6" spans="1:48" s="406" customFormat="1" ht="15" customHeight="1" collapsed="1">
      <c r="A6" s="403" t="s">
        <v>839</v>
      </c>
      <c r="C6" s="405"/>
      <c r="D6" s="404"/>
      <c r="E6" s="404"/>
      <c r="F6" s="404"/>
      <c r="G6" s="404"/>
      <c r="H6" s="404"/>
      <c r="I6" s="404"/>
      <c r="J6" s="404"/>
      <c r="K6" s="357"/>
      <c r="L6" s="404"/>
      <c r="M6" s="404"/>
      <c r="N6" s="404"/>
      <c r="O6" s="404"/>
      <c r="P6" s="404"/>
      <c r="Q6" s="404"/>
      <c r="R6" s="404"/>
      <c r="S6" s="404"/>
      <c r="T6" s="404"/>
      <c r="U6" s="404"/>
      <c r="V6" s="404"/>
      <c r="W6" s="404"/>
      <c r="X6" s="404"/>
      <c r="Y6" s="404"/>
      <c r="Z6" s="404"/>
      <c r="AA6" s="404"/>
      <c r="AB6" s="404"/>
      <c r="AC6" s="404"/>
      <c r="AD6" s="404"/>
      <c r="AE6" s="404"/>
      <c r="AF6" s="404"/>
      <c r="AG6" s="404"/>
      <c r="AH6" s="404"/>
      <c r="AI6" s="404"/>
      <c r="AJ6" s="404"/>
      <c r="AK6" s="404"/>
      <c r="AL6" s="404"/>
      <c r="AM6" s="404"/>
      <c r="AN6" s="404"/>
      <c r="AO6" s="404"/>
      <c r="AP6" s="404"/>
      <c r="AQ6" s="404"/>
      <c r="AR6" s="404"/>
      <c r="AS6" s="404"/>
      <c r="AT6" s="404"/>
      <c r="AU6" s="404"/>
      <c r="AV6" s="404"/>
    </row>
    <row r="7" spans="1:48" ht="15" customHeight="1">
      <c r="D7" s="6"/>
      <c r="I7" s="3"/>
      <c r="K7" s="97"/>
    </row>
    <row r="8" spans="1:48" ht="15" customHeight="1">
      <c r="B8" s="95" t="s">
        <v>18</v>
      </c>
      <c r="D8" s="6"/>
      <c r="I8" s="3"/>
      <c r="K8" s="97"/>
    </row>
    <row r="9" spans="1:48" ht="15" customHeight="1">
      <c r="D9" s="6"/>
      <c r="E9" s="70" t="str">
        <f xml:space="preserve"> Metalkol_Model1!E819</f>
        <v>Copper production 2022Fs + actuals</v>
      </c>
      <c r="F9" s="70">
        <f xml:space="preserve"> Metalkol_Model1!F819</f>
        <v>0</v>
      </c>
      <c r="G9" s="70" t="str">
        <f xml:space="preserve"> Metalkol_Model1!G819</f>
        <v>KT Cu</v>
      </c>
      <c r="H9" s="70">
        <f xml:space="preserve"> Metalkol_Model1!H819</f>
        <v>0</v>
      </c>
      <c r="I9" s="70">
        <f xml:space="preserve"> Metalkol_Model1!I819</f>
        <v>0</v>
      </c>
      <c r="J9" s="70">
        <f xml:space="preserve"> Metalkol_Model1!J819</f>
        <v>1421.0743320093752</v>
      </c>
      <c r="K9" s="70">
        <f xml:space="preserve"> Metalkol_Model1!K819</f>
        <v>0</v>
      </c>
      <c r="L9" s="70">
        <f xml:space="preserve"> Metalkol_Model1!L819</f>
        <v>0</v>
      </c>
      <c r="M9" s="70">
        <f xml:space="preserve"> Metalkol_Model1!M819</f>
        <v>0</v>
      </c>
      <c r="N9" s="70">
        <f xml:space="preserve"> Metalkol_Model1!N819</f>
        <v>0</v>
      </c>
      <c r="O9" s="70">
        <f xml:space="preserve"> Metalkol_Model1!O819</f>
        <v>0</v>
      </c>
      <c r="P9" s="70">
        <f xml:space="preserve"> Metalkol_Model1!P819</f>
        <v>9.2255633513999982</v>
      </c>
      <c r="Q9" s="70">
        <f xml:space="preserve"> Metalkol_Model1!Q819</f>
        <v>95.205768657975369</v>
      </c>
      <c r="R9" s="70">
        <f xml:space="preserve"> Metalkol_Model1!R819</f>
        <v>80.311999999999998</v>
      </c>
      <c r="S9" s="70">
        <f xml:space="preserve"> Metalkol_Model1!S819</f>
        <v>94.807000000000002</v>
      </c>
      <c r="T9" s="70">
        <f xml:space="preserve"> Metalkol_Model1!T819</f>
        <v>97.94</v>
      </c>
      <c r="U9" s="70">
        <f xml:space="preserve"> Metalkol_Model1!U819</f>
        <v>102.006</v>
      </c>
      <c r="V9" s="70">
        <f xml:space="preserve"> Metalkol_Model1!V819</f>
        <v>104.669</v>
      </c>
      <c r="W9" s="70">
        <f xml:space="preserve"> Metalkol_Model1!W819</f>
        <v>105.101</v>
      </c>
      <c r="X9" s="70">
        <f xml:space="preserve"> Metalkol_Model1!X819</f>
        <v>105.002</v>
      </c>
      <c r="Y9" s="70">
        <f xml:space="preserve"> Metalkol_Model1!Y819</f>
        <v>105.956</v>
      </c>
      <c r="Z9" s="70">
        <f xml:space="preserve"> Metalkol_Model1!Z819</f>
        <v>105.003</v>
      </c>
      <c r="AA9" s="70">
        <f xml:space="preserve"> Metalkol_Model1!AA819</f>
        <v>104.33199999999999</v>
      </c>
      <c r="AB9" s="70">
        <f xml:space="preserve"> Metalkol_Model1!AB819</f>
        <v>105.002</v>
      </c>
      <c r="AC9" s="70">
        <f xml:space="preserve"> Metalkol_Model1!AC819</f>
        <v>104.504</v>
      </c>
      <c r="AD9" s="70">
        <f xml:space="preserve"> Metalkol_Model1!AD819</f>
        <v>102.009</v>
      </c>
      <c r="AE9" s="70">
        <f xml:space="preserve"> Metalkol_Model1!AE819</f>
        <v>0</v>
      </c>
      <c r="AF9" s="70">
        <f xml:space="preserve"> Metalkol_Model1!AF819</f>
        <v>0</v>
      </c>
      <c r="AG9" s="70">
        <f xml:space="preserve"> Metalkol_Model1!AG819</f>
        <v>0</v>
      </c>
      <c r="AH9" s="70">
        <f xml:space="preserve"> Metalkol_Model1!AH819</f>
        <v>0</v>
      </c>
      <c r="AI9" s="70">
        <f xml:space="preserve"> Metalkol_Model1!AI819</f>
        <v>0</v>
      </c>
      <c r="AJ9" s="70">
        <f xml:space="preserve"> Metalkol_Model1!AJ819</f>
        <v>0</v>
      </c>
      <c r="AK9" s="70">
        <f xml:space="preserve"> Metalkol_Model1!AK819</f>
        <v>0</v>
      </c>
      <c r="AL9" s="70">
        <f xml:space="preserve"> Metalkol_Model1!AL819</f>
        <v>0</v>
      </c>
      <c r="AM9" s="70">
        <f xml:space="preserve"> Metalkol_Model1!AM819</f>
        <v>0</v>
      </c>
      <c r="AN9" s="70">
        <f xml:space="preserve"> Metalkol_Model1!AN819</f>
        <v>0</v>
      </c>
      <c r="AO9" s="70">
        <f xml:space="preserve"> Metalkol_Model1!AO819</f>
        <v>0</v>
      </c>
      <c r="AP9" s="70">
        <f xml:space="preserve"> Metalkol_Model1!AP819</f>
        <v>0</v>
      </c>
      <c r="AQ9" s="70">
        <f xml:space="preserve"> Metalkol_Model1!AQ819</f>
        <v>0</v>
      </c>
      <c r="AR9" s="70">
        <f xml:space="preserve"> Metalkol_Model1!AR819</f>
        <v>0</v>
      </c>
      <c r="AS9" s="70">
        <f xml:space="preserve"> Metalkol_Model1!AS819</f>
        <v>0</v>
      </c>
      <c r="AT9" s="70">
        <f xml:space="preserve"> Metalkol_Model1!AT819</f>
        <v>0</v>
      </c>
      <c r="AU9" s="70">
        <f xml:space="preserve"> Metalkol_Model1!AU819</f>
        <v>0</v>
      </c>
      <c r="AV9" s="70">
        <f xml:space="preserve"> Metalkol_Model1!AV819</f>
        <v>0</v>
      </c>
    </row>
    <row r="10" spans="1:48" ht="15" customHeight="1">
      <c r="D10" s="6"/>
      <c r="E10" s="70" t="str">
        <f xml:space="preserve"> Metalkol_Model1!E820</f>
        <v xml:space="preserve">Cobalt production 2022FS + actuals </v>
      </c>
      <c r="F10" s="70">
        <f xml:space="preserve"> Metalkol_Model1!F820</f>
        <v>0</v>
      </c>
      <c r="G10" s="70" t="str">
        <f xml:space="preserve"> Metalkol_Model1!G820</f>
        <v>KT</v>
      </c>
      <c r="H10" s="70">
        <f xml:space="preserve"> Metalkol_Model1!H820</f>
        <v>0</v>
      </c>
      <c r="I10" s="70">
        <f xml:space="preserve"> Metalkol_Model1!I820</f>
        <v>0</v>
      </c>
      <c r="J10" s="70">
        <f xml:space="preserve"> Metalkol_Model1!J820</f>
        <v>280.82510633243999</v>
      </c>
      <c r="K10" s="70">
        <f xml:space="preserve"> Metalkol_Model1!K820</f>
        <v>0</v>
      </c>
      <c r="L10" s="70">
        <f xml:space="preserve"> Metalkol_Model1!L820</f>
        <v>0</v>
      </c>
      <c r="M10" s="70">
        <f xml:space="preserve"> Metalkol_Model1!M820</f>
        <v>0</v>
      </c>
      <c r="N10" s="70">
        <f xml:space="preserve"> Metalkol_Model1!N820</f>
        <v>0</v>
      </c>
      <c r="O10" s="70">
        <f xml:space="preserve"> Metalkol_Model1!O820</f>
        <v>0</v>
      </c>
      <c r="P10" s="70">
        <f xml:space="preserve"> Metalkol_Model1!P820</f>
        <v>0.20840302079999998</v>
      </c>
      <c r="Q10" s="70">
        <f xml:space="preserve"> Metalkol_Model1!Q820</f>
        <v>18.932703311639997</v>
      </c>
      <c r="R10" s="70">
        <f xml:space="preserve"> Metalkol_Model1!R820</f>
        <v>16.391999999999999</v>
      </c>
      <c r="S10" s="70">
        <f xml:space="preserve"> Metalkol_Model1!S820</f>
        <v>20.74</v>
      </c>
      <c r="T10" s="70">
        <f xml:space="preserve"> Metalkol_Model1!T820</f>
        <v>22.472999999999999</v>
      </c>
      <c r="U10" s="70">
        <f xml:space="preserve"> Metalkol_Model1!U820</f>
        <v>20.558</v>
      </c>
      <c r="V10" s="70">
        <f xml:space="preserve"> Metalkol_Model1!V820</f>
        <v>20.343</v>
      </c>
      <c r="W10" s="70">
        <f xml:space="preserve"> Metalkol_Model1!W820</f>
        <v>20.257000000000001</v>
      </c>
      <c r="X10" s="70">
        <f xml:space="preserve"> Metalkol_Model1!X820</f>
        <v>19.748999999999999</v>
      </c>
      <c r="Y10" s="70">
        <f xml:space="preserve"> Metalkol_Model1!Y820</f>
        <v>18.649999999999999</v>
      </c>
      <c r="Z10" s="70">
        <f xml:space="preserve"> Metalkol_Model1!Z820</f>
        <v>20.103999999999999</v>
      </c>
      <c r="AA10" s="70">
        <f xml:space="preserve"> Metalkol_Model1!AA820</f>
        <v>20.074999999999999</v>
      </c>
      <c r="AB10" s="70">
        <f xml:space="preserve"> Metalkol_Model1!AB820</f>
        <v>18.96</v>
      </c>
      <c r="AC10" s="70">
        <f xml:space="preserve"> Metalkol_Model1!AC820</f>
        <v>21.318999999999999</v>
      </c>
      <c r="AD10" s="70">
        <f xml:space="preserve"> Metalkol_Model1!AD820</f>
        <v>22.064</v>
      </c>
      <c r="AE10" s="70">
        <f xml:space="preserve"> Metalkol_Model1!AE820</f>
        <v>0</v>
      </c>
      <c r="AF10" s="70">
        <f xml:space="preserve"> Metalkol_Model1!AF820</f>
        <v>0</v>
      </c>
      <c r="AG10" s="70">
        <f xml:space="preserve"> Metalkol_Model1!AG820</f>
        <v>0</v>
      </c>
      <c r="AH10" s="70">
        <f xml:space="preserve"> Metalkol_Model1!AH820</f>
        <v>0</v>
      </c>
      <c r="AI10" s="70">
        <f xml:space="preserve"> Metalkol_Model1!AI820</f>
        <v>0</v>
      </c>
      <c r="AJ10" s="70">
        <f xml:space="preserve"> Metalkol_Model1!AJ820</f>
        <v>0</v>
      </c>
      <c r="AK10" s="70">
        <f xml:space="preserve"> Metalkol_Model1!AK820</f>
        <v>0</v>
      </c>
      <c r="AL10" s="70">
        <f xml:space="preserve"> Metalkol_Model1!AL820</f>
        <v>0</v>
      </c>
      <c r="AM10" s="70">
        <f xml:space="preserve"> Metalkol_Model1!AM820</f>
        <v>0</v>
      </c>
      <c r="AN10" s="70">
        <f xml:space="preserve"> Metalkol_Model1!AN820</f>
        <v>0</v>
      </c>
      <c r="AO10" s="70">
        <f xml:space="preserve"> Metalkol_Model1!AO820</f>
        <v>0</v>
      </c>
      <c r="AP10" s="70">
        <f xml:space="preserve"> Metalkol_Model1!AP820</f>
        <v>0</v>
      </c>
      <c r="AQ10" s="70">
        <f xml:space="preserve"> Metalkol_Model1!AQ820</f>
        <v>0</v>
      </c>
      <c r="AR10" s="70">
        <f xml:space="preserve"> Metalkol_Model1!AR820</f>
        <v>0</v>
      </c>
      <c r="AS10" s="70">
        <f xml:space="preserve"> Metalkol_Model1!AS820</f>
        <v>0</v>
      </c>
      <c r="AT10" s="70">
        <f xml:space="preserve"> Metalkol_Model1!AT820</f>
        <v>0</v>
      </c>
      <c r="AU10" s="70">
        <f xml:space="preserve"> Metalkol_Model1!AU820</f>
        <v>0</v>
      </c>
      <c r="AV10" s="70">
        <f xml:space="preserve"> Metalkol_Model1!AV820</f>
        <v>0</v>
      </c>
    </row>
    <row r="11" spans="1:48" ht="15" customHeight="1">
      <c r="D11" s="6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</row>
    <row r="12" spans="1:48" ht="15" customHeight="1">
      <c r="B12" s="95" t="s">
        <v>837</v>
      </c>
      <c r="D12" s="6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</row>
    <row r="13" spans="1:48" ht="15" customHeight="1">
      <c r="D13" s="6"/>
      <c r="E13" s="533" t="str">
        <f xml:space="preserve"> Metalkol_Model1!E$91</f>
        <v>Copper realized price: SOM_Contract</v>
      </c>
      <c r="F13" s="533">
        <f xml:space="preserve"> Metalkol_Model1!F$91</f>
        <v>0</v>
      </c>
      <c r="G13" s="533" t="str">
        <f xml:space="preserve"> Metalkol_Model1!G$91</f>
        <v>$ / tonne</v>
      </c>
      <c r="H13" s="533">
        <f xml:space="preserve"> Metalkol_Model1!H$91</f>
        <v>0</v>
      </c>
      <c r="I13" s="533">
        <f xml:space="preserve"> Metalkol_Model1!I$91</f>
        <v>0</v>
      </c>
      <c r="J13" s="533">
        <f xml:space="preserve"> Metalkol_Model1!J$91</f>
        <v>0</v>
      </c>
      <c r="K13" s="533">
        <f xml:space="preserve"> Metalkol_Model1!K$91</f>
        <v>0</v>
      </c>
      <c r="L13" s="533">
        <f xml:space="preserve"> Metalkol_Model1!L$91</f>
        <v>6496.9805415999999</v>
      </c>
      <c r="M13" s="533">
        <f xml:space="preserve"> Metalkol_Model1!M$91</f>
        <v>5153.7817096000008</v>
      </c>
      <c r="N13" s="533">
        <f xml:space="preserve"> Metalkol_Model1!N$91</f>
        <v>4515.8481416000004</v>
      </c>
      <c r="O13" s="533">
        <f xml:space="preserve"> Metalkol_Model1!O$91</f>
        <v>5808.5164319999994</v>
      </c>
      <c r="P13" s="533">
        <f xml:space="preserve"> Metalkol_Model1!P$91</f>
        <v>6165.7834543999998</v>
      </c>
      <c r="Q13" s="533">
        <f xml:space="preserve"> Metalkol_Model1!Q$91</f>
        <v>5649.8719560000009</v>
      </c>
      <c r="R13" s="533">
        <f xml:space="preserve"> Metalkol_Model1!R$91</f>
        <v>5813.1011823999997</v>
      </c>
      <c r="S13" s="533">
        <f xml:space="preserve"> Metalkol_Model1!S$91</f>
        <v>8933.3236551999998</v>
      </c>
      <c r="T13" s="533">
        <f xml:space="preserve"> Metalkol_Model1!T$91</f>
        <v>8448.3487975999997</v>
      </c>
      <c r="U13" s="533">
        <f xml:space="preserve"> Metalkol_Model1!U$91</f>
        <v>8112.6285136000006</v>
      </c>
      <c r="V13" s="533">
        <f xml:space="preserve"> Metalkol_Model1!V$91</f>
        <v>8172.1577944000001</v>
      </c>
      <c r="W13" s="533">
        <f xml:space="preserve"> Metalkol_Model1!W$91</f>
        <v>8281.8681512000003</v>
      </c>
      <c r="X13" s="533">
        <f xml:space="preserve"> Metalkol_Model1!X$91</f>
        <v>8296.8226975999987</v>
      </c>
      <c r="Y13" s="533">
        <f xml:space="preserve"> Metalkol_Model1!Y$91</f>
        <v>8288.342200000001</v>
      </c>
      <c r="Z13" s="533">
        <f xml:space="preserve"> Metalkol_Model1!Z$91</f>
        <v>8276.3045000000002</v>
      </c>
      <c r="AA13" s="533">
        <f xml:space="preserve"> Metalkol_Model1!AA$91</f>
        <v>8289.0868000000009</v>
      </c>
      <c r="AB13" s="533">
        <f xml:space="preserve"> Metalkol_Model1!AB$91</f>
        <v>8476.261022049508</v>
      </c>
      <c r="AC13" s="533">
        <f xml:space="preserve"> Metalkol_Model1!AC$91</f>
        <v>8652.126242490498</v>
      </c>
      <c r="AD13" s="533">
        <f xml:space="preserve"> Metalkol_Model1!AD$91</f>
        <v>8831.5087673403086</v>
      </c>
      <c r="AE13" s="533">
        <f xml:space="preserve"> Metalkol_Model1!AE$91</f>
        <v>9014.4789426871157</v>
      </c>
      <c r="AF13" s="533">
        <f xml:space="preserve"> Metalkol_Model1!AF$91</f>
        <v>9201.1085215408566</v>
      </c>
      <c r="AG13" s="533">
        <f xml:space="preserve"> Metalkol_Model1!AG$91</f>
        <v>9391.4706919716737</v>
      </c>
      <c r="AH13" s="533">
        <f xml:space="preserve"> Metalkol_Model1!AH$91</f>
        <v>9585.6401058111078</v>
      </c>
      <c r="AI13" s="533">
        <f xml:space="preserve"> Metalkol_Model1!AI$91</f>
        <v>9783.6929079273305</v>
      </c>
      <c r="AJ13" s="533">
        <f xml:space="preserve"> Metalkol_Model1!AJ$91</f>
        <v>9985.7067660858793</v>
      </c>
      <c r="AK13" s="533">
        <f xml:space="preserve"> Metalkol_Model1!AK$91</f>
        <v>10191.760901407597</v>
      </c>
      <c r="AL13" s="533">
        <f xml:space="preserve"> Metalkol_Model1!AL$91</f>
        <v>10401.936119435748</v>
      </c>
      <c r="AM13" s="533">
        <f xml:space="preserve"> Metalkol_Model1!AM$91</f>
        <v>10616.314841824464</v>
      </c>
      <c r="AN13" s="533">
        <f xml:space="preserve"> Metalkol_Model1!AN$91</f>
        <v>10834.981138660954</v>
      </c>
      <c r="AO13" s="533">
        <f xml:space="preserve"> Metalkol_Model1!AO$91</f>
        <v>11058.020761434174</v>
      </c>
      <c r="AP13" s="533">
        <f xml:space="preserve"> Metalkol_Model1!AP$91</f>
        <v>11285.521176662856</v>
      </c>
      <c r="AQ13" s="533">
        <f xml:space="preserve"> Metalkol_Model1!AQ$91</f>
        <v>11517.571600196114</v>
      </c>
      <c r="AR13" s="533">
        <f xml:space="preserve"> Metalkol_Model1!AR$91</f>
        <v>11754.263032200037</v>
      </c>
      <c r="AS13" s="533">
        <f xml:space="preserve"> Metalkol_Model1!AS$91</f>
        <v>11995.688292844037</v>
      </c>
      <c r="AT13" s="533">
        <f xml:space="preserve"> Metalkol_Model1!AT$91</f>
        <v>12241.942058700921</v>
      </c>
      <c r="AU13" s="533">
        <f xml:space="preserve"> Metalkol_Model1!AU$91</f>
        <v>12493.120899874939</v>
      </c>
      <c r="AV13" s="533">
        <f xml:space="preserve"> Metalkol_Model1!AV$91</f>
        <v>12749.323317872437</v>
      </c>
    </row>
    <row r="14" spans="1:48" ht="15" customHeight="1">
      <c r="D14" s="6"/>
      <c r="E14" s="533" t="str">
        <f xml:space="preserve"> Metalkol_Model1!E$159</f>
        <v>Cobalt realized Price: SOM_Contract</v>
      </c>
      <c r="F14" s="533">
        <f xml:space="preserve"> Metalkol_Model1!F$159</f>
        <v>0</v>
      </c>
      <c r="G14" s="533" t="str">
        <f xml:space="preserve"> Metalkol_Model1!G$159</f>
        <v>$ / tonne</v>
      </c>
      <c r="H14" s="533">
        <f xml:space="preserve"> Metalkol_Model1!H$159</f>
        <v>0</v>
      </c>
      <c r="I14" s="533">
        <f xml:space="preserve"> Metalkol_Model1!I$159</f>
        <v>0</v>
      </c>
      <c r="J14" s="533">
        <f xml:space="preserve"> Metalkol_Model1!J$159</f>
        <v>0</v>
      </c>
      <c r="K14" s="533" t="e">
        <f xml:space="preserve"> Metalkol_Model1!K$159</f>
        <v>#REF!</v>
      </c>
      <c r="L14" s="533">
        <f xml:space="preserve"> Metalkol_Model1!L$159</f>
        <v>19920.981581921755</v>
      </c>
      <c r="M14" s="533">
        <f xml:space="preserve"> Metalkol_Model1!M$159</f>
        <v>18302.370220466593</v>
      </c>
      <c r="N14" s="533">
        <f xml:space="preserve"> Metalkol_Model1!N$159</f>
        <v>16225.626703739015</v>
      </c>
      <c r="O14" s="533">
        <f xml:space="preserve"> Metalkol_Model1!O$159</f>
        <v>37330.729646172702</v>
      </c>
      <c r="P14" s="533">
        <f xml:space="preserve"> Metalkol_Model1!P$159</f>
        <v>49199.997296038942</v>
      </c>
      <c r="Q14" s="533">
        <f xml:space="preserve"> Metalkol_Model1!Q$159</f>
        <v>21586.73144835007</v>
      </c>
      <c r="R14" s="533">
        <f xml:space="preserve"> Metalkol_Model1!R$159</f>
        <v>20382.570501387789</v>
      </c>
      <c r="S14" s="533">
        <f xml:space="preserve"> Metalkol_Model1!S$159</f>
        <v>34136.239954648387</v>
      </c>
      <c r="T14" s="533">
        <f xml:space="preserve"> Metalkol_Model1!T$159</f>
        <v>42843.533428948969</v>
      </c>
      <c r="U14" s="533">
        <f xml:space="preserve"> Metalkol_Model1!U$159</f>
        <v>22349.386945380375</v>
      </c>
      <c r="V14" s="533">
        <f xml:space="preserve"> Metalkol_Model1!V$159</f>
        <v>16825.696182870786</v>
      </c>
      <c r="W14" s="533">
        <f xml:space="preserve"> Metalkol_Model1!W$159</f>
        <v>26328.004101395614</v>
      </c>
      <c r="X14" s="533">
        <f xml:space="preserve"> Metalkol_Model1!X$159</f>
        <v>26328.004101395614</v>
      </c>
      <c r="Y14" s="533">
        <f xml:space="preserve"> Metalkol_Model1!Y$159</f>
        <v>26328.004101395614</v>
      </c>
      <c r="Z14" s="533">
        <f xml:space="preserve"> Metalkol_Model1!Z$159</f>
        <v>26328.004101395614</v>
      </c>
      <c r="AA14" s="533">
        <f xml:space="preserve"> Metalkol_Model1!AA$159</f>
        <v>26328.004101395614</v>
      </c>
      <c r="AB14" s="533">
        <f xml:space="preserve"> Metalkol_Model1!AB$159</f>
        <v>26932.592924996727</v>
      </c>
      <c r="AC14" s="533">
        <f xml:space="preserve"> Metalkol_Model1!AC$159</f>
        <v>27500.652701468745</v>
      </c>
      <c r="AD14" s="533">
        <f xml:space="preserve"> Metalkol_Model1!AD$159</f>
        <v>28080.073673470208</v>
      </c>
      <c r="AE14" s="533">
        <f xml:space="preserve"> Metalkol_Model1!AE$159</f>
        <v>28671.083064911702</v>
      </c>
      <c r="AF14" s="533">
        <f xml:space="preserve"> Metalkol_Model1!AF$159</f>
        <v>29273.912644182019</v>
      </c>
      <c r="AG14" s="533">
        <f xml:space="preserve"> Metalkol_Model1!AG$159</f>
        <v>29888.798815037746</v>
      </c>
      <c r="AH14" s="533">
        <f xml:space="preserve"> Metalkol_Model1!AH$159</f>
        <v>30515.982709310592</v>
      </c>
      <c r="AI14" s="533">
        <f xml:space="preserve"> Metalkol_Model1!AI$159</f>
        <v>31155.710281468895</v>
      </c>
      <c r="AJ14" s="533">
        <f xml:space="preserve"> Metalkol_Model1!AJ$159</f>
        <v>31808.232405070368</v>
      </c>
      <c r="AK14" s="533">
        <f xml:space="preserve"> Metalkol_Model1!AK$159</f>
        <v>32473.804971143865</v>
      </c>
      <c r="AL14" s="533">
        <f xml:space="preserve"> Metalkol_Model1!AL$159</f>
        <v>33152.688988538823</v>
      </c>
      <c r="AM14" s="533">
        <f xml:space="preserve"> Metalkol_Model1!AM$159</f>
        <v>33845.150686281697</v>
      </c>
      <c r="AN14" s="533">
        <f xml:space="preserve"> Metalkol_Model1!AN$159</f>
        <v>34551.461617979425</v>
      </c>
      <c r="AO14" s="533">
        <f xml:space="preserve"> Metalkol_Model1!AO$159</f>
        <v>35271.898768311097</v>
      </c>
      <c r="AP14" s="533">
        <f xml:space="preserve"> Metalkol_Model1!AP$159</f>
        <v>36006.744661649413</v>
      </c>
      <c r="AQ14" s="533">
        <f xml:space="preserve"> Metalkol_Model1!AQ$159</f>
        <v>36756.287472854485</v>
      </c>
      <c r="AR14" s="533">
        <f xml:space="preserve"> Metalkol_Model1!AR$159</f>
        <v>37520.82114028366</v>
      </c>
      <c r="AS14" s="533">
        <f xml:space="preserve"> Metalkol_Model1!AS$159</f>
        <v>38300.64548106143</v>
      </c>
      <c r="AT14" s="533">
        <f xml:space="preserve"> Metalkol_Model1!AT$159</f>
        <v>39096.06630865475</v>
      </c>
      <c r="AU14" s="533">
        <f xml:space="preserve"> Metalkol_Model1!AU$159</f>
        <v>39907.395552799928</v>
      </c>
      <c r="AV14" s="533">
        <f xml:space="preserve"> Metalkol_Model1!AV$159</f>
        <v>40734.95138182801</v>
      </c>
    </row>
    <row r="15" spans="1:48" ht="15" customHeight="1">
      <c r="D15" s="6"/>
      <c r="E15" s="533"/>
      <c r="F15" s="533"/>
      <c r="G15" s="533"/>
      <c r="H15" s="533"/>
      <c r="I15" s="533"/>
      <c r="J15" s="533"/>
      <c r="K15" s="533"/>
      <c r="L15" s="533"/>
      <c r="M15" s="533"/>
      <c r="N15" s="533"/>
      <c r="O15" s="533"/>
      <c r="P15" s="533"/>
      <c r="Q15" s="533"/>
      <c r="R15" s="533"/>
      <c r="S15" s="533"/>
      <c r="T15" s="533"/>
      <c r="U15" s="533"/>
      <c r="V15" s="533"/>
      <c r="W15" s="533"/>
      <c r="X15" s="533"/>
      <c r="Y15" s="533"/>
      <c r="Z15" s="533"/>
      <c r="AA15" s="533"/>
      <c r="AB15" s="533"/>
      <c r="AC15" s="533"/>
      <c r="AD15" s="533"/>
      <c r="AE15" s="533"/>
      <c r="AF15" s="533"/>
      <c r="AG15" s="533"/>
      <c r="AH15" s="533"/>
      <c r="AI15" s="533"/>
      <c r="AJ15" s="533"/>
      <c r="AK15" s="533"/>
      <c r="AL15" s="533"/>
      <c r="AM15" s="533"/>
      <c r="AN15" s="533"/>
      <c r="AO15" s="533"/>
      <c r="AP15" s="533"/>
      <c r="AQ15" s="533"/>
      <c r="AR15" s="533"/>
      <c r="AS15" s="533"/>
      <c r="AT15" s="533"/>
      <c r="AU15" s="533"/>
      <c r="AV15" s="533"/>
    </row>
    <row r="16" spans="1:48" ht="15" customHeight="1">
      <c r="B16" s="95" t="s">
        <v>784</v>
      </c>
      <c r="D16" s="6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</row>
    <row r="17" spans="2:48" ht="15" customHeight="1">
      <c r="D17" s="6"/>
      <c r="E17" s="70" t="str">
        <f xml:space="preserve"> Metalkol_Model1!E822</f>
        <v>Copper gross revenue (at realized prices)</v>
      </c>
      <c r="F17" s="70">
        <f xml:space="preserve"> Metalkol_Model1!F822</f>
        <v>0</v>
      </c>
      <c r="G17" s="70" t="str">
        <f xml:space="preserve"> Metalkol_Model1!G822</f>
        <v>$ mn</v>
      </c>
      <c r="H17" s="70">
        <f xml:space="preserve"> Metalkol_Model1!H822</f>
        <v>0</v>
      </c>
      <c r="I17" s="70">
        <f xml:space="preserve"> Metalkol_Model1!I822</f>
        <v>0</v>
      </c>
      <c r="J17" s="70">
        <f xml:space="preserve"> Metalkol_Model1!J822</f>
        <v>11467.694807333486</v>
      </c>
      <c r="K17" s="70">
        <f xml:space="preserve"> Metalkol_Model1!K822</f>
        <v>0</v>
      </c>
      <c r="L17" s="70">
        <f xml:space="preserve"> Metalkol_Model1!L822</f>
        <v>0</v>
      </c>
      <c r="M17" s="70">
        <f xml:space="preserve"> Metalkol_Model1!M822</f>
        <v>0</v>
      </c>
      <c r="N17" s="70">
        <f xml:space="preserve"> Metalkol_Model1!N822</f>
        <v>0</v>
      </c>
      <c r="O17" s="70">
        <f xml:space="preserve"> Metalkol_Model1!O822</f>
        <v>0</v>
      </c>
      <c r="P17" s="70">
        <f xml:space="preserve"> Metalkol_Model1!P822</f>
        <v>56.882825869581119</v>
      </c>
      <c r="Q17" s="70">
        <f xml:space="preserve"> Metalkol_Model1!Q822</f>
        <v>537.90040239011887</v>
      </c>
      <c r="R17" s="70">
        <f xml:space="preserve"> Metalkol_Model1!R822</f>
        <v>466.86178216090872</v>
      </c>
      <c r="S17" s="70">
        <f xml:space="preserve"> Metalkol_Model1!S822</f>
        <v>846.94161577854641</v>
      </c>
      <c r="T17" s="70">
        <f xml:space="preserve"> Metalkol_Model1!T822</f>
        <v>827.43128123694396</v>
      </c>
      <c r="U17" s="70">
        <f xml:space="preserve"> Metalkol_Model1!U822</f>
        <v>827.53678415828165</v>
      </c>
      <c r="V17" s="70">
        <f xml:space="preserve"> Metalkol_Model1!V822</f>
        <v>855.37158418205354</v>
      </c>
      <c r="W17" s="70">
        <f xml:space="preserve"> Metalkol_Model1!W822</f>
        <v>870.43262455927129</v>
      </c>
      <c r="X17" s="70">
        <f xml:space="preserve"> Metalkol_Model1!X822</f>
        <v>871.18297689339511</v>
      </c>
      <c r="Y17" s="70">
        <f xml:space="preserve"> Metalkol_Model1!Y822</f>
        <v>878.19958614320012</v>
      </c>
      <c r="Z17" s="70">
        <f xml:space="preserve"> Metalkol_Model1!Z822</f>
        <v>869.03680141350003</v>
      </c>
      <c r="AA17" s="70">
        <f xml:space="preserve"> Metalkol_Model1!AA822</f>
        <v>864.81700401760008</v>
      </c>
      <c r="AB17" s="70">
        <f xml:space="preserve"> Metalkol_Model1!AB822</f>
        <v>890.0243598372424</v>
      </c>
      <c r="AC17" s="70">
        <f xml:space="preserve"> Metalkol_Model1!AC822</f>
        <v>904.18180084522714</v>
      </c>
      <c r="AD17" s="70">
        <f xml:space="preserve"> Metalkol_Model1!AD822</f>
        <v>900.89337784761744</v>
      </c>
      <c r="AE17" s="70">
        <f xml:space="preserve"> Metalkol_Model1!AE822</f>
        <v>0</v>
      </c>
      <c r="AF17" s="70">
        <f xml:space="preserve"> Metalkol_Model1!AF822</f>
        <v>0</v>
      </c>
      <c r="AG17" s="70">
        <f xml:space="preserve"> Metalkol_Model1!AG822</f>
        <v>0</v>
      </c>
      <c r="AH17" s="70">
        <f xml:space="preserve"> Metalkol_Model1!AH822</f>
        <v>0</v>
      </c>
      <c r="AI17" s="70">
        <f xml:space="preserve"> Metalkol_Model1!AI822</f>
        <v>0</v>
      </c>
      <c r="AJ17" s="70">
        <f xml:space="preserve"> Metalkol_Model1!AJ822</f>
        <v>0</v>
      </c>
      <c r="AK17" s="70">
        <f xml:space="preserve"> Metalkol_Model1!AK822</f>
        <v>0</v>
      </c>
      <c r="AL17" s="70">
        <f xml:space="preserve"> Metalkol_Model1!AL822</f>
        <v>0</v>
      </c>
      <c r="AM17" s="70">
        <f xml:space="preserve"> Metalkol_Model1!AM822</f>
        <v>0</v>
      </c>
      <c r="AN17" s="70">
        <f xml:space="preserve"> Metalkol_Model1!AN822</f>
        <v>0</v>
      </c>
      <c r="AO17" s="70">
        <f xml:space="preserve"> Metalkol_Model1!AO822</f>
        <v>0</v>
      </c>
      <c r="AP17" s="70">
        <f xml:space="preserve"> Metalkol_Model1!AP822</f>
        <v>0</v>
      </c>
      <c r="AQ17" s="70">
        <f xml:space="preserve"> Metalkol_Model1!AQ822</f>
        <v>0</v>
      </c>
      <c r="AR17" s="70">
        <f xml:space="preserve"> Metalkol_Model1!AR822</f>
        <v>0</v>
      </c>
      <c r="AS17" s="70">
        <f xml:space="preserve"> Metalkol_Model1!AS822</f>
        <v>0</v>
      </c>
      <c r="AT17" s="70">
        <f xml:space="preserve"> Metalkol_Model1!AT822</f>
        <v>0</v>
      </c>
      <c r="AU17" s="70">
        <f xml:space="preserve"> Metalkol_Model1!AU822</f>
        <v>0</v>
      </c>
      <c r="AV17" s="70">
        <f xml:space="preserve"> Metalkol_Model1!AV822</f>
        <v>0</v>
      </c>
    </row>
    <row r="18" spans="2:48" ht="15" customHeight="1">
      <c r="D18" s="6"/>
      <c r="E18" s="70" t="str">
        <f xml:space="preserve"> Metalkol_Model1!E823</f>
        <v>Cobalt gross revenue (at realized prices)</v>
      </c>
      <c r="F18" s="70">
        <f xml:space="preserve"> Metalkol_Model1!F823</f>
        <v>0</v>
      </c>
      <c r="G18" s="70" t="str">
        <f xml:space="preserve"> Metalkol_Model1!G823</f>
        <v>$ mn</v>
      </c>
      <c r="H18" s="70">
        <f xml:space="preserve"> Metalkol_Model1!H823</f>
        <v>0</v>
      </c>
      <c r="I18" s="70">
        <f xml:space="preserve"> Metalkol_Model1!I823</f>
        <v>0</v>
      </c>
      <c r="J18" s="70">
        <f xml:space="preserve"> Metalkol_Model1!J823</f>
        <v>7544.2272910711363</v>
      </c>
      <c r="K18" s="70">
        <f xml:space="preserve"> Metalkol_Model1!K823</f>
        <v>0</v>
      </c>
      <c r="L18" s="70">
        <f xml:space="preserve"> Metalkol_Model1!L823</f>
        <v>0</v>
      </c>
      <c r="M18" s="70">
        <f xml:space="preserve"> Metalkol_Model1!M823</f>
        <v>0</v>
      </c>
      <c r="N18" s="70">
        <f xml:space="preserve"> Metalkol_Model1!N823</f>
        <v>0</v>
      </c>
      <c r="O18" s="70">
        <f xml:space="preserve"> Metalkol_Model1!O823</f>
        <v>0</v>
      </c>
      <c r="P18" s="70">
        <f xml:space="preserve"> Metalkol_Model1!P823</f>
        <v>10.253428059846346</v>
      </c>
      <c r="Q18" s="70">
        <f xml:space="preserve"> Metalkol_Model1!Q823</f>
        <v>408.69518197966062</v>
      </c>
      <c r="R18" s="70">
        <f xml:space="preserve"> Metalkol_Model1!R823</f>
        <v>334.11109565874864</v>
      </c>
      <c r="S18" s="70">
        <f xml:space="preserve"> Metalkol_Model1!S823</f>
        <v>707.98561665940747</v>
      </c>
      <c r="T18" s="70">
        <f xml:space="preserve"> Metalkol_Model1!T823</f>
        <v>962.82272674877015</v>
      </c>
      <c r="U18" s="70">
        <f xml:space="preserve"> Metalkol_Model1!U823</f>
        <v>459.45869682312974</v>
      </c>
      <c r="V18" s="70">
        <f xml:space="preserve"> Metalkol_Model1!V823</f>
        <v>342.2851374481404</v>
      </c>
      <c r="W18" s="70">
        <f xml:space="preserve"> Metalkol_Model1!W823</f>
        <v>533.32637908197103</v>
      </c>
      <c r="X18" s="70">
        <f xml:space="preserve"> Metalkol_Model1!X823</f>
        <v>519.95175299846198</v>
      </c>
      <c r="Y18" s="70">
        <f xml:space="preserve"> Metalkol_Model1!Y823</f>
        <v>491.01727649102816</v>
      </c>
      <c r="Z18" s="70">
        <f xml:space="preserve"> Metalkol_Model1!Z823</f>
        <v>529.29819445445742</v>
      </c>
      <c r="AA18" s="70">
        <f xml:space="preserve"> Metalkol_Model1!AA823</f>
        <v>528.53468233551689</v>
      </c>
      <c r="AB18" s="70">
        <f xml:space="preserve"> Metalkol_Model1!AB823</f>
        <v>510.64196185793799</v>
      </c>
      <c r="AC18" s="70">
        <f xml:space="preserve"> Metalkol_Model1!AC823</f>
        <v>586.28641494261217</v>
      </c>
      <c r="AD18" s="70">
        <f xml:space="preserve"> Metalkol_Model1!AD823</f>
        <v>619.55874553144668</v>
      </c>
      <c r="AE18" s="70">
        <f xml:space="preserve"> Metalkol_Model1!AE823</f>
        <v>0</v>
      </c>
      <c r="AF18" s="70">
        <f xml:space="preserve"> Metalkol_Model1!AF823</f>
        <v>0</v>
      </c>
      <c r="AG18" s="70">
        <f xml:space="preserve"> Metalkol_Model1!AG823</f>
        <v>0</v>
      </c>
      <c r="AH18" s="70">
        <f xml:space="preserve"> Metalkol_Model1!AH823</f>
        <v>0</v>
      </c>
      <c r="AI18" s="70">
        <f xml:space="preserve"> Metalkol_Model1!AI823</f>
        <v>0</v>
      </c>
      <c r="AJ18" s="70">
        <f xml:space="preserve"> Metalkol_Model1!AJ823</f>
        <v>0</v>
      </c>
      <c r="AK18" s="70">
        <f xml:space="preserve"> Metalkol_Model1!AK823</f>
        <v>0</v>
      </c>
      <c r="AL18" s="70">
        <f xml:space="preserve"> Metalkol_Model1!AL823</f>
        <v>0</v>
      </c>
      <c r="AM18" s="70">
        <f xml:space="preserve"> Metalkol_Model1!AM823</f>
        <v>0</v>
      </c>
      <c r="AN18" s="70">
        <f xml:space="preserve"> Metalkol_Model1!AN823</f>
        <v>0</v>
      </c>
      <c r="AO18" s="70">
        <f xml:space="preserve"> Metalkol_Model1!AO823</f>
        <v>0</v>
      </c>
      <c r="AP18" s="70">
        <f xml:space="preserve"> Metalkol_Model1!AP823</f>
        <v>0</v>
      </c>
      <c r="AQ18" s="70">
        <f xml:space="preserve"> Metalkol_Model1!AQ823</f>
        <v>0</v>
      </c>
      <c r="AR18" s="70">
        <f xml:space="preserve"> Metalkol_Model1!AR823</f>
        <v>0</v>
      </c>
      <c r="AS18" s="70">
        <f xml:space="preserve"> Metalkol_Model1!AS823</f>
        <v>0</v>
      </c>
      <c r="AT18" s="70">
        <f xml:space="preserve"> Metalkol_Model1!AT823</f>
        <v>0</v>
      </c>
      <c r="AU18" s="70">
        <f xml:space="preserve"> Metalkol_Model1!AU823</f>
        <v>0</v>
      </c>
      <c r="AV18" s="70">
        <f xml:space="preserve"> Metalkol_Model1!AV823</f>
        <v>0</v>
      </c>
    </row>
    <row r="19" spans="2:48" ht="15" customHeight="1">
      <c r="D19" s="6"/>
      <c r="E19" s="70" t="str">
        <f xml:space="preserve"> Metalkol_Model1!E824</f>
        <v>Copper plus Cobalt revenue</v>
      </c>
      <c r="F19" s="70">
        <f xml:space="preserve"> Metalkol_Model1!F824</f>
        <v>0</v>
      </c>
      <c r="G19" s="70" t="str">
        <f xml:space="preserve"> Metalkol_Model1!G824</f>
        <v>$ mn</v>
      </c>
      <c r="H19" s="70">
        <f xml:space="preserve"> Metalkol_Model1!H824</f>
        <v>0</v>
      </c>
      <c r="I19" s="70">
        <f xml:space="preserve"> Metalkol_Model1!I824</f>
        <v>0</v>
      </c>
      <c r="J19" s="70">
        <f xml:space="preserve"> Metalkol_Model1!J824</f>
        <v>19011.922098404622</v>
      </c>
      <c r="K19" s="70">
        <f xml:space="preserve"> Metalkol_Model1!K824</f>
        <v>0</v>
      </c>
      <c r="L19" s="70">
        <f xml:space="preserve"> Metalkol_Model1!L824</f>
        <v>0</v>
      </c>
      <c r="M19" s="70">
        <f xml:space="preserve"> Metalkol_Model1!M824</f>
        <v>0</v>
      </c>
      <c r="N19" s="70">
        <f xml:space="preserve"> Metalkol_Model1!N824</f>
        <v>0</v>
      </c>
      <c r="O19" s="70">
        <f xml:space="preserve"> Metalkol_Model1!O824</f>
        <v>0</v>
      </c>
      <c r="P19" s="70">
        <f xml:space="preserve"> Metalkol_Model1!P824</f>
        <v>67.136253929427468</v>
      </c>
      <c r="Q19" s="70">
        <f xml:space="preserve"> Metalkol_Model1!Q824</f>
        <v>946.59558436977954</v>
      </c>
      <c r="R19" s="70">
        <f xml:space="preserve"> Metalkol_Model1!R824</f>
        <v>800.97287781965736</v>
      </c>
      <c r="S19" s="70">
        <f xml:space="preserve"> Metalkol_Model1!S824</f>
        <v>1554.927232437954</v>
      </c>
      <c r="T19" s="70">
        <f xml:space="preserve"> Metalkol_Model1!T824</f>
        <v>1790.254007985714</v>
      </c>
      <c r="U19" s="70">
        <f xml:space="preserve"> Metalkol_Model1!U824</f>
        <v>1286.9954809814114</v>
      </c>
      <c r="V19" s="70">
        <f xml:space="preserve"> Metalkol_Model1!V824</f>
        <v>1197.6567216301939</v>
      </c>
      <c r="W19" s="70">
        <f xml:space="preserve"> Metalkol_Model1!W824</f>
        <v>1403.7590036412423</v>
      </c>
      <c r="X19" s="70">
        <f xml:space="preserve"> Metalkol_Model1!X824</f>
        <v>1391.1347298918572</v>
      </c>
      <c r="Y19" s="70">
        <f xml:space="preserve"> Metalkol_Model1!Y824</f>
        <v>1369.2168626342282</v>
      </c>
      <c r="Z19" s="70">
        <f xml:space="preserve"> Metalkol_Model1!Z824</f>
        <v>1398.3349958679573</v>
      </c>
      <c r="AA19" s="70">
        <f xml:space="preserve"> Metalkol_Model1!AA824</f>
        <v>1393.351686353117</v>
      </c>
      <c r="AB19" s="70">
        <f xml:space="preserve"> Metalkol_Model1!AB824</f>
        <v>1400.6663216951804</v>
      </c>
      <c r="AC19" s="70">
        <f xml:space="preserve"> Metalkol_Model1!AC824</f>
        <v>1490.4682157878392</v>
      </c>
      <c r="AD19" s="70">
        <f xml:space="preserve"> Metalkol_Model1!AD824</f>
        <v>1520.4521233790642</v>
      </c>
      <c r="AE19" s="70">
        <f xml:space="preserve"> Metalkol_Model1!AE824</f>
        <v>0</v>
      </c>
      <c r="AF19" s="70">
        <f xml:space="preserve"> Metalkol_Model1!AF824</f>
        <v>0</v>
      </c>
      <c r="AG19" s="70">
        <f xml:space="preserve"> Metalkol_Model1!AG824</f>
        <v>0</v>
      </c>
      <c r="AH19" s="70">
        <f xml:space="preserve"> Metalkol_Model1!AH824</f>
        <v>0</v>
      </c>
      <c r="AI19" s="70">
        <f xml:space="preserve"> Metalkol_Model1!AI824</f>
        <v>0</v>
      </c>
      <c r="AJ19" s="70">
        <f xml:space="preserve"> Metalkol_Model1!AJ824</f>
        <v>0</v>
      </c>
      <c r="AK19" s="70">
        <f xml:space="preserve"> Metalkol_Model1!AK824</f>
        <v>0</v>
      </c>
      <c r="AL19" s="70">
        <f xml:space="preserve"> Metalkol_Model1!AL824</f>
        <v>0</v>
      </c>
      <c r="AM19" s="70">
        <f xml:space="preserve"> Metalkol_Model1!AM824</f>
        <v>0</v>
      </c>
      <c r="AN19" s="70">
        <f xml:space="preserve"> Metalkol_Model1!AN824</f>
        <v>0</v>
      </c>
      <c r="AO19" s="70">
        <f xml:space="preserve"> Metalkol_Model1!AO824</f>
        <v>0</v>
      </c>
      <c r="AP19" s="70">
        <f xml:space="preserve"> Metalkol_Model1!AP824</f>
        <v>0</v>
      </c>
      <c r="AQ19" s="70">
        <f xml:space="preserve"> Metalkol_Model1!AQ824</f>
        <v>0</v>
      </c>
      <c r="AR19" s="70">
        <f xml:space="preserve"> Metalkol_Model1!AR824</f>
        <v>0</v>
      </c>
      <c r="AS19" s="70">
        <f xml:space="preserve"> Metalkol_Model1!AS824</f>
        <v>0</v>
      </c>
      <c r="AT19" s="70">
        <f xml:space="preserve"> Metalkol_Model1!AT824</f>
        <v>0</v>
      </c>
      <c r="AU19" s="70">
        <f xml:space="preserve"> Metalkol_Model1!AU824</f>
        <v>0</v>
      </c>
      <c r="AV19" s="70">
        <f xml:space="preserve"> Metalkol_Model1!AV824</f>
        <v>0</v>
      </c>
    </row>
    <row r="20" spans="2:48" ht="15" customHeight="1">
      <c r="D20" s="6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</row>
    <row r="21" spans="2:48" ht="15" customHeight="1">
      <c r="D21" s="6"/>
      <c r="E21" s="70" t="str">
        <f xml:space="preserve"> Metalkol_Model1!E826</f>
        <v>Freight, Insurance &amp; Sales 2019TR: Cu</v>
      </c>
      <c r="F21" s="70">
        <f xml:space="preserve"> Metalkol_Model1!F826</f>
        <v>0</v>
      </c>
      <c r="G21" s="70" t="str">
        <f xml:space="preserve"> Metalkol_Model1!G826</f>
        <v>$ mn</v>
      </c>
      <c r="H21" s="70">
        <f xml:space="preserve"> Metalkol_Model1!H826</f>
        <v>0</v>
      </c>
      <c r="I21" s="70">
        <f xml:space="preserve"> Metalkol_Model1!I826</f>
        <v>0</v>
      </c>
      <c r="J21" s="70">
        <f xml:space="preserve"> Metalkol_Model1!J826</f>
        <v>0</v>
      </c>
      <c r="K21" s="70">
        <f xml:space="preserve"> Metalkol_Model1!K826</f>
        <v>0</v>
      </c>
      <c r="L21" s="70">
        <f xml:space="preserve"> Metalkol_Model1!L826</f>
        <v>0</v>
      </c>
      <c r="M21" s="70">
        <f xml:space="preserve"> Metalkol_Model1!M826</f>
        <v>0</v>
      </c>
      <c r="N21" s="70">
        <f xml:space="preserve"> Metalkol_Model1!N826</f>
        <v>0</v>
      </c>
      <c r="O21" s="70">
        <f xml:space="preserve"> Metalkol_Model1!O826</f>
        <v>0</v>
      </c>
      <c r="P21" s="70">
        <f xml:space="preserve"> Metalkol_Model1!P826</f>
        <v>0</v>
      </c>
      <c r="Q21" s="70">
        <f xml:space="preserve"> Metalkol_Model1!Q826</f>
        <v>0</v>
      </c>
      <c r="R21" s="70">
        <f xml:space="preserve"> Metalkol_Model1!R826</f>
        <v>0</v>
      </c>
      <c r="S21" s="70">
        <f xml:space="preserve"> Metalkol_Model1!S826</f>
        <v>0</v>
      </c>
      <c r="T21" s="70">
        <f xml:space="preserve"> Metalkol_Model1!T826</f>
        <v>0</v>
      </c>
      <c r="U21" s="70">
        <f xml:space="preserve"> Metalkol_Model1!U826</f>
        <v>0</v>
      </c>
      <c r="V21" s="70">
        <f xml:space="preserve"> Metalkol_Model1!V826</f>
        <v>0</v>
      </c>
      <c r="W21" s="70">
        <f xml:space="preserve"> Metalkol_Model1!W826</f>
        <v>0</v>
      </c>
      <c r="X21" s="70">
        <f xml:space="preserve"> Metalkol_Model1!X826</f>
        <v>0</v>
      </c>
      <c r="Y21" s="70">
        <f xml:space="preserve"> Metalkol_Model1!Y826</f>
        <v>0</v>
      </c>
      <c r="Z21" s="70">
        <f xml:space="preserve"> Metalkol_Model1!Z826</f>
        <v>0</v>
      </c>
      <c r="AA21" s="70">
        <f xml:space="preserve"> Metalkol_Model1!AA826</f>
        <v>0</v>
      </c>
      <c r="AB21" s="70">
        <f xml:space="preserve"> Metalkol_Model1!AB826</f>
        <v>0</v>
      </c>
      <c r="AC21" s="70">
        <f xml:space="preserve"> Metalkol_Model1!AC826</f>
        <v>0</v>
      </c>
      <c r="AD21" s="70">
        <f xml:space="preserve"> Metalkol_Model1!AD826</f>
        <v>0</v>
      </c>
      <c r="AE21" s="70">
        <f xml:space="preserve"> Metalkol_Model1!AE826</f>
        <v>0</v>
      </c>
      <c r="AF21" s="70">
        <f xml:space="preserve"> Metalkol_Model1!AF826</f>
        <v>0</v>
      </c>
      <c r="AG21" s="70">
        <f xml:space="preserve"> Metalkol_Model1!AG826</f>
        <v>0</v>
      </c>
      <c r="AH21" s="70">
        <f xml:space="preserve"> Metalkol_Model1!AH826</f>
        <v>0</v>
      </c>
      <c r="AI21" s="70">
        <f xml:space="preserve"> Metalkol_Model1!AI826</f>
        <v>0</v>
      </c>
      <c r="AJ21" s="70">
        <f xml:space="preserve"> Metalkol_Model1!AJ826</f>
        <v>0</v>
      </c>
      <c r="AK21" s="70">
        <f xml:space="preserve"> Metalkol_Model1!AK826</f>
        <v>0</v>
      </c>
      <c r="AL21" s="70">
        <f xml:space="preserve"> Metalkol_Model1!AL826</f>
        <v>0</v>
      </c>
      <c r="AM21" s="70">
        <f xml:space="preserve"> Metalkol_Model1!AM826</f>
        <v>0</v>
      </c>
      <c r="AN21" s="70">
        <f xml:space="preserve"> Metalkol_Model1!AN826</f>
        <v>0</v>
      </c>
      <c r="AO21" s="70">
        <f xml:space="preserve"> Metalkol_Model1!AO826</f>
        <v>0</v>
      </c>
      <c r="AP21" s="70">
        <f xml:space="preserve"> Metalkol_Model1!AP826</f>
        <v>0</v>
      </c>
      <c r="AQ21" s="70">
        <f xml:space="preserve"> Metalkol_Model1!AQ826</f>
        <v>0</v>
      </c>
      <c r="AR21" s="70">
        <f xml:space="preserve"> Metalkol_Model1!AR826</f>
        <v>0</v>
      </c>
      <c r="AS21" s="70">
        <f xml:space="preserve"> Metalkol_Model1!AS826</f>
        <v>0</v>
      </c>
      <c r="AT21" s="70">
        <f xml:space="preserve"> Metalkol_Model1!AT826</f>
        <v>0</v>
      </c>
      <c r="AU21" s="70">
        <f xml:space="preserve"> Metalkol_Model1!AU826</f>
        <v>0</v>
      </c>
      <c r="AV21" s="70">
        <f xml:space="preserve"> Metalkol_Model1!AV826</f>
        <v>0</v>
      </c>
    </row>
    <row r="22" spans="2:48" ht="15" customHeight="1">
      <c r="D22" s="6"/>
      <c r="E22" s="70" t="str">
        <f xml:space="preserve"> Metalkol_Model1!E827</f>
        <v>Freight, Insurance &amp; Sales 2019TR: Co</v>
      </c>
      <c r="F22" s="70">
        <f xml:space="preserve"> Metalkol_Model1!F827</f>
        <v>0</v>
      </c>
      <c r="G22" s="70" t="str">
        <f xml:space="preserve"> Metalkol_Model1!G827</f>
        <v>$ mn</v>
      </c>
      <c r="H22" s="70">
        <f xml:space="preserve"> Metalkol_Model1!H827</f>
        <v>0</v>
      </c>
      <c r="I22" s="70">
        <f xml:space="preserve"> Metalkol_Model1!I827</f>
        <v>0</v>
      </c>
      <c r="J22" s="70">
        <f xml:space="preserve"> Metalkol_Model1!J827</f>
        <v>0</v>
      </c>
      <c r="K22" s="70">
        <f xml:space="preserve"> Metalkol_Model1!K827</f>
        <v>0</v>
      </c>
      <c r="L22" s="70">
        <f xml:space="preserve"> Metalkol_Model1!L827</f>
        <v>0</v>
      </c>
      <c r="M22" s="70">
        <f xml:space="preserve"> Metalkol_Model1!M827</f>
        <v>0</v>
      </c>
      <c r="N22" s="70">
        <f xml:space="preserve"> Metalkol_Model1!N827</f>
        <v>0</v>
      </c>
      <c r="O22" s="70">
        <f xml:space="preserve"> Metalkol_Model1!O827</f>
        <v>0</v>
      </c>
      <c r="P22" s="70">
        <f xml:space="preserve"> Metalkol_Model1!P827</f>
        <v>0</v>
      </c>
      <c r="Q22" s="70">
        <f xml:space="preserve"> Metalkol_Model1!Q827</f>
        <v>0</v>
      </c>
      <c r="R22" s="70">
        <f xml:space="preserve"> Metalkol_Model1!R827</f>
        <v>0</v>
      </c>
      <c r="S22" s="70">
        <f xml:space="preserve"> Metalkol_Model1!S827</f>
        <v>0</v>
      </c>
      <c r="T22" s="70">
        <f xml:space="preserve"> Metalkol_Model1!T827</f>
        <v>0</v>
      </c>
      <c r="U22" s="70">
        <f xml:space="preserve"> Metalkol_Model1!U827</f>
        <v>0</v>
      </c>
      <c r="V22" s="70">
        <f xml:space="preserve"> Metalkol_Model1!V827</f>
        <v>0</v>
      </c>
      <c r="W22" s="70">
        <f xml:space="preserve"> Metalkol_Model1!W827</f>
        <v>0</v>
      </c>
      <c r="X22" s="70">
        <f xml:space="preserve"> Metalkol_Model1!X827</f>
        <v>0</v>
      </c>
      <c r="Y22" s="70">
        <f xml:space="preserve"> Metalkol_Model1!Y827</f>
        <v>0</v>
      </c>
      <c r="Z22" s="70">
        <f xml:space="preserve"> Metalkol_Model1!Z827</f>
        <v>0</v>
      </c>
      <c r="AA22" s="70">
        <f xml:space="preserve"> Metalkol_Model1!AA827</f>
        <v>0</v>
      </c>
      <c r="AB22" s="70">
        <f xml:space="preserve"> Metalkol_Model1!AB827</f>
        <v>0</v>
      </c>
      <c r="AC22" s="70">
        <f xml:space="preserve"> Metalkol_Model1!AC827</f>
        <v>0</v>
      </c>
      <c r="AD22" s="70">
        <f xml:space="preserve"> Metalkol_Model1!AD827</f>
        <v>0</v>
      </c>
      <c r="AE22" s="70">
        <f xml:space="preserve"> Metalkol_Model1!AE827</f>
        <v>0</v>
      </c>
      <c r="AF22" s="70">
        <f xml:space="preserve"> Metalkol_Model1!AF827</f>
        <v>0</v>
      </c>
      <c r="AG22" s="70">
        <f xml:space="preserve"> Metalkol_Model1!AG827</f>
        <v>0</v>
      </c>
      <c r="AH22" s="70">
        <f xml:space="preserve"> Metalkol_Model1!AH827</f>
        <v>0</v>
      </c>
      <c r="AI22" s="70">
        <f xml:space="preserve"> Metalkol_Model1!AI827</f>
        <v>0</v>
      </c>
      <c r="AJ22" s="70">
        <f xml:space="preserve"> Metalkol_Model1!AJ827</f>
        <v>0</v>
      </c>
      <c r="AK22" s="70">
        <f xml:space="preserve"> Metalkol_Model1!AK827</f>
        <v>0</v>
      </c>
      <c r="AL22" s="70">
        <f xml:space="preserve"> Metalkol_Model1!AL827</f>
        <v>0</v>
      </c>
      <c r="AM22" s="70">
        <f xml:space="preserve"> Metalkol_Model1!AM827</f>
        <v>0</v>
      </c>
      <c r="AN22" s="70">
        <f xml:space="preserve"> Metalkol_Model1!AN827</f>
        <v>0</v>
      </c>
      <c r="AO22" s="70">
        <f xml:space="preserve"> Metalkol_Model1!AO827</f>
        <v>0</v>
      </c>
      <c r="AP22" s="70">
        <f xml:space="preserve"> Metalkol_Model1!AP827</f>
        <v>0</v>
      </c>
      <c r="AQ22" s="70">
        <f xml:space="preserve"> Metalkol_Model1!AQ827</f>
        <v>0</v>
      </c>
      <c r="AR22" s="70">
        <f xml:space="preserve"> Metalkol_Model1!AR827</f>
        <v>0</v>
      </c>
      <c r="AS22" s="70">
        <f xml:space="preserve"> Metalkol_Model1!AS827</f>
        <v>0</v>
      </c>
      <c r="AT22" s="70">
        <f xml:space="preserve"> Metalkol_Model1!AT827</f>
        <v>0</v>
      </c>
      <c r="AU22" s="70">
        <f xml:space="preserve"> Metalkol_Model1!AU827</f>
        <v>0</v>
      </c>
      <c r="AV22" s="70">
        <f xml:space="preserve"> Metalkol_Model1!AV827</f>
        <v>0</v>
      </c>
    </row>
    <row r="23" spans="2:48" ht="15" customHeight="1">
      <c r="D23" s="6"/>
      <c r="E23" s="70" t="str">
        <f xml:space="preserve"> Metalkol_Model1!E828</f>
        <v>Realization costs Cu and Co</v>
      </c>
      <c r="F23" s="70">
        <f xml:space="preserve"> Metalkol_Model1!F828</f>
        <v>0</v>
      </c>
      <c r="G23" s="70" t="str">
        <f xml:space="preserve"> Metalkol_Model1!G828</f>
        <v>$ mn</v>
      </c>
      <c r="H23" s="70">
        <f xml:space="preserve"> Metalkol_Model1!H828</f>
        <v>0</v>
      </c>
      <c r="I23" s="70">
        <f xml:space="preserve"> Metalkol_Model1!I828</f>
        <v>0</v>
      </c>
      <c r="J23" s="70">
        <f xml:space="preserve"> Metalkol_Model1!J828</f>
        <v>0</v>
      </c>
      <c r="K23" s="70">
        <f xml:space="preserve"> Metalkol_Model1!K828</f>
        <v>0</v>
      </c>
      <c r="L23" s="70">
        <f xml:space="preserve"> Metalkol_Model1!L828</f>
        <v>0</v>
      </c>
      <c r="M23" s="70">
        <f xml:space="preserve"> Metalkol_Model1!M828</f>
        <v>0</v>
      </c>
      <c r="N23" s="70">
        <f xml:space="preserve"> Metalkol_Model1!N828</f>
        <v>0</v>
      </c>
      <c r="O23" s="70">
        <f xml:space="preserve"> Metalkol_Model1!O828</f>
        <v>0</v>
      </c>
      <c r="P23" s="70">
        <f xml:space="preserve"> Metalkol_Model1!P828</f>
        <v>0</v>
      </c>
      <c r="Q23" s="70">
        <f xml:space="preserve"> Metalkol_Model1!Q828</f>
        <v>0</v>
      </c>
      <c r="R23" s="70">
        <f xml:space="preserve"> Metalkol_Model1!R828</f>
        <v>0</v>
      </c>
      <c r="S23" s="70">
        <f xml:space="preserve"> Metalkol_Model1!S828</f>
        <v>0</v>
      </c>
      <c r="T23" s="70">
        <f xml:space="preserve"> Metalkol_Model1!T828</f>
        <v>0</v>
      </c>
      <c r="U23" s="70">
        <f xml:space="preserve"> Metalkol_Model1!U828</f>
        <v>0</v>
      </c>
      <c r="V23" s="70">
        <f xml:space="preserve"> Metalkol_Model1!V828</f>
        <v>0</v>
      </c>
      <c r="W23" s="70">
        <f xml:space="preserve"> Metalkol_Model1!W828</f>
        <v>0</v>
      </c>
      <c r="X23" s="70">
        <f xml:space="preserve"> Metalkol_Model1!X828</f>
        <v>0</v>
      </c>
      <c r="Y23" s="70">
        <f xml:space="preserve"> Metalkol_Model1!Y828</f>
        <v>0</v>
      </c>
      <c r="Z23" s="70">
        <f xml:space="preserve"> Metalkol_Model1!Z828</f>
        <v>0</v>
      </c>
      <c r="AA23" s="70">
        <f xml:space="preserve"> Metalkol_Model1!AA828</f>
        <v>0</v>
      </c>
      <c r="AB23" s="70">
        <f xml:space="preserve"> Metalkol_Model1!AB828</f>
        <v>0</v>
      </c>
      <c r="AC23" s="70">
        <f xml:space="preserve"> Metalkol_Model1!AC828</f>
        <v>0</v>
      </c>
      <c r="AD23" s="70">
        <f xml:space="preserve"> Metalkol_Model1!AD828</f>
        <v>0</v>
      </c>
      <c r="AE23" s="70">
        <f xml:space="preserve"> Metalkol_Model1!AE828</f>
        <v>0</v>
      </c>
      <c r="AF23" s="70">
        <f xml:space="preserve"> Metalkol_Model1!AF828</f>
        <v>0</v>
      </c>
      <c r="AG23" s="70">
        <f xml:space="preserve"> Metalkol_Model1!AG828</f>
        <v>0</v>
      </c>
      <c r="AH23" s="70">
        <f xml:space="preserve"> Metalkol_Model1!AH828</f>
        <v>0</v>
      </c>
      <c r="AI23" s="70">
        <f xml:space="preserve"> Metalkol_Model1!AI828</f>
        <v>0</v>
      </c>
      <c r="AJ23" s="70">
        <f xml:space="preserve"> Metalkol_Model1!AJ828</f>
        <v>0</v>
      </c>
      <c r="AK23" s="70">
        <f xml:space="preserve"> Metalkol_Model1!AK828</f>
        <v>0</v>
      </c>
      <c r="AL23" s="70">
        <f xml:space="preserve"> Metalkol_Model1!AL828</f>
        <v>0</v>
      </c>
      <c r="AM23" s="70">
        <f xml:space="preserve"> Metalkol_Model1!AM828</f>
        <v>0</v>
      </c>
      <c r="AN23" s="70">
        <f xml:space="preserve"> Metalkol_Model1!AN828</f>
        <v>0</v>
      </c>
      <c r="AO23" s="70">
        <f xml:space="preserve"> Metalkol_Model1!AO828</f>
        <v>0</v>
      </c>
      <c r="AP23" s="70">
        <f xml:space="preserve"> Metalkol_Model1!AP828</f>
        <v>0</v>
      </c>
      <c r="AQ23" s="70">
        <f xml:space="preserve"> Metalkol_Model1!AQ828</f>
        <v>0</v>
      </c>
      <c r="AR23" s="70">
        <f xml:space="preserve"> Metalkol_Model1!AR828</f>
        <v>0</v>
      </c>
      <c r="AS23" s="70">
        <f xml:space="preserve"> Metalkol_Model1!AS828</f>
        <v>0</v>
      </c>
      <c r="AT23" s="70">
        <f xml:space="preserve"> Metalkol_Model1!AT828</f>
        <v>0</v>
      </c>
      <c r="AU23" s="70">
        <f xml:space="preserve"> Metalkol_Model1!AU828</f>
        <v>0</v>
      </c>
      <c r="AV23" s="70">
        <f xml:space="preserve"> Metalkol_Model1!AV828</f>
        <v>0</v>
      </c>
    </row>
    <row r="24" spans="2:48" ht="15" customHeight="1">
      <c r="D24" s="6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</row>
    <row r="25" spans="2:48" ht="15" customHeight="1">
      <c r="D25" s="6"/>
      <c r="E25" s="70" t="str">
        <f xml:space="preserve"> Metalkol_Model1!E830</f>
        <v>Copper net revenue</v>
      </c>
      <c r="F25" s="70">
        <f xml:space="preserve"> Metalkol_Model1!F830</f>
        <v>0</v>
      </c>
      <c r="G25" s="70" t="str">
        <f xml:space="preserve"> Metalkol_Model1!G830</f>
        <v>$ mn</v>
      </c>
      <c r="H25" s="70">
        <f xml:space="preserve"> Metalkol_Model1!H830</f>
        <v>0</v>
      </c>
      <c r="I25" s="70">
        <f xml:space="preserve"> Metalkol_Model1!I830</f>
        <v>0</v>
      </c>
      <c r="J25" s="70">
        <f xml:space="preserve"> Metalkol_Model1!J830</f>
        <v>11467.694807333486</v>
      </c>
      <c r="K25" s="70">
        <f xml:space="preserve"> Metalkol_Model1!K830</f>
        <v>0</v>
      </c>
      <c r="L25" s="70">
        <f xml:space="preserve"> Metalkol_Model1!L830</f>
        <v>0</v>
      </c>
      <c r="M25" s="70">
        <f xml:space="preserve"> Metalkol_Model1!M830</f>
        <v>0</v>
      </c>
      <c r="N25" s="70">
        <f xml:space="preserve"> Metalkol_Model1!N830</f>
        <v>0</v>
      </c>
      <c r="O25" s="70">
        <f xml:space="preserve"> Metalkol_Model1!O830</f>
        <v>0</v>
      </c>
      <c r="P25" s="70">
        <f xml:space="preserve"> Metalkol_Model1!P830</f>
        <v>56.882825869581119</v>
      </c>
      <c r="Q25" s="70">
        <f xml:space="preserve"> Metalkol_Model1!Q830</f>
        <v>537.90040239011887</v>
      </c>
      <c r="R25" s="70">
        <f xml:space="preserve"> Metalkol_Model1!R830</f>
        <v>466.86178216090872</v>
      </c>
      <c r="S25" s="70">
        <f xml:space="preserve"> Metalkol_Model1!S830</f>
        <v>846.94161577854641</v>
      </c>
      <c r="T25" s="70">
        <f xml:space="preserve"> Metalkol_Model1!T830</f>
        <v>827.43128123694396</v>
      </c>
      <c r="U25" s="70">
        <f xml:space="preserve"> Metalkol_Model1!U830</f>
        <v>827.53678415828165</v>
      </c>
      <c r="V25" s="70">
        <f xml:space="preserve"> Metalkol_Model1!V830</f>
        <v>855.37158418205354</v>
      </c>
      <c r="W25" s="70">
        <f xml:space="preserve"> Metalkol_Model1!W830</f>
        <v>870.43262455927129</v>
      </c>
      <c r="X25" s="70">
        <f xml:space="preserve"> Metalkol_Model1!X830</f>
        <v>871.18297689339511</v>
      </c>
      <c r="Y25" s="70">
        <f xml:space="preserve"> Metalkol_Model1!Y830</f>
        <v>878.19958614320012</v>
      </c>
      <c r="Z25" s="70">
        <f xml:space="preserve"> Metalkol_Model1!Z830</f>
        <v>869.03680141350003</v>
      </c>
      <c r="AA25" s="70">
        <f xml:space="preserve"> Metalkol_Model1!AA830</f>
        <v>864.81700401760008</v>
      </c>
      <c r="AB25" s="70">
        <f xml:space="preserve"> Metalkol_Model1!AB830</f>
        <v>890.0243598372424</v>
      </c>
      <c r="AC25" s="70">
        <f xml:space="preserve"> Metalkol_Model1!AC830</f>
        <v>904.18180084522714</v>
      </c>
      <c r="AD25" s="70">
        <f xml:space="preserve"> Metalkol_Model1!AD830</f>
        <v>900.89337784761744</v>
      </c>
      <c r="AE25" s="70">
        <f xml:space="preserve"> Metalkol_Model1!AE830</f>
        <v>0</v>
      </c>
      <c r="AF25" s="70">
        <f xml:space="preserve"> Metalkol_Model1!AF830</f>
        <v>0</v>
      </c>
      <c r="AG25" s="70">
        <f xml:space="preserve"> Metalkol_Model1!AG830</f>
        <v>0</v>
      </c>
      <c r="AH25" s="70">
        <f xml:space="preserve"> Metalkol_Model1!AH830</f>
        <v>0</v>
      </c>
      <c r="AI25" s="70">
        <f xml:space="preserve"> Metalkol_Model1!AI830</f>
        <v>0</v>
      </c>
      <c r="AJ25" s="70">
        <f xml:space="preserve"> Metalkol_Model1!AJ830</f>
        <v>0</v>
      </c>
      <c r="AK25" s="70">
        <f xml:space="preserve"> Metalkol_Model1!AK830</f>
        <v>0</v>
      </c>
      <c r="AL25" s="70">
        <f xml:space="preserve"> Metalkol_Model1!AL830</f>
        <v>0</v>
      </c>
      <c r="AM25" s="70">
        <f xml:space="preserve"> Metalkol_Model1!AM830</f>
        <v>0</v>
      </c>
      <c r="AN25" s="70">
        <f xml:space="preserve"> Metalkol_Model1!AN830</f>
        <v>0</v>
      </c>
      <c r="AO25" s="70">
        <f xml:space="preserve"> Metalkol_Model1!AO830</f>
        <v>0</v>
      </c>
      <c r="AP25" s="70">
        <f xml:space="preserve"> Metalkol_Model1!AP830</f>
        <v>0</v>
      </c>
      <c r="AQ25" s="70">
        <f xml:space="preserve"> Metalkol_Model1!AQ830</f>
        <v>0</v>
      </c>
      <c r="AR25" s="70">
        <f xml:space="preserve"> Metalkol_Model1!AR830</f>
        <v>0</v>
      </c>
      <c r="AS25" s="70">
        <f xml:space="preserve"> Metalkol_Model1!AS830</f>
        <v>0</v>
      </c>
      <c r="AT25" s="70">
        <f xml:space="preserve"> Metalkol_Model1!AT830</f>
        <v>0</v>
      </c>
      <c r="AU25" s="70">
        <f xml:space="preserve"> Metalkol_Model1!AU830</f>
        <v>0</v>
      </c>
      <c r="AV25" s="70">
        <f xml:space="preserve"> Metalkol_Model1!AV830</f>
        <v>0</v>
      </c>
    </row>
    <row r="26" spans="2:48" ht="15" customHeight="1">
      <c r="D26" s="6"/>
      <c r="E26" s="70" t="str">
        <f xml:space="preserve"> Metalkol_Model1!E831</f>
        <v>Cobalt net revenue</v>
      </c>
      <c r="F26" s="70">
        <f xml:space="preserve"> Metalkol_Model1!F831</f>
        <v>0</v>
      </c>
      <c r="G26" s="70" t="str">
        <f xml:space="preserve"> Metalkol_Model1!G831</f>
        <v>$ mn</v>
      </c>
      <c r="H26" s="70">
        <f xml:space="preserve"> Metalkol_Model1!H831</f>
        <v>0</v>
      </c>
      <c r="I26" s="70">
        <f xml:space="preserve"> Metalkol_Model1!I831</f>
        <v>0</v>
      </c>
      <c r="J26" s="70">
        <f xml:space="preserve"> Metalkol_Model1!J831</f>
        <v>7544.2272910711363</v>
      </c>
      <c r="K26" s="70">
        <f xml:space="preserve"> Metalkol_Model1!K831</f>
        <v>0</v>
      </c>
      <c r="L26" s="70">
        <f xml:space="preserve"> Metalkol_Model1!L831</f>
        <v>0</v>
      </c>
      <c r="M26" s="70">
        <f xml:space="preserve"> Metalkol_Model1!M831</f>
        <v>0</v>
      </c>
      <c r="N26" s="70">
        <f xml:space="preserve"> Metalkol_Model1!N831</f>
        <v>0</v>
      </c>
      <c r="O26" s="70">
        <f xml:space="preserve"> Metalkol_Model1!O831</f>
        <v>0</v>
      </c>
      <c r="P26" s="70">
        <f xml:space="preserve"> Metalkol_Model1!P831</f>
        <v>10.253428059846346</v>
      </c>
      <c r="Q26" s="70">
        <f xml:space="preserve"> Metalkol_Model1!Q831</f>
        <v>408.69518197966062</v>
      </c>
      <c r="R26" s="70">
        <f xml:space="preserve"> Metalkol_Model1!R831</f>
        <v>334.11109565874864</v>
      </c>
      <c r="S26" s="70">
        <f xml:space="preserve"> Metalkol_Model1!S831</f>
        <v>707.98561665940747</v>
      </c>
      <c r="T26" s="70">
        <f xml:space="preserve"> Metalkol_Model1!T831</f>
        <v>962.82272674877015</v>
      </c>
      <c r="U26" s="70">
        <f xml:space="preserve"> Metalkol_Model1!U831</f>
        <v>459.45869682312974</v>
      </c>
      <c r="V26" s="70">
        <f xml:space="preserve"> Metalkol_Model1!V831</f>
        <v>342.2851374481404</v>
      </c>
      <c r="W26" s="70">
        <f xml:space="preserve"> Metalkol_Model1!W831</f>
        <v>533.32637908197103</v>
      </c>
      <c r="X26" s="70">
        <f xml:space="preserve"> Metalkol_Model1!X831</f>
        <v>519.95175299846198</v>
      </c>
      <c r="Y26" s="70">
        <f xml:space="preserve"> Metalkol_Model1!Y831</f>
        <v>491.01727649102816</v>
      </c>
      <c r="Z26" s="70">
        <f xml:space="preserve"> Metalkol_Model1!Z831</f>
        <v>529.29819445445742</v>
      </c>
      <c r="AA26" s="70">
        <f xml:space="preserve"> Metalkol_Model1!AA831</f>
        <v>528.53468233551689</v>
      </c>
      <c r="AB26" s="70">
        <f xml:space="preserve"> Metalkol_Model1!AB831</f>
        <v>510.64196185793799</v>
      </c>
      <c r="AC26" s="70">
        <f xml:space="preserve"> Metalkol_Model1!AC831</f>
        <v>586.28641494261217</v>
      </c>
      <c r="AD26" s="70">
        <f xml:space="preserve"> Metalkol_Model1!AD831</f>
        <v>619.55874553144668</v>
      </c>
      <c r="AE26" s="70">
        <f xml:space="preserve"> Metalkol_Model1!AE831</f>
        <v>0</v>
      </c>
      <c r="AF26" s="70">
        <f xml:space="preserve"> Metalkol_Model1!AF831</f>
        <v>0</v>
      </c>
      <c r="AG26" s="70">
        <f xml:space="preserve"> Metalkol_Model1!AG831</f>
        <v>0</v>
      </c>
      <c r="AH26" s="70">
        <f xml:space="preserve"> Metalkol_Model1!AH831</f>
        <v>0</v>
      </c>
      <c r="AI26" s="70">
        <f xml:space="preserve"> Metalkol_Model1!AI831</f>
        <v>0</v>
      </c>
      <c r="AJ26" s="70">
        <f xml:space="preserve"> Metalkol_Model1!AJ831</f>
        <v>0</v>
      </c>
      <c r="AK26" s="70">
        <f xml:space="preserve"> Metalkol_Model1!AK831</f>
        <v>0</v>
      </c>
      <c r="AL26" s="70">
        <f xml:space="preserve"> Metalkol_Model1!AL831</f>
        <v>0</v>
      </c>
      <c r="AM26" s="70">
        <f xml:space="preserve"> Metalkol_Model1!AM831</f>
        <v>0</v>
      </c>
      <c r="AN26" s="70">
        <f xml:space="preserve"> Metalkol_Model1!AN831</f>
        <v>0</v>
      </c>
      <c r="AO26" s="70">
        <f xml:space="preserve"> Metalkol_Model1!AO831</f>
        <v>0</v>
      </c>
      <c r="AP26" s="70">
        <f xml:space="preserve"> Metalkol_Model1!AP831</f>
        <v>0</v>
      </c>
      <c r="AQ26" s="70">
        <f xml:space="preserve"> Metalkol_Model1!AQ831</f>
        <v>0</v>
      </c>
      <c r="AR26" s="70">
        <f xml:space="preserve"> Metalkol_Model1!AR831</f>
        <v>0</v>
      </c>
      <c r="AS26" s="70">
        <f xml:space="preserve"> Metalkol_Model1!AS831</f>
        <v>0</v>
      </c>
      <c r="AT26" s="70">
        <f xml:space="preserve"> Metalkol_Model1!AT831</f>
        <v>0</v>
      </c>
      <c r="AU26" s="70">
        <f xml:space="preserve"> Metalkol_Model1!AU831</f>
        <v>0</v>
      </c>
      <c r="AV26" s="70">
        <f xml:space="preserve"> Metalkol_Model1!AV831</f>
        <v>0</v>
      </c>
    </row>
    <row r="27" spans="2:48" ht="15" customHeight="1">
      <c r="D27" s="6"/>
      <c r="E27" s="70" t="str">
        <f xml:space="preserve"> Metalkol_Model1!E832</f>
        <v>Copper &amp; Cobalt net revenue</v>
      </c>
      <c r="F27" s="70">
        <f xml:space="preserve"> Metalkol_Model1!F832</f>
        <v>0</v>
      </c>
      <c r="G27" s="70" t="str">
        <f xml:space="preserve"> Metalkol_Model1!G832</f>
        <v>$ mn</v>
      </c>
      <c r="H27" s="70">
        <f xml:space="preserve"> Metalkol_Model1!H832</f>
        <v>0</v>
      </c>
      <c r="I27" s="70">
        <f xml:space="preserve"> Metalkol_Model1!I832</f>
        <v>0</v>
      </c>
      <c r="J27" s="70">
        <f xml:space="preserve"> Metalkol_Model1!J832</f>
        <v>19011.922098404622</v>
      </c>
      <c r="K27" s="70">
        <f xml:space="preserve"> Metalkol_Model1!K832</f>
        <v>0</v>
      </c>
      <c r="L27" s="70">
        <f xml:space="preserve"> Metalkol_Model1!L832</f>
        <v>0</v>
      </c>
      <c r="M27" s="70">
        <f xml:space="preserve"> Metalkol_Model1!M832</f>
        <v>0</v>
      </c>
      <c r="N27" s="70">
        <f xml:space="preserve"> Metalkol_Model1!N832</f>
        <v>0</v>
      </c>
      <c r="O27" s="70">
        <f xml:space="preserve"> Metalkol_Model1!O832</f>
        <v>0</v>
      </c>
      <c r="P27" s="70">
        <f xml:space="preserve"> Metalkol_Model1!P832</f>
        <v>67.136253929427468</v>
      </c>
      <c r="Q27" s="70">
        <f xml:space="preserve"> Metalkol_Model1!Q832</f>
        <v>946.59558436977954</v>
      </c>
      <c r="R27" s="70">
        <f xml:space="preserve"> Metalkol_Model1!R832</f>
        <v>800.97287781965736</v>
      </c>
      <c r="S27" s="70">
        <f xml:space="preserve"> Metalkol_Model1!S832</f>
        <v>1554.927232437954</v>
      </c>
      <c r="T27" s="70">
        <f xml:space="preserve"> Metalkol_Model1!T832</f>
        <v>1790.254007985714</v>
      </c>
      <c r="U27" s="70">
        <f xml:space="preserve"> Metalkol_Model1!U832</f>
        <v>1286.9954809814114</v>
      </c>
      <c r="V27" s="70">
        <f xml:space="preserve"> Metalkol_Model1!V832</f>
        <v>1197.6567216301939</v>
      </c>
      <c r="W27" s="70">
        <f xml:space="preserve"> Metalkol_Model1!W832</f>
        <v>1403.7590036412423</v>
      </c>
      <c r="X27" s="70">
        <f xml:space="preserve"> Metalkol_Model1!X832</f>
        <v>1391.1347298918572</v>
      </c>
      <c r="Y27" s="70">
        <f xml:space="preserve"> Metalkol_Model1!Y832</f>
        <v>1369.2168626342282</v>
      </c>
      <c r="Z27" s="70">
        <f xml:space="preserve"> Metalkol_Model1!Z832</f>
        <v>1398.3349958679573</v>
      </c>
      <c r="AA27" s="70">
        <f xml:space="preserve"> Metalkol_Model1!AA832</f>
        <v>1393.351686353117</v>
      </c>
      <c r="AB27" s="70">
        <f xml:space="preserve"> Metalkol_Model1!AB832</f>
        <v>1400.6663216951804</v>
      </c>
      <c r="AC27" s="70">
        <f xml:space="preserve"> Metalkol_Model1!AC832</f>
        <v>1490.4682157878392</v>
      </c>
      <c r="AD27" s="70">
        <f xml:space="preserve"> Metalkol_Model1!AD832</f>
        <v>1520.4521233790642</v>
      </c>
      <c r="AE27" s="70">
        <f xml:space="preserve"> Metalkol_Model1!AE832</f>
        <v>0</v>
      </c>
      <c r="AF27" s="70">
        <f xml:space="preserve"> Metalkol_Model1!AF832</f>
        <v>0</v>
      </c>
      <c r="AG27" s="70">
        <f xml:space="preserve"> Metalkol_Model1!AG832</f>
        <v>0</v>
      </c>
      <c r="AH27" s="70">
        <f xml:space="preserve"> Metalkol_Model1!AH832</f>
        <v>0</v>
      </c>
      <c r="AI27" s="70">
        <f xml:space="preserve"> Metalkol_Model1!AI832</f>
        <v>0</v>
      </c>
      <c r="AJ27" s="70">
        <f xml:space="preserve"> Metalkol_Model1!AJ832</f>
        <v>0</v>
      </c>
      <c r="AK27" s="70">
        <f xml:space="preserve"> Metalkol_Model1!AK832</f>
        <v>0</v>
      </c>
      <c r="AL27" s="70">
        <f xml:space="preserve"> Metalkol_Model1!AL832</f>
        <v>0</v>
      </c>
      <c r="AM27" s="70">
        <f xml:space="preserve"> Metalkol_Model1!AM832</f>
        <v>0</v>
      </c>
      <c r="AN27" s="70">
        <f xml:space="preserve"> Metalkol_Model1!AN832</f>
        <v>0</v>
      </c>
      <c r="AO27" s="70">
        <f xml:space="preserve"> Metalkol_Model1!AO832</f>
        <v>0</v>
      </c>
      <c r="AP27" s="70">
        <f xml:space="preserve"> Metalkol_Model1!AP832</f>
        <v>0</v>
      </c>
      <c r="AQ27" s="70">
        <f xml:space="preserve"> Metalkol_Model1!AQ832</f>
        <v>0</v>
      </c>
      <c r="AR27" s="70">
        <f xml:space="preserve"> Metalkol_Model1!AR832</f>
        <v>0</v>
      </c>
      <c r="AS27" s="70">
        <f xml:space="preserve"> Metalkol_Model1!AS832</f>
        <v>0</v>
      </c>
      <c r="AT27" s="70">
        <f xml:space="preserve"> Metalkol_Model1!AT832</f>
        <v>0</v>
      </c>
      <c r="AU27" s="70">
        <f xml:space="preserve"> Metalkol_Model1!AU832</f>
        <v>0</v>
      </c>
      <c r="AV27" s="70">
        <f xml:space="preserve"> Metalkol_Model1!AV832</f>
        <v>0</v>
      </c>
    </row>
    <row r="28" spans="2:48" ht="15" customHeight="1">
      <c r="D28" s="6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</row>
    <row r="29" spans="2:48" ht="15" customHeight="1">
      <c r="B29" s="95" t="s">
        <v>785</v>
      </c>
      <c r="D29" s="6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</row>
    <row r="30" spans="2:48" ht="15" customHeight="1">
      <c r="D30" s="6"/>
      <c r="E30" s="70" t="str">
        <f xml:space="preserve"> Metalkol_Model1!E835</f>
        <v>Alternative Operating Cost Profile</v>
      </c>
      <c r="F30" s="70" t="str">
        <f xml:space="preserve"> Metalkol_Model1!F835</f>
        <v>Alt Opex</v>
      </c>
      <c r="G30" s="70" t="str">
        <f xml:space="preserve"> Metalkol_Model1!G835</f>
        <v>$ mn</v>
      </c>
      <c r="H30" s="70">
        <f xml:space="preserve"> Metalkol_Model1!H835</f>
        <v>0</v>
      </c>
      <c r="I30" s="70">
        <f xml:space="preserve"> Metalkol_Model1!I835</f>
        <v>0</v>
      </c>
      <c r="J30" s="70">
        <f xml:space="preserve"> Metalkol_Model1!J835</f>
        <v>9907.4531304831744</v>
      </c>
      <c r="K30" s="70">
        <f xml:space="preserve"> Metalkol_Model1!K835</f>
        <v>0</v>
      </c>
      <c r="L30" s="70">
        <f xml:space="preserve"> Metalkol_Model1!L835</f>
        <v>0</v>
      </c>
      <c r="M30" s="70">
        <f xml:space="preserve"> Metalkol_Model1!M835</f>
        <v>0</v>
      </c>
      <c r="N30" s="70">
        <f xml:space="preserve"> Metalkol_Model1!N835</f>
        <v>0</v>
      </c>
      <c r="O30" s="70">
        <f xml:space="preserve"> Metalkol_Model1!O835</f>
        <v>0</v>
      </c>
      <c r="P30" s="70">
        <f xml:space="preserve"> Metalkol_Model1!P835</f>
        <v>0</v>
      </c>
      <c r="Q30" s="70">
        <f xml:space="preserve"> Metalkol_Model1!Q835</f>
        <v>0</v>
      </c>
      <c r="R30" s="70">
        <f xml:space="preserve"> Metalkol_Model1!R835</f>
        <v>427.00000000000006</v>
      </c>
      <c r="S30" s="70">
        <f xml:space="preserve"> Metalkol_Model1!S835</f>
        <v>532</v>
      </c>
      <c r="T30" s="70">
        <f xml:space="preserve"> Metalkol_Model1!T835</f>
        <v>705</v>
      </c>
      <c r="U30" s="70">
        <f xml:space="preserve"> Metalkol_Model1!U835</f>
        <v>724.29157127871883</v>
      </c>
      <c r="V30" s="70">
        <f xml:space="preserve"> Metalkol_Model1!V835</f>
        <v>760.56406616996242</v>
      </c>
      <c r="W30" s="70">
        <f xml:space="preserve"> Metalkol_Model1!W835</f>
        <v>785.45450684568095</v>
      </c>
      <c r="X30" s="70">
        <f xml:space="preserve"> Metalkol_Model1!X835</f>
        <v>800.92213977533436</v>
      </c>
      <c r="Y30" s="70">
        <f xml:space="preserve"> Metalkol_Model1!Y835</f>
        <v>816.87383726665769</v>
      </c>
      <c r="Z30" s="70">
        <f xml:space="preserve"> Metalkol_Model1!Z835</f>
        <v>837.83662691634106</v>
      </c>
      <c r="AA30" s="70">
        <f xml:space="preserve"> Metalkol_Model1!AA835</f>
        <v>851.22045364034364</v>
      </c>
      <c r="AB30" s="70">
        <f xml:space="preserve"> Metalkol_Model1!AB835</f>
        <v>866.62268025643698</v>
      </c>
      <c r="AC30" s="70">
        <f xml:space="preserve"> Metalkol_Model1!AC835</f>
        <v>897.22565631293298</v>
      </c>
      <c r="AD30" s="70">
        <f xml:space="preserve"> Metalkol_Model1!AD835</f>
        <v>902.44159202076582</v>
      </c>
      <c r="AE30" s="70">
        <f xml:space="preserve"> Metalkol_Model1!AE835</f>
        <v>0</v>
      </c>
      <c r="AF30" s="70">
        <f xml:space="preserve"> Metalkol_Model1!AF835</f>
        <v>0</v>
      </c>
      <c r="AG30" s="70">
        <f xml:space="preserve"> Metalkol_Model1!AG835</f>
        <v>0</v>
      </c>
      <c r="AH30" s="70">
        <f xml:space="preserve"> Metalkol_Model1!AH835</f>
        <v>0</v>
      </c>
      <c r="AI30" s="70">
        <f xml:space="preserve"> Metalkol_Model1!AI835</f>
        <v>0</v>
      </c>
      <c r="AJ30" s="70">
        <f xml:space="preserve"> Metalkol_Model1!AJ835</f>
        <v>0</v>
      </c>
      <c r="AK30" s="70">
        <f xml:space="preserve"> Metalkol_Model1!AK835</f>
        <v>0</v>
      </c>
      <c r="AL30" s="70">
        <f xml:space="preserve"> Metalkol_Model1!AL835</f>
        <v>0</v>
      </c>
      <c r="AM30" s="70">
        <f xml:space="preserve"> Metalkol_Model1!AM835</f>
        <v>0</v>
      </c>
      <c r="AN30" s="70">
        <f xml:space="preserve"> Metalkol_Model1!AN835</f>
        <v>0</v>
      </c>
      <c r="AO30" s="70">
        <f xml:space="preserve"> Metalkol_Model1!AO835</f>
        <v>0</v>
      </c>
      <c r="AP30" s="70">
        <f xml:space="preserve"> Metalkol_Model1!AP835</f>
        <v>0</v>
      </c>
      <c r="AQ30" s="70">
        <f xml:space="preserve"> Metalkol_Model1!AQ835</f>
        <v>0</v>
      </c>
      <c r="AR30" s="70">
        <f xml:space="preserve"> Metalkol_Model1!AR835</f>
        <v>0</v>
      </c>
      <c r="AS30" s="70">
        <f xml:space="preserve"> Metalkol_Model1!AS835</f>
        <v>0</v>
      </c>
      <c r="AT30" s="70">
        <f xml:space="preserve"> Metalkol_Model1!AT835</f>
        <v>0</v>
      </c>
      <c r="AU30" s="70">
        <f xml:space="preserve"> Metalkol_Model1!AU835</f>
        <v>0</v>
      </c>
      <c r="AV30" s="70">
        <f xml:space="preserve"> Metalkol_Model1!AV835</f>
        <v>0</v>
      </c>
    </row>
    <row r="31" spans="2:48" ht="15" customHeight="1">
      <c r="D31" s="6"/>
      <c r="E31" s="70" t="str">
        <f xml:space="preserve"> Metalkol_Model1!E836</f>
        <v>Capital Costs inc. Sens.</v>
      </c>
      <c r="F31" s="70">
        <f xml:space="preserve"> Metalkol_Model1!F836</f>
        <v>0</v>
      </c>
      <c r="G31" s="70" t="str">
        <f xml:space="preserve"> Metalkol_Model1!G836</f>
        <v>$ mn</v>
      </c>
      <c r="H31" s="70">
        <f xml:space="preserve"> Metalkol_Model1!H836</f>
        <v>0</v>
      </c>
      <c r="I31" s="70">
        <f xml:space="preserve"> Metalkol_Model1!I836</f>
        <v>0</v>
      </c>
      <c r="J31" s="70">
        <f xml:space="preserve"> Metalkol_Model1!J836</f>
        <v>1501.9969697316285</v>
      </c>
      <c r="K31" s="70">
        <f xml:space="preserve"> Metalkol_Model1!K836</f>
        <v>0</v>
      </c>
      <c r="L31" s="70">
        <f xml:space="preserve"> Metalkol_Model1!L836</f>
        <v>0</v>
      </c>
      <c r="M31" s="70">
        <f xml:space="preserve"> Metalkol_Model1!M836</f>
        <v>0</v>
      </c>
      <c r="N31" s="70">
        <f xml:space="preserve"> Metalkol_Model1!N836</f>
        <v>0</v>
      </c>
      <c r="O31" s="70">
        <f xml:space="preserve"> Metalkol_Model1!O836</f>
        <v>0</v>
      </c>
      <c r="P31" s="70">
        <f xml:space="preserve"> Metalkol_Model1!P836</f>
        <v>1010.1999999999999</v>
      </c>
      <c r="Q31" s="70">
        <f xml:space="preserve"> Metalkol_Model1!Q836</f>
        <v>175.6</v>
      </c>
      <c r="R31" s="70">
        <f xml:space="preserve"> Metalkol_Model1!R836</f>
        <v>59.637940489648081</v>
      </c>
      <c r="S31" s="70">
        <f xml:space="preserve"> Metalkol_Model1!S836</f>
        <v>19.714240787317188</v>
      </c>
      <c r="T31" s="70">
        <f xml:space="preserve"> Metalkol_Model1!T836</f>
        <v>22.205587260857488</v>
      </c>
      <c r="U31" s="70">
        <f xml:space="preserve"> Metalkol_Model1!U836</f>
        <v>7.270379772582368</v>
      </c>
      <c r="V31" s="70">
        <f xml:space="preserve"> Metalkol_Model1!V836</f>
        <v>32.762129135977283</v>
      </c>
      <c r="W31" s="70">
        <f xml:space="preserve"> Metalkol_Model1!W836</f>
        <v>14.785349673189831</v>
      </c>
      <c r="X31" s="70">
        <f xml:space="preserve"> Metalkol_Model1!X836</f>
        <v>37.291985621134906</v>
      </c>
      <c r="Y31" s="70">
        <f xml:space="preserve"> Metalkol_Model1!Y836</f>
        <v>11.106368397789192</v>
      </c>
      <c r="Z31" s="70">
        <f xml:space="preserve"> Metalkol_Model1!Z836</f>
        <v>24.717558956867318</v>
      </c>
      <c r="AA31" s="70">
        <f xml:space="preserve"> Metalkol_Model1!AA836</f>
        <v>10.625875307545776</v>
      </c>
      <c r="AB31" s="70">
        <f xml:space="preserve"> Metalkol_Model1!AB836</f>
        <v>47.657903486366287</v>
      </c>
      <c r="AC31" s="70">
        <f xml:space="preserve"> Metalkol_Model1!AC836</f>
        <v>9.2044613597337044</v>
      </c>
      <c r="AD31" s="70">
        <f xml:space="preserve"> Metalkol_Model1!AD836</f>
        <v>19.217189482619023</v>
      </c>
      <c r="AE31" s="70">
        <f xml:space="preserve"> Metalkol_Model1!AE836</f>
        <v>0</v>
      </c>
      <c r="AF31" s="70">
        <f xml:space="preserve"> Metalkol_Model1!AF836</f>
        <v>0</v>
      </c>
      <c r="AG31" s="70">
        <f xml:space="preserve"> Metalkol_Model1!AG836</f>
        <v>0</v>
      </c>
      <c r="AH31" s="70">
        <f xml:space="preserve"> Metalkol_Model1!AH836</f>
        <v>0</v>
      </c>
      <c r="AI31" s="70">
        <f xml:space="preserve"> Metalkol_Model1!AI836</f>
        <v>0</v>
      </c>
      <c r="AJ31" s="70">
        <f xml:space="preserve"> Metalkol_Model1!AJ836</f>
        <v>0</v>
      </c>
      <c r="AK31" s="70">
        <f xml:space="preserve"> Metalkol_Model1!AK836</f>
        <v>0</v>
      </c>
      <c r="AL31" s="70">
        <f xml:space="preserve"> Metalkol_Model1!AL836</f>
        <v>0</v>
      </c>
      <c r="AM31" s="70">
        <f xml:space="preserve"> Metalkol_Model1!AM836</f>
        <v>0</v>
      </c>
      <c r="AN31" s="70">
        <f xml:space="preserve"> Metalkol_Model1!AN836</f>
        <v>0</v>
      </c>
      <c r="AO31" s="70">
        <f xml:space="preserve"> Metalkol_Model1!AO836</f>
        <v>0</v>
      </c>
      <c r="AP31" s="70">
        <f xml:space="preserve"> Metalkol_Model1!AP836</f>
        <v>0</v>
      </c>
      <c r="AQ31" s="70">
        <f xml:space="preserve"> Metalkol_Model1!AQ836</f>
        <v>0</v>
      </c>
      <c r="AR31" s="70">
        <f xml:space="preserve"> Metalkol_Model1!AR836</f>
        <v>0</v>
      </c>
      <c r="AS31" s="70">
        <f xml:space="preserve"> Metalkol_Model1!AS836</f>
        <v>0</v>
      </c>
      <c r="AT31" s="70">
        <f xml:space="preserve"> Metalkol_Model1!AT836</f>
        <v>0</v>
      </c>
      <c r="AU31" s="70">
        <f xml:space="preserve"> Metalkol_Model1!AU836</f>
        <v>0</v>
      </c>
      <c r="AV31" s="70">
        <f xml:space="preserve"> Metalkol_Model1!AV836</f>
        <v>0</v>
      </c>
    </row>
    <row r="32" spans="2:48" ht="15" customHeight="1">
      <c r="D32" s="6"/>
      <c r="E32" s="70" t="str">
        <f xml:space="preserve"> Metalkol_Model1!E837</f>
        <v>Project costs</v>
      </c>
      <c r="F32" s="70">
        <f xml:space="preserve"> Metalkol_Model1!F837</f>
        <v>0</v>
      </c>
      <c r="G32" s="70" t="str">
        <f xml:space="preserve"> Metalkol_Model1!G837</f>
        <v>$ mn</v>
      </c>
      <c r="H32" s="70">
        <f xml:space="preserve"> Metalkol_Model1!H837</f>
        <v>0</v>
      </c>
      <c r="I32" s="70">
        <f xml:space="preserve"> Metalkol_Model1!I837</f>
        <v>0</v>
      </c>
      <c r="J32" s="70">
        <f xml:space="preserve"> Metalkol_Model1!J837</f>
        <v>11409.450100214803</v>
      </c>
      <c r="K32" s="70">
        <f xml:space="preserve"> Metalkol_Model1!K837</f>
        <v>0</v>
      </c>
      <c r="L32" s="70">
        <f xml:space="preserve"> Metalkol_Model1!L837</f>
        <v>0</v>
      </c>
      <c r="M32" s="70">
        <f xml:space="preserve"> Metalkol_Model1!M837</f>
        <v>0</v>
      </c>
      <c r="N32" s="70">
        <f xml:space="preserve"> Metalkol_Model1!N837</f>
        <v>0</v>
      </c>
      <c r="O32" s="70">
        <f xml:space="preserve"> Metalkol_Model1!O837</f>
        <v>0</v>
      </c>
      <c r="P32" s="70">
        <f xml:space="preserve"> Metalkol_Model1!P837</f>
        <v>1010.1999999999999</v>
      </c>
      <c r="Q32" s="70">
        <f xml:space="preserve"> Metalkol_Model1!Q837</f>
        <v>175.6</v>
      </c>
      <c r="R32" s="70">
        <f xml:space="preserve"> Metalkol_Model1!R837</f>
        <v>486.63794048964814</v>
      </c>
      <c r="S32" s="70">
        <f xml:space="preserve"> Metalkol_Model1!S837</f>
        <v>551.71424078731718</v>
      </c>
      <c r="T32" s="70">
        <f xml:space="preserve"> Metalkol_Model1!T837</f>
        <v>727.20558726085744</v>
      </c>
      <c r="U32" s="70">
        <f xml:space="preserve"> Metalkol_Model1!U837</f>
        <v>731.56195105130121</v>
      </c>
      <c r="V32" s="70">
        <f xml:space="preserve"> Metalkol_Model1!V837</f>
        <v>793.32619530593968</v>
      </c>
      <c r="W32" s="70">
        <f xml:space="preserve"> Metalkol_Model1!W837</f>
        <v>800.23985651887074</v>
      </c>
      <c r="X32" s="70">
        <f xml:space="preserve"> Metalkol_Model1!X837</f>
        <v>838.21412539646929</v>
      </c>
      <c r="Y32" s="70">
        <f xml:space="preserve"> Metalkol_Model1!Y837</f>
        <v>827.98020566444688</v>
      </c>
      <c r="Z32" s="70">
        <f xml:space="preserve"> Metalkol_Model1!Z837</f>
        <v>862.55418587320833</v>
      </c>
      <c r="AA32" s="70">
        <f xml:space="preserve"> Metalkol_Model1!AA837</f>
        <v>861.84632894788945</v>
      </c>
      <c r="AB32" s="70">
        <f xml:space="preserve"> Metalkol_Model1!AB837</f>
        <v>914.28058374280329</v>
      </c>
      <c r="AC32" s="70">
        <f xml:space="preserve"> Metalkol_Model1!AC837</f>
        <v>906.43011767266671</v>
      </c>
      <c r="AD32" s="70">
        <f xml:space="preserve"> Metalkol_Model1!AD837</f>
        <v>921.65878150338483</v>
      </c>
      <c r="AE32" s="70">
        <f xml:space="preserve"> Metalkol_Model1!AE837</f>
        <v>0</v>
      </c>
      <c r="AF32" s="70">
        <f xml:space="preserve"> Metalkol_Model1!AF837</f>
        <v>0</v>
      </c>
      <c r="AG32" s="70">
        <f xml:space="preserve"> Metalkol_Model1!AG837</f>
        <v>0</v>
      </c>
      <c r="AH32" s="70">
        <f xml:space="preserve"> Metalkol_Model1!AH837</f>
        <v>0</v>
      </c>
      <c r="AI32" s="70">
        <f xml:space="preserve"> Metalkol_Model1!AI837</f>
        <v>0</v>
      </c>
      <c r="AJ32" s="70">
        <f xml:space="preserve"> Metalkol_Model1!AJ837</f>
        <v>0</v>
      </c>
      <c r="AK32" s="70">
        <f xml:space="preserve"> Metalkol_Model1!AK837</f>
        <v>0</v>
      </c>
      <c r="AL32" s="70">
        <f xml:space="preserve"> Metalkol_Model1!AL837</f>
        <v>0</v>
      </c>
      <c r="AM32" s="70">
        <f xml:space="preserve"> Metalkol_Model1!AM837</f>
        <v>0</v>
      </c>
      <c r="AN32" s="70">
        <f xml:space="preserve"> Metalkol_Model1!AN837</f>
        <v>0</v>
      </c>
      <c r="AO32" s="70">
        <f xml:space="preserve"> Metalkol_Model1!AO837</f>
        <v>0</v>
      </c>
      <c r="AP32" s="70">
        <f xml:space="preserve"> Metalkol_Model1!AP837</f>
        <v>0</v>
      </c>
      <c r="AQ32" s="70">
        <f xml:space="preserve"> Metalkol_Model1!AQ837</f>
        <v>0</v>
      </c>
      <c r="AR32" s="70">
        <f xml:space="preserve"> Metalkol_Model1!AR837</f>
        <v>0</v>
      </c>
      <c r="AS32" s="70">
        <f xml:space="preserve"> Metalkol_Model1!AS837</f>
        <v>0</v>
      </c>
      <c r="AT32" s="70">
        <f xml:space="preserve"> Metalkol_Model1!AT837</f>
        <v>0</v>
      </c>
      <c r="AU32" s="70">
        <f xml:space="preserve"> Metalkol_Model1!AU837</f>
        <v>0</v>
      </c>
      <c r="AV32" s="70">
        <f xml:space="preserve"> Metalkol_Model1!AV837</f>
        <v>0</v>
      </c>
    </row>
    <row r="33" spans="2:48" ht="15" customHeight="1">
      <c r="D33" s="6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</row>
    <row r="34" spans="2:48" ht="15" customHeight="1">
      <c r="B34" s="95" t="s">
        <v>783</v>
      </c>
      <c r="D34" s="6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</row>
    <row r="35" spans="2:48" ht="15" customHeight="1">
      <c r="D35" s="6"/>
      <c r="E35" s="70" t="str">
        <f xml:space="preserve"> Metalkol_Model1!E839</f>
        <v>Project cashflows before fiscal regime</v>
      </c>
      <c r="F35" s="70">
        <f xml:space="preserve"> Metalkol_Model1!F839</f>
        <v>0</v>
      </c>
      <c r="G35" s="70" t="str">
        <f xml:space="preserve"> Metalkol_Model1!G839</f>
        <v>$ mn</v>
      </c>
      <c r="H35" s="70">
        <f xml:space="preserve"> Metalkol_Model1!H839</f>
        <v>0</v>
      </c>
      <c r="I35" s="70">
        <f xml:space="preserve"> Metalkol_Model1!I839</f>
        <v>0</v>
      </c>
      <c r="J35" s="70">
        <f xml:space="preserve"> Metalkol_Model1!J839</f>
        <v>7602.4719981898188</v>
      </c>
      <c r="K35" s="70">
        <f xml:space="preserve"> Metalkol_Model1!K839</f>
        <v>0</v>
      </c>
      <c r="L35" s="70">
        <f xml:space="preserve"> Metalkol_Model1!L839</f>
        <v>0</v>
      </c>
      <c r="M35" s="70">
        <f xml:space="preserve"> Metalkol_Model1!M839</f>
        <v>0</v>
      </c>
      <c r="N35" s="70">
        <f xml:space="preserve"> Metalkol_Model1!N839</f>
        <v>0</v>
      </c>
      <c r="O35" s="70">
        <f xml:space="preserve"> Metalkol_Model1!O839</f>
        <v>0</v>
      </c>
      <c r="P35" s="70">
        <f xml:space="preserve"> Metalkol_Model1!P839</f>
        <v>-943.06374607057251</v>
      </c>
      <c r="Q35" s="70">
        <f xml:space="preserve"> Metalkol_Model1!Q839</f>
        <v>770.99558436977952</v>
      </c>
      <c r="R35" s="70">
        <f xml:space="preserve"> Metalkol_Model1!R839</f>
        <v>314.33493733000921</v>
      </c>
      <c r="S35" s="70">
        <f xml:space="preserve"> Metalkol_Model1!S839</f>
        <v>1003.2129916506368</v>
      </c>
      <c r="T35" s="70">
        <f xml:space="preserve"> Metalkol_Model1!T839</f>
        <v>1063.0484207248564</v>
      </c>
      <c r="U35" s="70">
        <f xml:space="preserve"> Metalkol_Model1!U839</f>
        <v>555.43352993011024</v>
      </c>
      <c r="V35" s="70">
        <f xml:space="preserve"> Metalkol_Model1!V839</f>
        <v>404.33052632425427</v>
      </c>
      <c r="W35" s="70">
        <f xml:space="preserve"> Metalkol_Model1!W839</f>
        <v>603.51914712237158</v>
      </c>
      <c r="X35" s="70">
        <f xml:space="preserve"> Metalkol_Model1!X839</f>
        <v>552.92060449538792</v>
      </c>
      <c r="Y35" s="70">
        <f xml:space="preserve"> Metalkol_Model1!Y839</f>
        <v>541.23665696978128</v>
      </c>
      <c r="Z35" s="70">
        <f xml:space="preserve"> Metalkol_Model1!Z839</f>
        <v>535.78080999474901</v>
      </c>
      <c r="AA35" s="70">
        <f xml:space="preserve"> Metalkol_Model1!AA839</f>
        <v>531.50535740522753</v>
      </c>
      <c r="AB35" s="70">
        <f xml:space="preserve"> Metalkol_Model1!AB839</f>
        <v>486.3857379523771</v>
      </c>
      <c r="AC35" s="70">
        <f xml:space="preserve"> Metalkol_Model1!AC839</f>
        <v>584.03809811517249</v>
      </c>
      <c r="AD35" s="70">
        <f xml:space="preserve"> Metalkol_Model1!AD839</f>
        <v>598.7933418756794</v>
      </c>
      <c r="AE35" s="70">
        <f xml:space="preserve"> Metalkol_Model1!AE839</f>
        <v>0</v>
      </c>
      <c r="AF35" s="70">
        <f xml:space="preserve"> Metalkol_Model1!AF839</f>
        <v>0</v>
      </c>
      <c r="AG35" s="70">
        <f xml:space="preserve"> Metalkol_Model1!AG839</f>
        <v>0</v>
      </c>
      <c r="AH35" s="70">
        <f xml:space="preserve"> Metalkol_Model1!AH839</f>
        <v>0</v>
      </c>
      <c r="AI35" s="70">
        <f xml:space="preserve"> Metalkol_Model1!AI839</f>
        <v>0</v>
      </c>
      <c r="AJ35" s="70">
        <f xml:space="preserve"> Metalkol_Model1!AJ839</f>
        <v>0</v>
      </c>
      <c r="AK35" s="70">
        <f xml:space="preserve"> Metalkol_Model1!AK839</f>
        <v>0</v>
      </c>
      <c r="AL35" s="70">
        <f xml:space="preserve"> Metalkol_Model1!AL839</f>
        <v>0</v>
      </c>
      <c r="AM35" s="70">
        <f xml:space="preserve"> Metalkol_Model1!AM839</f>
        <v>0</v>
      </c>
      <c r="AN35" s="70">
        <f xml:space="preserve"> Metalkol_Model1!AN839</f>
        <v>0</v>
      </c>
      <c r="AO35" s="70">
        <f xml:space="preserve"> Metalkol_Model1!AO839</f>
        <v>0</v>
      </c>
      <c r="AP35" s="70">
        <f xml:space="preserve"> Metalkol_Model1!AP839</f>
        <v>0</v>
      </c>
      <c r="AQ35" s="70">
        <f xml:space="preserve"> Metalkol_Model1!AQ839</f>
        <v>0</v>
      </c>
      <c r="AR35" s="70">
        <f xml:space="preserve"> Metalkol_Model1!AR839</f>
        <v>0</v>
      </c>
      <c r="AS35" s="70">
        <f xml:space="preserve"> Metalkol_Model1!AS839</f>
        <v>0</v>
      </c>
      <c r="AT35" s="70">
        <f xml:space="preserve"> Metalkol_Model1!AT839</f>
        <v>0</v>
      </c>
      <c r="AU35" s="70">
        <f xml:space="preserve"> Metalkol_Model1!AU839</f>
        <v>0</v>
      </c>
      <c r="AV35" s="70">
        <f xml:space="preserve"> Metalkol_Model1!AV839</f>
        <v>0</v>
      </c>
    </row>
    <row r="36" spans="2:48" ht="15" customHeight="1">
      <c r="D36" s="6"/>
      <c r="E36" s="70" t="str">
        <f xml:space="preserve"> Metalkol_Model1!E840</f>
        <v>Project cashflows before fiscal regime</v>
      </c>
      <c r="F36" s="70">
        <f xml:space="preserve"> Metalkol_Model1!F840</f>
        <v>7602.4719981898188</v>
      </c>
      <c r="G36" s="70" t="str">
        <f xml:space="preserve"> Metalkol_Model1!G840</f>
        <v>$ mn</v>
      </c>
      <c r="H36" s="70">
        <f xml:space="preserve"> Metalkol_Model1!H840</f>
        <v>0</v>
      </c>
      <c r="I36" s="70">
        <f xml:space="preserve"> Metalkol_Model1!I840</f>
        <v>0</v>
      </c>
      <c r="J36" s="70"/>
      <c r="K36" s="97"/>
    </row>
    <row r="37" spans="2:48" ht="15" customHeight="1">
      <c r="D37" s="6"/>
      <c r="I37" s="3"/>
      <c r="K37" s="97"/>
    </row>
    <row r="38" spans="2:48" ht="15" customHeight="1">
      <c r="E38" s="3" t="str">
        <f>"Check: " &amp; E36</f>
        <v>Check: Project cashflows before fiscal regime</v>
      </c>
      <c r="F38" s="400">
        <f xml:space="preserve"> SUM(L38:AV38)</f>
        <v>0</v>
      </c>
      <c r="G38" s="3" t="s">
        <v>113</v>
      </c>
      <c r="L38" s="400">
        <f t="shared" ref="L38:AV38" si="0" xml:space="preserve"> IF(ABS(L19 - L23 - L32 - L35) &gt; CHK_TOL, 1, 0)</f>
        <v>0</v>
      </c>
      <c r="M38" s="400">
        <f t="shared" si="0"/>
        <v>0</v>
      </c>
      <c r="N38" s="400">
        <f t="shared" si="0"/>
        <v>0</v>
      </c>
      <c r="O38" s="400">
        <f t="shared" si="0"/>
        <v>0</v>
      </c>
      <c r="P38" s="400">
        <f t="shared" si="0"/>
        <v>0</v>
      </c>
      <c r="Q38" s="400">
        <f t="shared" si="0"/>
        <v>0</v>
      </c>
      <c r="R38" s="400">
        <f t="shared" si="0"/>
        <v>0</v>
      </c>
      <c r="S38" s="400">
        <f t="shared" si="0"/>
        <v>0</v>
      </c>
      <c r="T38" s="400">
        <f t="shared" si="0"/>
        <v>0</v>
      </c>
      <c r="U38" s="400">
        <f t="shared" si="0"/>
        <v>0</v>
      </c>
      <c r="V38" s="400">
        <f t="shared" si="0"/>
        <v>0</v>
      </c>
      <c r="W38" s="400">
        <f t="shared" si="0"/>
        <v>0</v>
      </c>
      <c r="X38" s="400">
        <f t="shared" si="0"/>
        <v>0</v>
      </c>
      <c r="Y38" s="400">
        <f t="shared" si="0"/>
        <v>0</v>
      </c>
      <c r="Z38" s="400">
        <f t="shared" si="0"/>
        <v>0</v>
      </c>
      <c r="AA38" s="400">
        <f t="shared" si="0"/>
        <v>0</v>
      </c>
      <c r="AB38" s="400">
        <f t="shared" si="0"/>
        <v>0</v>
      </c>
      <c r="AC38" s="400">
        <f t="shared" si="0"/>
        <v>0</v>
      </c>
      <c r="AD38" s="400">
        <f t="shared" si="0"/>
        <v>0</v>
      </c>
      <c r="AE38" s="400">
        <f t="shared" si="0"/>
        <v>0</v>
      </c>
      <c r="AF38" s="400">
        <f t="shared" si="0"/>
        <v>0</v>
      </c>
      <c r="AG38" s="400">
        <f t="shared" si="0"/>
        <v>0</v>
      </c>
      <c r="AH38" s="400">
        <f t="shared" si="0"/>
        <v>0</v>
      </c>
      <c r="AI38" s="400">
        <f t="shared" si="0"/>
        <v>0</v>
      </c>
      <c r="AJ38" s="400">
        <f t="shared" si="0"/>
        <v>0</v>
      </c>
      <c r="AK38" s="400">
        <f t="shared" si="0"/>
        <v>0</v>
      </c>
      <c r="AL38" s="400">
        <f t="shared" si="0"/>
        <v>0</v>
      </c>
      <c r="AM38" s="400">
        <f t="shared" si="0"/>
        <v>0</v>
      </c>
      <c r="AN38" s="400">
        <f t="shared" si="0"/>
        <v>0</v>
      </c>
      <c r="AO38" s="400">
        <f t="shared" si="0"/>
        <v>0</v>
      </c>
      <c r="AP38" s="400">
        <f t="shared" si="0"/>
        <v>0</v>
      </c>
      <c r="AQ38" s="400">
        <f t="shared" si="0"/>
        <v>0</v>
      </c>
      <c r="AR38" s="400">
        <f t="shared" si="0"/>
        <v>0</v>
      </c>
      <c r="AS38" s="400">
        <f t="shared" si="0"/>
        <v>0</v>
      </c>
      <c r="AT38" s="400">
        <f t="shared" si="0"/>
        <v>0</v>
      </c>
      <c r="AU38" s="400">
        <f t="shared" si="0"/>
        <v>0</v>
      </c>
      <c r="AV38" s="400">
        <f t="shared" si="0"/>
        <v>0</v>
      </c>
    </row>
    <row r="40" spans="2:48" ht="15" customHeight="1">
      <c r="B40" s="95" t="s">
        <v>666</v>
      </c>
    </row>
    <row r="41" spans="2:48" ht="15" customHeight="1">
      <c r="E41" s="70" t="str">
        <f xml:space="preserve"> Metalkol_Model1!E878</f>
        <v>Cu + Co government royalty</v>
      </c>
      <c r="F41" s="70">
        <f xml:space="preserve"> Metalkol_Model1!F878</f>
        <v>0</v>
      </c>
      <c r="G41" s="70" t="str">
        <f xml:space="preserve"> Metalkol_Model1!G878</f>
        <v>$ mn</v>
      </c>
      <c r="H41" s="70">
        <f xml:space="preserve"> Metalkol_Model1!H878</f>
        <v>0</v>
      </c>
      <c r="I41" s="70">
        <f xml:space="preserve"> Metalkol_Model1!I878</f>
        <v>0</v>
      </c>
      <c r="J41" s="70">
        <f xml:space="preserve"> Metalkol_Model1!J878</f>
        <v>1154.1185307309543</v>
      </c>
      <c r="K41" s="70">
        <f xml:space="preserve"> Metalkol_Model1!K878</f>
        <v>0</v>
      </c>
      <c r="L41" s="70">
        <f xml:space="preserve"> Metalkol_Model1!L878</f>
        <v>0</v>
      </c>
      <c r="M41" s="70">
        <f xml:space="preserve"> Metalkol_Model1!M878</f>
        <v>0</v>
      </c>
      <c r="N41" s="70">
        <f xml:space="preserve"> Metalkol_Model1!N878</f>
        <v>0</v>
      </c>
      <c r="O41" s="70">
        <f xml:space="preserve"> Metalkol_Model1!O878</f>
        <v>0</v>
      </c>
      <c r="P41" s="70">
        <f xml:space="preserve"> Metalkol_Model1!P878</f>
        <v>1.3427250785885494</v>
      </c>
      <c r="Q41" s="70">
        <f xml:space="preserve"> Metalkol_Model1!Q878</f>
        <v>59.696032281620234</v>
      </c>
      <c r="R41" s="70">
        <f xml:space="preserve"> Metalkol_Model1!R878</f>
        <v>49.751271941506673</v>
      </c>
      <c r="S41" s="70">
        <f xml:space="preserve"> Metalkol_Model1!S878</f>
        <v>100.44151821818988</v>
      </c>
      <c r="T41" s="70">
        <f xml:space="preserve"> Metalkol_Model1!T878</f>
        <v>125.24236751817006</v>
      </c>
      <c r="U41" s="70">
        <f xml:space="preserve"> Metalkol_Model1!U878</f>
        <v>74.909657127852839</v>
      </c>
      <c r="V41" s="70">
        <f xml:space="preserve"> Metalkol_Model1!V878</f>
        <v>64.166519191185927</v>
      </c>
      <c r="W41" s="70">
        <f xml:space="preserve"> Metalkol_Model1!W878</f>
        <v>83.797779767771601</v>
      </c>
      <c r="X41" s="70">
        <f xml:space="preserve"> Metalkol_Model1!X878</f>
        <v>82.486579491115037</v>
      </c>
      <c r="Y41" s="70">
        <f xml:space="preserve"> Metalkol_Model1!Y878</f>
        <v>79.838713164114836</v>
      </c>
      <c r="Z41" s="70">
        <f xml:space="preserve"> Metalkol_Model1!Z878</f>
        <v>83.346107494918243</v>
      </c>
      <c r="AA41" s="70">
        <f xml:space="preserve"> Metalkol_Model1!AA878</f>
        <v>83.122063374167709</v>
      </c>
      <c r="AB41" s="70">
        <f xml:space="preserve"> Metalkol_Model1!AB878</f>
        <v>82.215048780097291</v>
      </c>
      <c r="AC41" s="70">
        <f xml:space="preserve"> Metalkol_Model1!AC878</f>
        <v>90.275004523844174</v>
      </c>
      <c r="AD41" s="70">
        <f xml:space="preserve"> Metalkol_Model1!AD878</f>
        <v>93.487142777811286</v>
      </c>
      <c r="AE41" s="70">
        <f xml:space="preserve"> Metalkol_Model1!AE878</f>
        <v>0</v>
      </c>
      <c r="AF41" s="70">
        <f xml:space="preserve"> Metalkol_Model1!AF878</f>
        <v>0</v>
      </c>
      <c r="AG41" s="70">
        <f xml:space="preserve"> Metalkol_Model1!AG878</f>
        <v>0</v>
      </c>
      <c r="AH41" s="70">
        <f xml:space="preserve"> Metalkol_Model1!AH878</f>
        <v>0</v>
      </c>
      <c r="AI41" s="70">
        <f xml:space="preserve"> Metalkol_Model1!AI878</f>
        <v>0</v>
      </c>
      <c r="AJ41" s="70">
        <f xml:space="preserve"> Metalkol_Model1!AJ878</f>
        <v>0</v>
      </c>
      <c r="AK41" s="70">
        <f xml:space="preserve"> Metalkol_Model1!AK878</f>
        <v>0</v>
      </c>
      <c r="AL41" s="70">
        <f xml:space="preserve"> Metalkol_Model1!AL878</f>
        <v>0</v>
      </c>
      <c r="AM41" s="70">
        <f xml:space="preserve"> Metalkol_Model1!AM878</f>
        <v>0</v>
      </c>
      <c r="AN41" s="70">
        <f xml:space="preserve"> Metalkol_Model1!AN878</f>
        <v>0</v>
      </c>
      <c r="AO41" s="70">
        <f xml:space="preserve"> Metalkol_Model1!AO878</f>
        <v>0</v>
      </c>
      <c r="AP41" s="70">
        <f xml:space="preserve"> Metalkol_Model1!AP878</f>
        <v>0</v>
      </c>
      <c r="AQ41" s="70">
        <f xml:space="preserve"> Metalkol_Model1!AQ878</f>
        <v>0</v>
      </c>
      <c r="AR41" s="70">
        <f xml:space="preserve"> Metalkol_Model1!AR878</f>
        <v>0</v>
      </c>
      <c r="AS41" s="70">
        <f xml:space="preserve"> Metalkol_Model1!AS878</f>
        <v>0</v>
      </c>
      <c r="AT41" s="70">
        <f xml:space="preserve"> Metalkol_Model1!AT878</f>
        <v>0</v>
      </c>
      <c r="AU41" s="70">
        <f xml:space="preserve"> Metalkol_Model1!AU878</f>
        <v>0</v>
      </c>
      <c r="AV41" s="70">
        <f xml:space="preserve"> Metalkol_Model1!AV878</f>
        <v>0</v>
      </c>
    </row>
    <row r="42" spans="2:48" ht="15" customHeight="1">
      <c r="E42" s="70" t="str">
        <f xml:space="preserve"> Metalkol_Model1!E879</f>
        <v>Turnover tax (Chiffre d'Affaires 0.3PC)</v>
      </c>
      <c r="F42" s="70">
        <f xml:space="preserve"> Metalkol_Model1!F879</f>
        <v>0</v>
      </c>
      <c r="G42" s="70" t="str">
        <f xml:space="preserve"> Metalkol_Model1!G879</f>
        <v>$ mn</v>
      </c>
      <c r="H42" s="70">
        <f xml:space="preserve"> Metalkol_Model1!H879</f>
        <v>0</v>
      </c>
      <c r="I42" s="70">
        <f xml:space="preserve"> Metalkol_Model1!I879</f>
        <v>0</v>
      </c>
      <c r="J42" s="70">
        <f xml:space="preserve"> Metalkol_Model1!J879</f>
        <v>57.035766295213875</v>
      </c>
      <c r="K42" s="70">
        <f xml:space="preserve"> Metalkol_Model1!K879</f>
        <v>0</v>
      </c>
      <c r="L42" s="70">
        <f xml:space="preserve"> Metalkol_Model1!L879</f>
        <v>0</v>
      </c>
      <c r="M42" s="70">
        <f xml:space="preserve"> Metalkol_Model1!M879</f>
        <v>0</v>
      </c>
      <c r="N42" s="70">
        <f xml:space="preserve"> Metalkol_Model1!N879</f>
        <v>0</v>
      </c>
      <c r="O42" s="70">
        <f xml:space="preserve"> Metalkol_Model1!O879</f>
        <v>0</v>
      </c>
      <c r="P42" s="70">
        <f xml:space="preserve"> Metalkol_Model1!P879</f>
        <v>0.2014087617882824</v>
      </c>
      <c r="Q42" s="70">
        <f xml:space="preserve"> Metalkol_Model1!Q879</f>
        <v>2.8397867531093386</v>
      </c>
      <c r="R42" s="70">
        <f xml:space="preserve"> Metalkol_Model1!R879</f>
        <v>2.4029186334589721</v>
      </c>
      <c r="S42" s="70">
        <f xml:space="preserve"> Metalkol_Model1!S879</f>
        <v>4.6647816973138623</v>
      </c>
      <c r="T42" s="70">
        <f xml:space="preserve"> Metalkol_Model1!T879</f>
        <v>5.3707620239571421</v>
      </c>
      <c r="U42" s="70">
        <f xml:space="preserve"> Metalkol_Model1!U879</f>
        <v>3.8609864429442342</v>
      </c>
      <c r="V42" s="70">
        <f xml:space="preserve"> Metalkol_Model1!V879</f>
        <v>3.5929701648905819</v>
      </c>
      <c r="W42" s="70">
        <f xml:space="preserve"> Metalkol_Model1!W879</f>
        <v>4.2112770109237267</v>
      </c>
      <c r="X42" s="70">
        <f xml:space="preserve"> Metalkol_Model1!X879</f>
        <v>4.1734041896755718</v>
      </c>
      <c r="Y42" s="70">
        <f xml:space="preserve"> Metalkol_Model1!Y879</f>
        <v>4.1076505879026843</v>
      </c>
      <c r="Z42" s="70">
        <f xml:space="preserve"> Metalkol_Model1!Z879</f>
        <v>4.1950049876038724</v>
      </c>
      <c r="AA42" s="70">
        <f xml:space="preserve"> Metalkol_Model1!AA879</f>
        <v>4.1800550590593506</v>
      </c>
      <c r="AB42" s="70">
        <f xml:space="preserve"> Metalkol_Model1!AB879</f>
        <v>4.2019989650855409</v>
      </c>
      <c r="AC42" s="70">
        <f xml:space="preserve"> Metalkol_Model1!AC879</f>
        <v>4.4714046473635181</v>
      </c>
      <c r="AD42" s="70">
        <f xml:space="preserve"> Metalkol_Model1!AD879</f>
        <v>4.5613563701371929</v>
      </c>
      <c r="AE42" s="70">
        <f xml:space="preserve"> Metalkol_Model1!AE879</f>
        <v>0</v>
      </c>
      <c r="AF42" s="70">
        <f xml:space="preserve"> Metalkol_Model1!AF879</f>
        <v>0</v>
      </c>
      <c r="AG42" s="70">
        <f xml:space="preserve"> Metalkol_Model1!AG879</f>
        <v>0</v>
      </c>
      <c r="AH42" s="70">
        <f xml:space="preserve"> Metalkol_Model1!AH879</f>
        <v>0</v>
      </c>
      <c r="AI42" s="70">
        <f xml:space="preserve"> Metalkol_Model1!AI879</f>
        <v>0</v>
      </c>
      <c r="AJ42" s="70">
        <f xml:space="preserve"> Metalkol_Model1!AJ879</f>
        <v>0</v>
      </c>
      <c r="AK42" s="70">
        <f xml:space="preserve"> Metalkol_Model1!AK879</f>
        <v>0</v>
      </c>
      <c r="AL42" s="70">
        <f xml:space="preserve"> Metalkol_Model1!AL879</f>
        <v>0</v>
      </c>
      <c r="AM42" s="70">
        <f xml:space="preserve"> Metalkol_Model1!AM879</f>
        <v>0</v>
      </c>
      <c r="AN42" s="70">
        <f xml:space="preserve"> Metalkol_Model1!AN879</f>
        <v>0</v>
      </c>
      <c r="AO42" s="70">
        <f xml:space="preserve"> Metalkol_Model1!AO879</f>
        <v>0</v>
      </c>
      <c r="AP42" s="70">
        <f xml:space="preserve"> Metalkol_Model1!AP879</f>
        <v>0</v>
      </c>
      <c r="AQ42" s="70">
        <f xml:space="preserve"> Metalkol_Model1!AQ879</f>
        <v>0</v>
      </c>
      <c r="AR42" s="70">
        <f xml:space="preserve"> Metalkol_Model1!AR879</f>
        <v>0</v>
      </c>
      <c r="AS42" s="70">
        <f xml:space="preserve"> Metalkol_Model1!AS879</f>
        <v>0</v>
      </c>
      <c r="AT42" s="70">
        <f xml:space="preserve"> Metalkol_Model1!AT879</f>
        <v>0</v>
      </c>
      <c r="AU42" s="70">
        <f xml:space="preserve"> Metalkol_Model1!AU879</f>
        <v>0</v>
      </c>
      <c r="AV42" s="70">
        <f xml:space="preserve"> Metalkol_Model1!AV879</f>
        <v>0</v>
      </c>
    </row>
    <row r="43" spans="2:48" ht="15" customHeight="1">
      <c r="E43" s="70" t="str">
        <f xml:space="preserve"> Metalkol_Model1!E880</f>
        <v>CIT payable</v>
      </c>
      <c r="F43" s="70">
        <f xml:space="preserve"> Metalkol_Model1!F880</f>
        <v>0</v>
      </c>
      <c r="G43" s="70" t="str">
        <f xml:space="preserve"> Metalkol_Model1!G880</f>
        <v>$ mn</v>
      </c>
      <c r="H43" s="70">
        <f xml:space="preserve"> Metalkol_Model1!H880</f>
        <v>0</v>
      </c>
      <c r="I43" s="70">
        <f xml:space="preserve"> Metalkol_Model1!I880</f>
        <v>0</v>
      </c>
      <c r="J43" s="70">
        <f xml:space="preserve"> Metalkol_Model1!J880</f>
        <v>1375.6952723039724</v>
      </c>
      <c r="K43" s="70">
        <f xml:space="preserve"> Metalkol_Model1!K880</f>
        <v>0</v>
      </c>
      <c r="L43" s="70">
        <f xml:space="preserve"> Metalkol_Model1!L880</f>
        <v>0</v>
      </c>
      <c r="M43" s="70">
        <f xml:space="preserve"> Metalkol_Model1!M880</f>
        <v>0</v>
      </c>
      <c r="N43" s="70">
        <f xml:space="preserve"> Metalkol_Model1!N880</f>
        <v>0</v>
      </c>
      <c r="O43" s="70">
        <f xml:space="preserve"> Metalkol_Model1!O880</f>
        <v>0</v>
      </c>
      <c r="P43" s="70">
        <f xml:space="preserve"> Metalkol_Model1!P880</f>
        <v>0.6713625392942747</v>
      </c>
      <c r="Q43" s="70">
        <f xml:space="preserve"> Metalkol_Model1!Q880</f>
        <v>183.17829112570044</v>
      </c>
      <c r="R43" s="70">
        <f xml:space="preserve"> Metalkol_Model1!R880</f>
        <v>37.162397854489413</v>
      </c>
      <c r="S43" s="70">
        <f xml:space="preserve"> Metalkol_Model1!S880</f>
        <v>171.7373177444376</v>
      </c>
      <c r="T43" s="70">
        <f xml:space="preserve"> Metalkol_Model1!T880</f>
        <v>175.18703567870509</v>
      </c>
      <c r="U43" s="70">
        <f xml:space="preserve"> Metalkol_Model1!U880</f>
        <v>34.153976633190744</v>
      </c>
      <c r="V43" s="70">
        <f xml:space="preserve"> Metalkol_Model1!V880</f>
        <v>11.976567216301939</v>
      </c>
      <c r="W43" s="70">
        <f xml:space="preserve"> Metalkol_Model1!W880</f>
        <v>85.016741604265363</v>
      </c>
      <c r="X43" s="70">
        <f xml:space="preserve"> Metalkol_Model1!X880</f>
        <v>85.767391044424485</v>
      </c>
      <c r="Y43" s="70">
        <f xml:space="preserve"> Metalkol_Model1!Y880</f>
        <v>80.116120896881185</v>
      </c>
      <c r="Z43" s="70">
        <f xml:space="preserve"> Metalkol_Model1!Z880</f>
        <v>85.114435537737563</v>
      </c>
      <c r="AA43" s="70">
        <f xml:space="preserve"> Metalkol_Model1!AA880</f>
        <v>87.686432998471005</v>
      </c>
      <c r="AB43" s="70">
        <f xml:space="preserve"> Metalkol_Model1!AB880</f>
        <v>94.242093101167413</v>
      </c>
      <c r="AC43" s="70">
        <f xml:space="preserve"> Metalkol_Model1!AC880</f>
        <v>124.99406869768933</v>
      </c>
      <c r="AD43" s="70">
        <f xml:space="preserve"> Metalkol_Model1!AD880</f>
        <v>118.69103963121651</v>
      </c>
      <c r="AE43" s="70">
        <f xml:space="preserve"> Metalkol_Model1!AE880</f>
        <v>0</v>
      </c>
      <c r="AF43" s="70">
        <f xml:space="preserve"> Metalkol_Model1!AF880</f>
        <v>0</v>
      </c>
      <c r="AG43" s="70">
        <f xml:space="preserve"> Metalkol_Model1!AG880</f>
        <v>0</v>
      </c>
      <c r="AH43" s="70">
        <f xml:space="preserve"> Metalkol_Model1!AH880</f>
        <v>0</v>
      </c>
      <c r="AI43" s="70">
        <f xml:space="preserve"> Metalkol_Model1!AI880</f>
        <v>0</v>
      </c>
      <c r="AJ43" s="70">
        <f xml:space="preserve"> Metalkol_Model1!AJ880</f>
        <v>0</v>
      </c>
      <c r="AK43" s="70">
        <f xml:space="preserve"> Metalkol_Model1!AK880</f>
        <v>0</v>
      </c>
      <c r="AL43" s="70">
        <f xml:space="preserve"> Metalkol_Model1!AL880</f>
        <v>0</v>
      </c>
      <c r="AM43" s="70">
        <f xml:space="preserve"> Metalkol_Model1!AM880</f>
        <v>0</v>
      </c>
      <c r="AN43" s="70">
        <f xml:space="preserve"> Metalkol_Model1!AN880</f>
        <v>0</v>
      </c>
      <c r="AO43" s="70">
        <f xml:space="preserve"> Metalkol_Model1!AO880</f>
        <v>0</v>
      </c>
      <c r="AP43" s="70">
        <f xml:space="preserve"> Metalkol_Model1!AP880</f>
        <v>0</v>
      </c>
      <c r="AQ43" s="70">
        <f xml:space="preserve"> Metalkol_Model1!AQ880</f>
        <v>0</v>
      </c>
      <c r="AR43" s="70">
        <f xml:space="preserve"> Metalkol_Model1!AR880</f>
        <v>0</v>
      </c>
      <c r="AS43" s="70">
        <f xml:space="preserve"> Metalkol_Model1!AS880</f>
        <v>0</v>
      </c>
      <c r="AT43" s="70">
        <f xml:space="preserve"> Metalkol_Model1!AT880</f>
        <v>0</v>
      </c>
      <c r="AU43" s="70">
        <f xml:space="preserve"> Metalkol_Model1!AU880</f>
        <v>0</v>
      </c>
      <c r="AV43" s="70">
        <f xml:space="preserve"> Metalkol_Model1!AV880</f>
        <v>0</v>
      </c>
    </row>
    <row r="44" spans="2:48" ht="15" customHeight="1">
      <c r="E44" s="70" t="str">
        <f xml:space="preserve"> Metalkol_Model1!E881</f>
        <v>Special Tax On Excess Profits</v>
      </c>
      <c r="F44" s="70">
        <f xml:space="preserve"> Metalkol_Model1!F881</f>
        <v>0</v>
      </c>
      <c r="G44" s="70" t="str">
        <f xml:space="preserve"> Metalkol_Model1!G881</f>
        <v>$ mn</v>
      </c>
      <c r="H44" s="70">
        <f xml:space="preserve"> Metalkol_Model1!H881</f>
        <v>0</v>
      </c>
      <c r="I44" s="70">
        <f xml:space="preserve"> Metalkol_Model1!I881</f>
        <v>0</v>
      </c>
      <c r="J44" s="70">
        <f xml:space="preserve"> Metalkol_Model1!J881</f>
        <v>0</v>
      </c>
      <c r="K44" s="70">
        <f xml:space="preserve"> Metalkol_Model1!K881</f>
        <v>0</v>
      </c>
      <c r="L44" s="70">
        <f xml:space="preserve"> Metalkol_Model1!L881</f>
        <v>0</v>
      </c>
      <c r="M44" s="70">
        <f xml:space="preserve"> Metalkol_Model1!M881</f>
        <v>0</v>
      </c>
      <c r="N44" s="70">
        <f xml:space="preserve"> Metalkol_Model1!N881</f>
        <v>0</v>
      </c>
      <c r="O44" s="70">
        <f xml:space="preserve"> Metalkol_Model1!O881</f>
        <v>0</v>
      </c>
      <c r="P44" s="70">
        <f xml:space="preserve"> Metalkol_Model1!P881</f>
        <v>0</v>
      </c>
      <c r="Q44" s="70">
        <f xml:space="preserve"> Metalkol_Model1!Q881</f>
        <v>0</v>
      </c>
      <c r="R44" s="70">
        <f xml:space="preserve"> Metalkol_Model1!R881</f>
        <v>0</v>
      </c>
      <c r="S44" s="70">
        <f xml:space="preserve"> Metalkol_Model1!S881</f>
        <v>0</v>
      </c>
      <c r="T44" s="70">
        <f xml:space="preserve"> Metalkol_Model1!T881</f>
        <v>0</v>
      </c>
      <c r="U44" s="70">
        <f xml:space="preserve"> Metalkol_Model1!U881</f>
        <v>0</v>
      </c>
      <c r="V44" s="70">
        <f xml:space="preserve"> Metalkol_Model1!V881</f>
        <v>0</v>
      </c>
      <c r="W44" s="70">
        <f xml:space="preserve"> Metalkol_Model1!W881</f>
        <v>0</v>
      </c>
      <c r="X44" s="70">
        <f xml:space="preserve"> Metalkol_Model1!X881</f>
        <v>0</v>
      </c>
      <c r="Y44" s="70">
        <f xml:space="preserve"> Metalkol_Model1!Y881</f>
        <v>0</v>
      </c>
      <c r="Z44" s="70">
        <f xml:space="preserve"> Metalkol_Model1!Z881</f>
        <v>0</v>
      </c>
      <c r="AA44" s="70">
        <f xml:space="preserve"> Metalkol_Model1!AA881</f>
        <v>0</v>
      </c>
      <c r="AB44" s="70">
        <f xml:space="preserve"> Metalkol_Model1!AB881</f>
        <v>0</v>
      </c>
      <c r="AC44" s="70">
        <f xml:space="preserve"> Metalkol_Model1!AC881</f>
        <v>0</v>
      </c>
      <c r="AD44" s="70">
        <f xml:space="preserve"> Metalkol_Model1!AD881</f>
        <v>0</v>
      </c>
      <c r="AE44" s="70">
        <f xml:space="preserve"> Metalkol_Model1!AE881</f>
        <v>0</v>
      </c>
      <c r="AF44" s="70">
        <f xml:space="preserve"> Metalkol_Model1!AF881</f>
        <v>0</v>
      </c>
      <c r="AG44" s="70">
        <f xml:space="preserve"> Metalkol_Model1!AG881</f>
        <v>0</v>
      </c>
      <c r="AH44" s="70">
        <f xml:space="preserve"> Metalkol_Model1!AH881</f>
        <v>0</v>
      </c>
      <c r="AI44" s="70">
        <f xml:space="preserve"> Metalkol_Model1!AI881</f>
        <v>0</v>
      </c>
      <c r="AJ44" s="70">
        <f xml:space="preserve"> Metalkol_Model1!AJ881</f>
        <v>0</v>
      </c>
      <c r="AK44" s="70">
        <f xml:space="preserve"> Metalkol_Model1!AK881</f>
        <v>0</v>
      </c>
      <c r="AL44" s="70">
        <f xml:space="preserve"> Metalkol_Model1!AL881</f>
        <v>0</v>
      </c>
      <c r="AM44" s="70">
        <f xml:space="preserve"> Metalkol_Model1!AM881</f>
        <v>0</v>
      </c>
      <c r="AN44" s="70">
        <f xml:space="preserve"> Metalkol_Model1!AN881</f>
        <v>0</v>
      </c>
      <c r="AO44" s="70">
        <f xml:space="preserve"> Metalkol_Model1!AO881</f>
        <v>0</v>
      </c>
      <c r="AP44" s="70">
        <f xml:space="preserve"> Metalkol_Model1!AP881</f>
        <v>0</v>
      </c>
      <c r="AQ44" s="70">
        <f xml:space="preserve"> Metalkol_Model1!AQ881</f>
        <v>0</v>
      </c>
      <c r="AR44" s="70">
        <f xml:space="preserve"> Metalkol_Model1!AR881</f>
        <v>0</v>
      </c>
      <c r="AS44" s="70">
        <f xml:space="preserve"> Metalkol_Model1!AS881</f>
        <v>0</v>
      </c>
      <c r="AT44" s="70">
        <f xml:space="preserve"> Metalkol_Model1!AT881</f>
        <v>0</v>
      </c>
      <c r="AU44" s="70">
        <f xml:space="preserve"> Metalkol_Model1!AU881</f>
        <v>0</v>
      </c>
      <c r="AV44" s="70">
        <f xml:space="preserve"> Metalkol_Model1!AV881</f>
        <v>0</v>
      </c>
    </row>
    <row r="45" spans="2:48" ht="15" customHeight="1">
      <c r="E45" s="70" t="str">
        <f xml:space="preserve"> Metalkol_Model1!E882</f>
        <v>Payroll taxes (included in costs)</v>
      </c>
      <c r="F45" s="70">
        <f xml:space="preserve"> Metalkol_Model1!F882</f>
        <v>0</v>
      </c>
      <c r="G45" s="70" t="str">
        <f xml:space="preserve"> Metalkol_Model1!G882</f>
        <v>$ mn</v>
      </c>
      <c r="H45" s="70">
        <f xml:space="preserve"> Metalkol_Model1!H882</f>
        <v>0</v>
      </c>
      <c r="I45" s="70">
        <f xml:space="preserve"> Metalkol_Model1!I882</f>
        <v>0</v>
      </c>
      <c r="J45" s="70">
        <f xml:space="preserve"> Metalkol_Model1!J882</f>
        <v>198.14906260966347</v>
      </c>
      <c r="K45" s="70">
        <f xml:space="preserve"> Metalkol_Model1!K882</f>
        <v>0</v>
      </c>
      <c r="L45" s="70">
        <f xml:space="preserve"> Metalkol_Model1!L882</f>
        <v>0</v>
      </c>
      <c r="M45" s="70">
        <f xml:space="preserve"> Metalkol_Model1!M882</f>
        <v>0</v>
      </c>
      <c r="N45" s="70">
        <f xml:space="preserve"> Metalkol_Model1!N882</f>
        <v>0</v>
      </c>
      <c r="O45" s="70">
        <f xml:space="preserve"> Metalkol_Model1!O882</f>
        <v>0</v>
      </c>
      <c r="P45" s="70">
        <f xml:space="preserve"> Metalkol_Model1!P882</f>
        <v>0</v>
      </c>
      <c r="Q45" s="70">
        <f xml:space="preserve"> Metalkol_Model1!Q882</f>
        <v>0</v>
      </c>
      <c r="R45" s="70">
        <f xml:space="preserve"> Metalkol_Model1!R882</f>
        <v>8.5400000000000009</v>
      </c>
      <c r="S45" s="70">
        <f xml:space="preserve"> Metalkol_Model1!S882</f>
        <v>10.64</v>
      </c>
      <c r="T45" s="70">
        <f xml:space="preserve"> Metalkol_Model1!T882</f>
        <v>14.1</v>
      </c>
      <c r="U45" s="70">
        <f xml:space="preserve"> Metalkol_Model1!U882</f>
        <v>14.485831425574377</v>
      </c>
      <c r="V45" s="70">
        <f xml:space="preserve"> Metalkol_Model1!V882</f>
        <v>15.211281323399248</v>
      </c>
      <c r="W45" s="70">
        <f xml:space="preserve"> Metalkol_Model1!W882</f>
        <v>15.70909013691362</v>
      </c>
      <c r="X45" s="70">
        <f xml:space="preserve"> Metalkol_Model1!X882</f>
        <v>16.018442795506687</v>
      </c>
      <c r="Y45" s="70">
        <f xml:space="preserve"> Metalkol_Model1!Y882</f>
        <v>16.337476745333156</v>
      </c>
      <c r="Z45" s="70">
        <f xml:space="preserve"> Metalkol_Model1!Z882</f>
        <v>16.756732538326823</v>
      </c>
      <c r="AA45" s="70">
        <f xml:space="preserve"> Metalkol_Model1!AA882</f>
        <v>17.024409072806872</v>
      </c>
      <c r="AB45" s="70">
        <f xml:space="preserve"> Metalkol_Model1!AB882</f>
        <v>17.332453605128741</v>
      </c>
      <c r="AC45" s="70">
        <f xml:space="preserve"> Metalkol_Model1!AC882</f>
        <v>17.944513126258659</v>
      </c>
      <c r="AD45" s="70">
        <f xml:space="preserve"> Metalkol_Model1!AD882</f>
        <v>18.048831840415318</v>
      </c>
      <c r="AE45" s="70">
        <f xml:space="preserve"> Metalkol_Model1!AE882</f>
        <v>0</v>
      </c>
      <c r="AF45" s="70">
        <f xml:space="preserve"> Metalkol_Model1!AF882</f>
        <v>0</v>
      </c>
      <c r="AG45" s="70">
        <f xml:space="preserve"> Metalkol_Model1!AG882</f>
        <v>0</v>
      </c>
      <c r="AH45" s="70">
        <f xml:space="preserve"> Metalkol_Model1!AH882</f>
        <v>0</v>
      </c>
      <c r="AI45" s="70">
        <f xml:space="preserve"> Metalkol_Model1!AI882</f>
        <v>0</v>
      </c>
      <c r="AJ45" s="70">
        <f xml:space="preserve"> Metalkol_Model1!AJ882</f>
        <v>0</v>
      </c>
      <c r="AK45" s="70">
        <f xml:space="preserve"> Metalkol_Model1!AK882</f>
        <v>0</v>
      </c>
      <c r="AL45" s="70">
        <f xml:space="preserve"> Metalkol_Model1!AL882</f>
        <v>0</v>
      </c>
      <c r="AM45" s="70">
        <f xml:space="preserve"> Metalkol_Model1!AM882</f>
        <v>0</v>
      </c>
      <c r="AN45" s="70">
        <f xml:space="preserve"> Metalkol_Model1!AN882</f>
        <v>0</v>
      </c>
      <c r="AO45" s="70">
        <f xml:space="preserve"> Metalkol_Model1!AO882</f>
        <v>0</v>
      </c>
      <c r="AP45" s="70">
        <f xml:space="preserve"> Metalkol_Model1!AP882</f>
        <v>0</v>
      </c>
      <c r="AQ45" s="70">
        <f xml:space="preserve"> Metalkol_Model1!AQ882</f>
        <v>0</v>
      </c>
      <c r="AR45" s="70">
        <f xml:space="preserve"> Metalkol_Model1!AR882</f>
        <v>0</v>
      </c>
      <c r="AS45" s="70">
        <f xml:space="preserve"> Metalkol_Model1!AS882</f>
        <v>0</v>
      </c>
      <c r="AT45" s="70">
        <f xml:space="preserve"> Metalkol_Model1!AT882</f>
        <v>0</v>
      </c>
      <c r="AU45" s="70">
        <f xml:space="preserve"> Metalkol_Model1!AU882</f>
        <v>0</v>
      </c>
      <c r="AV45" s="70">
        <f xml:space="preserve"> Metalkol_Model1!AV882</f>
        <v>0</v>
      </c>
    </row>
    <row r="46" spans="2:48" ht="15" customHeight="1">
      <c r="E46" s="70" t="str">
        <f xml:space="preserve"> Metalkol_Model1!E883</f>
        <v>Import duties</v>
      </c>
      <c r="F46" s="70">
        <f xml:space="preserve"> Metalkol_Model1!F883</f>
        <v>0</v>
      </c>
      <c r="G46" s="70" t="str">
        <f xml:space="preserve"> Metalkol_Model1!G883</f>
        <v>$ mn</v>
      </c>
      <c r="H46" s="70">
        <f xml:space="preserve"> Metalkol_Model1!H883</f>
        <v>0</v>
      </c>
      <c r="I46" s="70">
        <f xml:space="preserve"> Metalkol_Model1!I883</f>
        <v>0</v>
      </c>
      <c r="J46" s="70">
        <f xml:space="preserve"> Metalkol_Model1!J883</f>
        <v>15.316407444483447</v>
      </c>
      <c r="K46" s="70">
        <f xml:space="preserve"> Metalkol_Model1!K883</f>
        <v>0</v>
      </c>
      <c r="L46" s="70">
        <f xml:space="preserve"> Metalkol_Model1!L883</f>
        <v>0</v>
      </c>
      <c r="M46" s="70">
        <f xml:space="preserve"> Metalkol_Model1!M883</f>
        <v>0</v>
      </c>
      <c r="N46" s="70">
        <f xml:space="preserve"> Metalkol_Model1!N883</f>
        <v>0</v>
      </c>
      <c r="O46" s="70">
        <f xml:space="preserve"> Metalkol_Model1!O883</f>
        <v>0</v>
      </c>
      <c r="P46" s="70">
        <f xml:space="preserve"> Metalkol_Model1!P883</f>
        <v>1.7756350777216481</v>
      </c>
      <c r="Q46" s="70">
        <f xml:space="preserve"> Metalkol_Model1!Q883</f>
        <v>3.4820250524972924</v>
      </c>
      <c r="R46" s="70">
        <f xml:space="preserve"> Metalkol_Model1!R883</f>
        <v>0</v>
      </c>
      <c r="S46" s="70">
        <f xml:space="preserve"> Metalkol_Model1!S883</f>
        <v>0</v>
      </c>
      <c r="T46" s="70">
        <f xml:space="preserve"> Metalkol_Model1!T883</f>
        <v>10.058747314264506</v>
      </c>
      <c r="U46" s="70">
        <f xml:space="preserve"> Metalkol_Model1!U883</f>
        <v>0</v>
      </c>
      <c r="V46" s="70">
        <f xml:space="preserve"> Metalkol_Model1!V883</f>
        <v>0</v>
      </c>
      <c r="W46" s="70">
        <f xml:space="preserve"> Metalkol_Model1!W883</f>
        <v>0</v>
      </c>
      <c r="X46" s="70">
        <f xml:space="preserve"> Metalkol_Model1!X883</f>
        <v>0</v>
      </c>
      <c r="Y46" s="70">
        <f xml:space="preserve"> Metalkol_Model1!Y883</f>
        <v>0</v>
      </c>
      <c r="Z46" s="70">
        <f xml:space="preserve"> Metalkol_Model1!Z883</f>
        <v>0</v>
      </c>
      <c r="AA46" s="70">
        <f xml:space="preserve"> Metalkol_Model1!AA883</f>
        <v>0</v>
      </c>
      <c r="AB46" s="70">
        <f xml:space="preserve"> Metalkol_Model1!AB883</f>
        <v>0</v>
      </c>
      <c r="AC46" s="70">
        <f xml:space="preserve"> Metalkol_Model1!AC883</f>
        <v>0</v>
      </c>
      <c r="AD46" s="70">
        <f xml:space="preserve"> Metalkol_Model1!AD883</f>
        <v>0</v>
      </c>
      <c r="AE46" s="70">
        <f xml:space="preserve"> Metalkol_Model1!AE883</f>
        <v>0</v>
      </c>
      <c r="AF46" s="70">
        <f xml:space="preserve"> Metalkol_Model1!AF883</f>
        <v>0</v>
      </c>
      <c r="AG46" s="70">
        <f xml:space="preserve"> Metalkol_Model1!AG883</f>
        <v>0</v>
      </c>
      <c r="AH46" s="70">
        <f xml:space="preserve"> Metalkol_Model1!AH883</f>
        <v>0</v>
      </c>
      <c r="AI46" s="70">
        <f xml:space="preserve"> Metalkol_Model1!AI883</f>
        <v>0</v>
      </c>
      <c r="AJ46" s="70">
        <f xml:space="preserve"> Metalkol_Model1!AJ883</f>
        <v>0</v>
      </c>
      <c r="AK46" s="70">
        <f xml:space="preserve"> Metalkol_Model1!AK883</f>
        <v>0</v>
      </c>
      <c r="AL46" s="70">
        <f xml:space="preserve"> Metalkol_Model1!AL883</f>
        <v>0</v>
      </c>
      <c r="AM46" s="70">
        <f xml:space="preserve"> Metalkol_Model1!AM883</f>
        <v>0</v>
      </c>
      <c r="AN46" s="70">
        <f xml:space="preserve"> Metalkol_Model1!AN883</f>
        <v>0</v>
      </c>
      <c r="AO46" s="70">
        <f xml:space="preserve"> Metalkol_Model1!AO883</f>
        <v>0</v>
      </c>
      <c r="AP46" s="70">
        <f xml:space="preserve"> Metalkol_Model1!AP883</f>
        <v>0</v>
      </c>
      <c r="AQ46" s="70">
        <f xml:space="preserve"> Metalkol_Model1!AQ883</f>
        <v>0</v>
      </c>
      <c r="AR46" s="70">
        <f xml:space="preserve"> Metalkol_Model1!AR883</f>
        <v>0</v>
      </c>
      <c r="AS46" s="70">
        <f xml:space="preserve"> Metalkol_Model1!AS883</f>
        <v>0</v>
      </c>
      <c r="AT46" s="70">
        <f xml:space="preserve"> Metalkol_Model1!AT883</f>
        <v>0</v>
      </c>
      <c r="AU46" s="70">
        <f xml:space="preserve"> Metalkol_Model1!AU883</f>
        <v>0</v>
      </c>
      <c r="AV46" s="70">
        <f xml:space="preserve"> Metalkol_Model1!AV883</f>
        <v>0</v>
      </c>
    </row>
    <row r="47" spans="2:48" ht="15" customHeight="1">
      <c r="E47" s="70" t="str">
        <f xml:space="preserve"> Metalkol_Model1!E884</f>
        <v>Interest Withholding Tax</v>
      </c>
      <c r="F47" s="70">
        <f xml:space="preserve"> Metalkol_Model1!F884</f>
        <v>0</v>
      </c>
      <c r="G47" s="70" t="str">
        <f xml:space="preserve"> Metalkol_Model1!G884</f>
        <v>$ mn</v>
      </c>
      <c r="H47" s="70">
        <f xml:space="preserve"> Metalkol_Model1!H884</f>
        <v>0</v>
      </c>
      <c r="I47" s="70">
        <f xml:space="preserve"> Metalkol_Model1!I884</f>
        <v>0</v>
      </c>
      <c r="J47" s="70">
        <f xml:space="preserve"> Metalkol_Model1!J884</f>
        <v>0</v>
      </c>
      <c r="K47" s="70">
        <f xml:space="preserve"> Metalkol_Model1!K884</f>
        <v>0</v>
      </c>
      <c r="L47" s="70">
        <f xml:space="preserve"> Metalkol_Model1!L884</f>
        <v>0</v>
      </c>
      <c r="M47" s="70">
        <f xml:space="preserve"> Metalkol_Model1!M884</f>
        <v>0</v>
      </c>
      <c r="N47" s="70">
        <f xml:space="preserve"> Metalkol_Model1!N884</f>
        <v>0</v>
      </c>
      <c r="O47" s="70">
        <f xml:space="preserve"> Metalkol_Model1!O884</f>
        <v>0</v>
      </c>
      <c r="P47" s="70">
        <f xml:space="preserve"> Metalkol_Model1!P884</f>
        <v>0</v>
      </c>
      <c r="Q47" s="70">
        <f xml:space="preserve"> Metalkol_Model1!Q884</f>
        <v>0</v>
      </c>
      <c r="R47" s="70">
        <f xml:space="preserve"> Metalkol_Model1!R884</f>
        <v>0</v>
      </c>
      <c r="S47" s="70">
        <f xml:space="preserve"> Metalkol_Model1!S884</f>
        <v>0</v>
      </c>
      <c r="T47" s="70">
        <f xml:space="preserve"> Metalkol_Model1!T884</f>
        <v>0</v>
      </c>
      <c r="U47" s="70">
        <f xml:space="preserve"> Metalkol_Model1!U884</f>
        <v>0</v>
      </c>
      <c r="V47" s="70">
        <f xml:space="preserve"> Metalkol_Model1!V884</f>
        <v>0</v>
      </c>
      <c r="W47" s="70">
        <f xml:space="preserve"> Metalkol_Model1!W884</f>
        <v>0</v>
      </c>
      <c r="X47" s="70">
        <f xml:space="preserve"> Metalkol_Model1!X884</f>
        <v>0</v>
      </c>
      <c r="Y47" s="70">
        <f xml:space="preserve"> Metalkol_Model1!Y884</f>
        <v>0</v>
      </c>
      <c r="Z47" s="70">
        <f xml:space="preserve"> Metalkol_Model1!Z884</f>
        <v>0</v>
      </c>
      <c r="AA47" s="70">
        <f xml:space="preserve"> Metalkol_Model1!AA884</f>
        <v>0</v>
      </c>
      <c r="AB47" s="70">
        <f xml:space="preserve"> Metalkol_Model1!AB884</f>
        <v>0</v>
      </c>
      <c r="AC47" s="70">
        <f xml:space="preserve"> Metalkol_Model1!AC884</f>
        <v>0</v>
      </c>
      <c r="AD47" s="70">
        <f xml:space="preserve"> Metalkol_Model1!AD884</f>
        <v>0</v>
      </c>
      <c r="AE47" s="70">
        <f xml:space="preserve"> Metalkol_Model1!AE884</f>
        <v>0</v>
      </c>
      <c r="AF47" s="70">
        <f xml:space="preserve"> Metalkol_Model1!AF884</f>
        <v>0</v>
      </c>
      <c r="AG47" s="70">
        <f xml:space="preserve"> Metalkol_Model1!AG884</f>
        <v>0</v>
      </c>
      <c r="AH47" s="70">
        <f xml:space="preserve"> Metalkol_Model1!AH884</f>
        <v>0</v>
      </c>
      <c r="AI47" s="70">
        <f xml:space="preserve"> Metalkol_Model1!AI884</f>
        <v>0</v>
      </c>
      <c r="AJ47" s="70">
        <f xml:space="preserve"> Metalkol_Model1!AJ884</f>
        <v>0</v>
      </c>
      <c r="AK47" s="70">
        <f xml:space="preserve"> Metalkol_Model1!AK884</f>
        <v>0</v>
      </c>
      <c r="AL47" s="70">
        <f xml:space="preserve"> Metalkol_Model1!AL884</f>
        <v>0</v>
      </c>
      <c r="AM47" s="70">
        <f xml:space="preserve"> Metalkol_Model1!AM884</f>
        <v>0</v>
      </c>
      <c r="AN47" s="70">
        <f xml:space="preserve"> Metalkol_Model1!AN884</f>
        <v>0</v>
      </c>
      <c r="AO47" s="70">
        <f xml:space="preserve"> Metalkol_Model1!AO884</f>
        <v>0</v>
      </c>
      <c r="AP47" s="70">
        <f xml:space="preserve"> Metalkol_Model1!AP884</f>
        <v>0</v>
      </c>
      <c r="AQ47" s="70">
        <f xml:space="preserve"> Metalkol_Model1!AQ884</f>
        <v>0</v>
      </c>
      <c r="AR47" s="70">
        <f xml:space="preserve"> Metalkol_Model1!AR884</f>
        <v>0</v>
      </c>
      <c r="AS47" s="70">
        <f xml:space="preserve"> Metalkol_Model1!AS884</f>
        <v>0</v>
      </c>
      <c r="AT47" s="70">
        <f xml:space="preserve"> Metalkol_Model1!AT884</f>
        <v>0</v>
      </c>
      <c r="AU47" s="70">
        <f xml:space="preserve"> Metalkol_Model1!AU884</f>
        <v>0</v>
      </c>
      <c r="AV47" s="70">
        <f xml:space="preserve"> Metalkol_Model1!AV884</f>
        <v>0</v>
      </c>
    </row>
    <row r="48" spans="2:48" ht="15" customHeight="1">
      <c r="E48" s="70" t="str">
        <f xml:space="preserve"> Metalkol_Model1!E885</f>
        <v>Dividend withholding tax</v>
      </c>
      <c r="F48" s="70">
        <f xml:space="preserve"> Metalkol_Model1!F885</f>
        <v>0</v>
      </c>
      <c r="G48" s="70" t="str">
        <f xml:space="preserve"> Metalkol_Model1!G885</f>
        <v>$ mn</v>
      </c>
      <c r="H48" s="70">
        <f xml:space="preserve"> Metalkol_Model1!H885</f>
        <v>0</v>
      </c>
      <c r="I48" s="70">
        <f xml:space="preserve"> Metalkol_Model1!I885</f>
        <v>0</v>
      </c>
      <c r="J48" s="70">
        <f xml:space="preserve"> Metalkol_Model1!J885</f>
        <v>284.73360235425861</v>
      </c>
      <c r="K48" s="70">
        <f xml:space="preserve"> Metalkol_Model1!K885</f>
        <v>0</v>
      </c>
      <c r="L48" s="70">
        <f xml:space="preserve"> Metalkol_Model1!L885</f>
        <v>0</v>
      </c>
      <c r="M48" s="70">
        <f xml:space="preserve"> Metalkol_Model1!M885</f>
        <v>0</v>
      </c>
      <c r="N48" s="70">
        <f xml:space="preserve"> Metalkol_Model1!N885</f>
        <v>0</v>
      </c>
      <c r="O48" s="70">
        <f xml:space="preserve"> Metalkol_Model1!O885</f>
        <v>0</v>
      </c>
      <c r="P48" s="70">
        <f xml:space="preserve"> Metalkol_Model1!P885</f>
        <v>0</v>
      </c>
      <c r="Q48" s="70">
        <f xml:space="preserve"> Metalkol_Model1!Q885</f>
        <v>25.902127734161525</v>
      </c>
      <c r="R48" s="70">
        <f xml:space="preserve"> Metalkol_Model1!R885</f>
        <v>16.890896425955646</v>
      </c>
      <c r="S48" s="70">
        <f xml:space="preserve"> Metalkol_Model1!S885</f>
        <v>55.660156486177186</v>
      </c>
      <c r="T48" s="70">
        <f xml:space="preserve"> Metalkol_Model1!T885</f>
        <v>52.940986442394319</v>
      </c>
      <c r="U48" s="70">
        <f xml:space="preserve"> Metalkol_Model1!U885</f>
        <v>22.541759252892845</v>
      </c>
      <c r="V48" s="70">
        <f xml:space="preserve"> Metalkol_Model1!V885</f>
        <v>11.400590730927673</v>
      </c>
      <c r="W48" s="70">
        <f xml:space="preserve"> Metalkol_Model1!W885</f>
        <v>16.314082116819993</v>
      </c>
      <c r="X48" s="70">
        <f xml:space="preserve"> Metalkol_Model1!X885</f>
        <v>9.8143467987945492</v>
      </c>
      <c r="Y48" s="70">
        <f xml:space="preserve"> Metalkol_Model1!Y885</f>
        <v>3.9561482189484538</v>
      </c>
      <c r="Z48" s="70">
        <f xml:space="preserve"> Metalkol_Model1!Z885</f>
        <v>0</v>
      </c>
      <c r="AA48" s="70">
        <f xml:space="preserve"> Metalkol_Model1!AA885</f>
        <v>0</v>
      </c>
      <c r="AB48" s="70">
        <f xml:space="preserve"> Metalkol_Model1!AB885</f>
        <v>8.91545080946082</v>
      </c>
      <c r="AC48" s="70">
        <f xml:space="preserve"> Metalkol_Model1!AC885</f>
        <v>29.433232336642178</v>
      </c>
      <c r="AD48" s="70">
        <f xml:space="preserve"> Metalkol_Model1!AD885</f>
        <v>30.963825001083411</v>
      </c>
      <c r="AE48" s="70">
        <f xml:space="preserve"> Metalkol_Model1!AE885</f>
        <v>0</v>
      </c>
      <c r="AF48" s="70">
        <f xml:space="preserve"> Metalkol_Model1!AF885</f>
        <v>0</v>
      </c>
      <c r="AG48" s="70">
        <f xml:space="preserve"> Metalkol_Model1!AG885</f>
        <v>0</v>
      </c>
      <c r="AH48" s="70">
        <f xml:space="preserve"> Metalkol_Model1!AH885</f>
        <v>0</v>
      </c>
      <c r="AI48" s="70">
        <f xml:space="preserve"> Metalkol_Model1!AI885</f>
        <v>0</v>
      </c>
      <c r="AJ48" s="70">
        <f xml:space="preserve"> Metalkol_Model1!AJ885</f>
        <v>0</v>
      </c>
      <c r="AK48" s="70">
        <f xml:space="preserve"> Metalkol_Model1!AK885</f>
        <v>0</v>
      </c>
      <c r="AL48" s="70">
        <f xml:space="preserve"> Metalkol_Model1!AL885</f>
        <v>0</v>
      </c>
      <c r="AM48" s="70">
        <f xml:space="preserve"> Metalkol_Model1!AM885</f>
        <v>0</v>
      </c>
      <c r="AN48" s="70">
        <f xml:space="preserve"> Metalkol_Model1!AN885</f>
        <v>0</v>
      </c>
      <c r="AO48" s="70">
        <f xml:space="preserve"> Metalkol_Model1!AO885</f>
        <v>0</v>
      </c>
      <c r="AP48" s="70">
        <f xml:space="preserve"> Metalkol_Model1!AP885</f>
        <v>0</v>
      </c>
      <c r="AQ48" s="70">
        <f xml:space="preserve"> Metalkol_Model1!AQ885</f>
        <v>0</v>
      </c>
      <c r="AR48" s="70">
        <f xml:space="preserve"> Metalkol_Model1!AR885</f>
        <v>0</v>
      </c>
      <c r="AS48" s="70">
        <f xml:space="preserve"> Metalkol_Model1!AS885</f>
        <v>0</v>
      </c>
      <c r="AT48" s="70">
        <f xml:space="preserve"> Metalkol_Model1!AT885</f>
        <v>0</v>
      </c>
      <c r="AU48" s="70">
        <f xml:space="preserve"> Metalkol_Model1!AU885</f>
        <v>0</v>
      </c>
      <c r="AV48" s="70">
        <f xml:space="preserve"> Metalkol_Model1!AV885</f>
        <v>0</v>
      </c>
    </row>
    <row r="49" spans="2:48" ht="15" customHeight="1">
      <c r="E49" s="70" t="str">
        <f xml:space="preserve"> Metalkol_Model1!E886</f>
        <v>WHT on non-resident services</v>
      </c>
      <c r="F49" s="70">
        <f xml:space="preserve"> Metalkol_Model1!F886</f>
        <v>0</v>
      </c>
      <c r="G49" s="70" t="str">
        <f xml:space="preserve"> Metalkol_Model1!G886</f>
        <v>$ mn</v>
      </c>
      <c r="H49" s="70">
        <f xml:space="preserve"> Metalkol_Model1!H886</f>
        <v>0</v>
      </c>
      <c r="I49" s="70">
        <f xml:space="preserve"> Metalkol_Model1!I886</f>
        <v>0</v>
      </c>
      <c r="J49" s="70">
        <f xml:space="preserve"> Metalkol_Model1!J886</f>
        <v>116.1293554984677</v>
      </c>
      <c r="K49" s="70">
        <f xml:space="preserve"> Metalkol_Model1!K886</f>
        <v>0</v>
      </c>
      <c r="L49" s="70">
        <f xml:space="preserve"> Metalkol_Model1!L886</f>
        <v>0</v>
      </c>
      <c r="M49" s="70">
        <f xml:space="preserve"> Metalkol_Model1!M886</f>
        <v>0</v>
      </c>
      <c r="N49" s="70">
        <f xml:space="preserve"> Metalkol_Model1!N886</f>
        <v>0</v>
      </c>
      <c r="O49" s="70">
        <f xml:space="preserve"> Metalkol_Model1!O886</f>
        <v>0</v>
      </c>
      <c r="P49" s="70">
        <f xml:space="preserve"> Metalkol_Model1!P886</f>
        <v>19.799919999999997</v>
      </c>
      <c r="Q49" s="70">
        <f xml:space="preserve"> Metalkol_Model1!Q886</f>
        <v>3.4417600000000004</v>
      </c>
      <c r="R49" s="70">
        <f xml:space="preserve"> Metalkol_Model1!R886</f>
        <v>4.905153633597104</v>
      </c>
      <c r="S49" s="70">
        <f xml:space="preserve"> Metalkol_Model1!S886</f>
        <v>5.0413991194314169</v>
      </c>
      <c r="T49" s="70">
        <f xml:space="preserve"> Metalkol_Model1!T886</f>
        <v>6.6039795103128069</v>
      </c>
      <c r="U49" s="70">
        <f xml:space="preserve"> Metalkol_Model1!U886</f>
        <v>6.480050692231405</v>
      </c>
      <c r="V49" s="70">
        <f xml:space="preserve"> Metalkol_Model1!V886</f>
        <v>7.2970733100523271</v>
      </c>
      <c r="W49" s="70">
        <f xml:space="preserve"> Metalkol_Model1!W886</f>
        <v>7.1625197884942295</v>
      </c>
      <c r="X49" s="70">
        <f xml:space="preserve"> Metalkol_Model1!X886</f>
        <v>7.7389916412084201</v>
      </c>
      <c r="Y49" s="70">
        <f xml:space="preserve"> Metalkol_Model1!Y886</f>
        <v>7.3653308966799234</v>
      </c>
      <c r="Z49" s="70">
        <f xml:space="preserve"> Metalkol_Model1!Z886</f>
        <v>7.8155346410725848</v>
      </c>
      <c r="AA49" s="70">
        <f xml:space="preserve"> Metalkol_Model1!AA886</f>
        <v>7.6564461253809046</v>
      </c>
      <c r="AB49" s="70">
        <f xml:space="preserve"> Metalkol_Model1!AB886</f>
        <v>8.5170433605766043</v>
      </c>
      <c r="AC49" s="70">
        <f xml:space="preserve"> Metalkol_Model1!AC886</f>
        <v>8.0311319353889452</v>
      </c>
      <c r="AD49" s="70">
        <f xml:space="preserve"> Metalkol_Model1!AD886</f>
        <v>8.2730208440410351</v>
      </c>
      <c r="AE49" s="70">
        <f xml:space="preserve"> Metalkol_Model1!AE886</f>
        <v>0</v>
      </c>
      <c r="AF49" s="70">
        <f xml:space="preserve"> Metalkol_Model1!AF886</f>
        <v>0</v>
      </c>
      <c r="AG49" s="70">
        <f xml:space="preserve"> Metalkol_Model1!AG886</f>
        <v>0</v>
      </c>
      <c r="AH49" s="70">
        <f xml:space="preserve"> Metalkol_Model1!AH886</f>
        <v>0</v>
      </c>
      <c r="AI49" s="70">
        <f xml:space="preserve"> Metalkol_Model1!AI886</f>
        <v>0</v>
      </c>
      <c r="AJ49" s="70">
        <f xml:space="preserve"> Metalkol_Model1!AJ886</f>
        <v>0</v>
      </c>
      <c r="AK49" s="70">
        <f xml:space="preserve"> Metalkol_Model1!AK886</f>
        <v>0</v>
      </c>
      <c r="AL49" s="70">
        <f xml:space="preserve"> Metalkol_Model1!AL886</f>
        <v>0</v>
      </c>
      <c r="AM49" s="70">
        <f xml:space="preserve"> Metalkol_Model1!AM886</f>
        <v>0</v>
      </c>
      <c r="AN49" s="70">
        <f xml:space="preserve"> Metalkol_Model1!AN886</f>
        <v>0</v>
      </c>
      <c r="AO49" s="70">
        <f xml:space="preserve"> Metalkol_Model1!AO886</f>
        <v>0</v>
      </c>
      <c r="AP49" s="70">
        <f xml:space="preserve"> Metalkol_Model1!AP886</f>
        <v>0</v>
      </c>
      <c r="AQ49" s="70">
        <f xml:space="preserve"> Metalkol_Model1!AQ886</f>
        <v>0</v>
      </c>
      <c r="AR49" s="70">
        <f xml:space="preserve"> Metalkol_Model1!AR886</f>
        <v>0</v>
      </c>
      <c r="AS49" s="70">
        <f xml:space="preserve"> Metalkol_Model1!AS886</f>
        <v>0</v>
      </c>
      <c r="AT49" s="70">
        <f xml:space="preserve"> Metalkol_Model1!AT886</f>
        <v>0</v>
      </c>
      <c r="AU49" s="70">
        <f xml:space="preserve"> Metalkol_Model1!AU886</f>
        <v>0</v>
      </c>
      <c r="AV49" s="70">
        <f xml:space="preserve"> Metalkol_Model1!AV886</f>
        <v>0</v>
      </c>
    </row>
    <row r="50" spans="2:48" ht="15" customHeight="1">
      <c r="E50" s="70" t="str">
        <f xml:space="preserve"> Metalkol_Model1!E888</f>
        <v>Government revenues excl. Gecamines participation</v>
      </c>
      <c r="F50" s="70">
        <f xml:space="preserve"> Metalkol_Model1!F888</f>
        <v>0</v>
      </c>
      <c r="G50" s="70" t="str">
        <f xml:space="preserve"> Metalkol_Model1!G888</f>
        <v>$ mn</v>
      </c>
      <c r="H50" s="70">
        <f xml:space="preserve"> Metalkol_Model1!H888</f>
        <v>0</v>
      </c>
      <c r="I50" s="70">
        <f xml:space="preserve"> Metalkol_Model1!I888</f>
        <v>0</v>
      </c>
      <c r="J50" s="70">
        <f xml:space="preserve"> Metalkol_Model1!J888</f>
        <v>3201.1779972370141</v>
      </c>
      <c r="K50" s="70">
        <f xml:space="preserve"> Metalkol_Model1!K888</f>
        <v>0</v>
      </c>
      <c r="L50" s="70">
        <f xml:space="preserve"> Metalkol_Model1!L888</f>
        <v>0</v>
      </c>
      <c r="M50" s="70">
        <f xml:space="preserve"> Metalkol_Model1!M888</f>
        <v>0</v>
      </c>
      <c r="N50" s="70">
        <f xml:space="preserve"> Metalkol_Model1!N888</f>
        <v>0</v>
      </c>
      <c r="O50" s="70">
        <f xml:space="preserve"> Metalkol_Model1!O888</f>
        <v>0</v>
      </c>
      <c r="P50" s="70">
        <f xml:space="preserve"> Metalkol_Model1!P888</f>
        <v>23.791051457392751</v>
      </c>
      <c r="Q50" s="70">
        <f xml:space="preserve"> Metalkol_Model1!Q888</f>
        <v>278.54002294708886</v>
      </c>
      <c r="R50" s="70">
        <f xml:space="preserve"> Metalkol_Model1!R888</f>
        <v>119.65263848900783</v>
      </c>
      <c r="S50" s="70">
        <f xml:space="preserve"> Metalkol_Model1!S888</f>
        <v>348.18517326554991</v>
      </c>
      <c r="T50" s="70">
        <f xml:space="preserve"> Metalkol_Model1!T888</f>
        <v>389.50387848780395</v>
      </c>
      <c r="U50" s="70">
        <f xml:space="preserve"> Metalkol_Model1!U888</f>
        <v>156.43226157468644</v>
      </c>
      <c r="V50" s="70">
        <f xml:space="preserve"> Metalkol_Model1!V888</f>
        <v>113.64500193675771</v>
      </c>
      <c r="W50" s="70">
        <f xml:space="preserve"> Metalkol_Model1!W888</f>
        <v>212.21149042518854</v>
      </c>
      <c r="X50" s="70">
        <f xml:space="preserve"> Metalkol_Model1!X888</f>
        <v>205.99915596072478</v>
      </c>
      <c r="Y50" s="70">
        <f xml:space="preserve"> Metalkol_Model1!Y888</f>
        <v>191.72144050986023</v>
      </c>
      <c r="Z50" s="70">
        <f xml:space="preserve"> Metalkol_Model1!Z888</f>
        <v>197.22781519965909</v>
      </c>
      <c r="AA50" s="70">
        <f xml:space="preserve"> Metalkol_Model1!AA888</f>
        <v>199.66940662988583</v>
      </c>
      <c r="AB50" s="70">
        <f xml:space="preserve"> Metalkol_Model1!AB888</f>
        <v>215.42408862151638</v>
      </c>
      <c r="AC50" s="70">
        <f xml:space="preserve"> Metalkol_Model1!AC888</f>
        <v>275.14935526718682</v>
      </c>
      <c r="AD50" s="70">
        <f xml:space="preserve"> Metalkol_Model1!AD888</f>
        <v>274.02521646470473</v>
      </c>
      <c r="AE50" s="70">
        <f xml:space="preserve"> Metalkol_Model1!AE888</f>
        <v>0</v>
      </c>
      <c r="AF50" s="70">
        <f xml:space="preserve"> Metalkol_Model1!AF888</f>
        <v>0</v>
      </c>
      <c r="AG50" s="70">
        <f xml:space="preserve"> Metalkol_Model1!AG888</f>
        <v>0</v>
      </c>
      <c r="AH50" s="70">
        <f xml:space="preserve"> Metalkol_Model1!AH888</f>
        <v>0</v>
      </c>
      <c r="AI50" s="70">
        <f xml:space="preserve"> Metalkol_Model1!AI888</f>
        <v>0</v>
      </c>
      <c r="AJ50" s="70">
        <f xml:space="preserve"> Metalkol_Model1!AJ888</f>
        <v>0</v>
      </c>
      <c r="AK50" s="70">
        <f xml:space="preserve"> Metalkol_Model1!AK888</f>
        <v>0</v>
      </c>
      <c r="AL50" s="70">
        <f xml:space="preserve"> Metalkol_Model1!AL888</f>
        <v>0</v>
      </c>
      <c r="AM50" s="70">
        <f xml:space="preserve"> Metalkol_Model1!AM888</f>
        <v>0</v>
      </c>
      <c r="AN50" s="70">
        <f xml:space="preserve"> Metalkol_Model1!AN888</f>
        <v>0</v>
      </c>
      <c r="AO50" s="70">
        <f xml:space="preserve"> Metalkol_Model1!AO888</f>
        <v>0</v>
      </c>
      <c r="AP50" s="70">
        <f xml:space="preserve"> Metalkol_Model1!AP888</f>
        <v>0</v>
      </c>
      <c r="AQ50" s="70">
        <f xml:space="preserve"> Metalkol_Model1!AQ888</f>
        <v>0</v>
      </c>
      <c r="AR50" s="70">
        <f xml:space="preserve"> Metalkol_Model1!AR888</f>
        <v>0</v>
      </c>
      <c r="AS50" s="70">
        <f xml:space="preserve"> Metalkol_Model1!AS888</f>
        <v>0</v>
      </c>
      <c r="AT50" s="70">
        <f xml:space="preserve"> Metalkol_Model1!AT888</f>
        <v>0</v>
      </c>
      <c r="AU50" s="70">
        <f xml:space="preserve"> Metalkol_Model1!AU888</f>
        <v>0</v>
      </c>
      <c r="AV50" s="70">
        <f xml:space="preserve"> Metalkol_Model1!AV888</f>
        <v>0</v>
      </c>
    </row>
    <row r="51" spans="2:48" ht="15" customHeight="1">
      <c r="E51" s="70" t="str">
        <f xml:space="preserve"> Metalkol_Model1!E889</f>
        <v>Gecamines share of net cashflows after tax</v>
      </c>
      <c r="F51" s="70">
        <f xml:space="preserve"> Metalkol_Model1!F889</f>
        <v>0</v>
      </c>
      <c r="G51" s="70" t="str">
        <f xml:space="preserve"> Metalkol_Model1!G889</f>
        <v>$ mn</v>
      </c>
      <c r="H51" s="70">
        <f xml:space="preserve"> Metalkol_Model1!H889</f>
        <v>0</v>
      </c>
      <c r="I51" s="70">
        <f xml:space="preserve"> Metalkol_Model1!I889</f>
        <v>0</v>
      </c>
      <c r="J51" s="70">
        <f xml:space="preserve"> Metalkol_Model1!J889</f>
        <v>421.58818581567391</v>
      </c>
      <c r="K51" s="70">
        <f xml:space="preserve"> Metalkol_Model1!K889</f>
        <v>0</v>
      </c>
      <c r="L51" s="70">
        <f xml:space="preserve"> Metalkol_Model1!L889</f>
        <v>0</v>
      </c>
      <c r="M51" s="70">
        <f xml:space="preserve"> Metalkol_Model1!M889</f>
        <v>0</v>
      </c>
      <c r="N51" s="70">
        <f xml:space="preserve"> Metalkol_Model1!N889</f>
        <v>0</v>
      </c>
      <c r="O51" s="70">
        <f xml:space="preserve"> Metalkol_Model1!O889</f>
        <v>0</v>
      </c>
      <c r="P51" s="70">
        <f xml:space="preserve"> Metalkol_Model1!P889</f>
        <v>0</v>
      </c>
      <c r="Q51" s="70">
        <f xml:space="preserve"> Metalkol_Model1!Q889</f>
        <v>133.99765846001051</v>
      </c>
      <c r="R51" s="70">
        <f xml:space="preserve"> Metalkol_Model1!R889</f>
        <v>18.767662695506274</v>
      </c>
      <c r="S51" s="70">
        <f xml:space="preserve"> Metalkol_Model1!S889</f>
        <v>61.844618317974657</v>
      </c>
      <c r="T51" s="70">
        <f xml:space="preserve"> Metalkol_Model1!T889</f>
        <v>58.823318269327025</v>
      </c>
      <c r="U51" s="70">
        <f xml:space="preserve"> Metalkol_Model1!U889</f>
        <v>25.046399169880939</v>
      </c>
      <c r="V51" s="70">
        <f xml:space="preserve"> Metalkol_Model1!V889</f>
        <v>12.667323034364081</v>
      </c>
      <c r="W51" s="70">
        <f xml:space="preserve"> Metalkol_Model1!W889</f>
        <v>18.126757907577769</v>
      </c>
      <c r="X51" s="70">
        <f xml:space="preserve"> Metalkol_Model1!X889</f>
        <v>10.904829776438389</v>
      </c>
      <c r="Y51" s="70">
        <f xml:space="preserve"> Metalkol_Model1!Y889</f>
        <v>4.3957202432760596</v>
      </c>
      <c r="Z51" s="70">
        <f xml:space="preserve"> Metalkol_Model1!Z889</f>
        <v>0</v>
      </c>
      <c r="AA51" s="70">
        <f xml:space="preserve"> Metalkol_Model1!AA889</f>
        <v>0</v>
      </c>
      <c r="AB51" s="70">
        <f xml:space="preserve"> Metalkol_Model1!AB889</f>
        <v>9.9060564549564685</v>
      </c>
      <c r="AC51" s="70">
        <f xml:space="preserve"> Metalkol_Model1!AC889</f>
        <v>32.703591485157972</v>
      </c>
      <c r="AD51" s="70">
        <f xml:space="preserve"> Metalkol_Model1!AD889</f>
        <v>34.404250001203785</v>
      </c>
      <c r="AE51" s="70">
        <f xml:space="preserve"> Metalkol_Model1!AE889</f>
        <v>0</v>
      </c>
      <c r="AF51" s="70">
        <f xml:space="preserve"> Metalkol_Model1!AF889</f>
        <v>0</v>
      </c>
      <c r="AG51" s="70">
        <f xml:space="preserve"> Metalkol_Model1!AG889</f>
        <v>0</v>
      </c>
      <c r="AH51" s="70">
        <f xml:space="preserve"> Metalkol_Model1!AH889</f>
        <v>0</v>
      </c>
      <c r="AI51" s="70">
        <f xml:space="preserve"> Metalkol_Model1!AI889</f>
        <v>0</v>
      </c>
      <c r="AJ51" s="70">
        <f xml:space="preserve"> Metalkol_Model1!AJ889</f>
        <v>0</v>
      </c>
      <c r="AK51" s="70">
        <f xml:space="preserve"> Metalkol_Model1!AK889</f>
        <v>0</v>
      </c>
      <c r="AL51" s="70">
        <f xml:space="preserve"> Metalkol_Model1!AL889</f>
        <v>0</v>
      </c>
      <c r="AM51" s="70">
        <f xml:space="preserve"> Metalkol_Model1!AM889</f>
        <v>0</v>
      </c>
      <c r="AN51" s="70">
        <f xml:space="preserve"> Metalkol_Model1!AN889</f>
        <v>0</v>
      </c>
      <c r="AO51" s="70">
        <f xml:space="preserve"> Metalkol_Model1!AO889</f>
        <v>0</v>
      </c>
      <c r="AP51" s="70">
        <f xml:space="preserve"> Metalkol_Model1!AP889</f>
        <v>0</v>
      </c>
      <c r="AQ51" s="70">
        <f xml:space="preserve"> Metalkol_Model1!AQ889</f>
        <v>0</v>
      </c>
      <c r="AR51" s="70">
        <f xml:space="preserve"> Metalkol_Model1!AR889</f>
        <v>0</v>
      </c>
      <c r="AS51" s="70">
        <f xml:space="preserve"> Metalkol_Model1!AS889</f>
        <v>0</v>
      </c>
      <c r="AT51" s="70">
        <f xml:space="preserve"> Metalkol_Model1!AT889</f>
        <v>0</v>
      </c>
      <c r="AU51" s="70">
        <f xml:space="preserve"> Metalkol_Model1!AU889</f>
        <v>0</v>
      </c>
      <c r="AV51" s="70">
        <f xml:space="preserve"> Metalkol_Model1!AV889</f>
        <v>0</v>
      </c>
    </row>
    <row r="52" spans="2:48" ht="15" customHeight="1">
      <c r="E52" s="70" t="str">
        <f xml:space="preserve"> Metalkol_Model1!E890</f>
        <v xml:space="preserve">Government revenues incl. Gecamines </v>
      </c>
      <c r="F52" s="70">
        <f xml:space="preserve"> Metalkol_Model1!F890</f>
        <v>0</v>
      </c>
      <c r="G52" s="70" t="str">
        <f xml:space="preserve"> Metalkol_Model1!G890</f>
        <v>$ mn</v>
      </c>
      <c r="H52" s="70">
        <f xml:space="preserve"> Metalkol_Model1!H890</f>
        <v>0</v>
      </c>
      <c r="I52" s="70">
        <f xml:space="preserve"> Metalkol_Model1!I890</f>
        <v>0</v>
      </c>
      <c r="J52" s="70">
        <f xml:space="preserve"> Metalkol_Model1!J890</f>
        <v>3622.7661830526886</v>
      </c>
      <c r="K52" s="70">
        <f xml:space="preserve"> Metalkol_Model1!K890</f>
        <v>0</v>
      </c>
      <c r="L52" s="70">
        <f xml:space="preserve"> Metalkol_Model1!L890</f>
        <v>0</v>
      </c>
      <c r="M52" s="70">
        <f xml:space="preserve"> Metalkol_Model1!M890</f>
        <v>0</v>
      </c>
      <c r="N52" s="70">
        <f xml:space="preserve"> Metalkol_Model1!N890</f>
        <v>0</v>
      </c>
      <c r="O52" s="70">
        <f xml:space="preserve"> Metalkol_Model1!O890</f>
        <v>0</v>
      </c>
      <c r="P52" s="70">
        <f xml:space="preserve"> Metalkol_Model1!P890</f>
        <v>23.791051457392751</v>
      </c>
      <c r="Q52" s="70">
        <f xml:space="preserve"> Metalkol_Model1!Q890</f>
        <v>412.5376814070994</v>
      </c>
      <c r="R52" s="70">
        <f xml:space="preserve"> Metalkol_Model1!R890</f>
        <v>138.4203011845141</v>
      </c>
      <c r="S52" s="70">
        <f xml:space="preserve"> Metalkol_Model1!S890</f>
        <v>410.02979158352457</v>
      </c>
      <c r="T52" s="70">
        <f xml:space="preserve"> Metalkol_Model1!T890</f>
        <v>448.32719675713099</v>
      </c>
      <c r="U52" s="70">
        <f xml:space="preserve"> Metalkol_Model1!U890</f>
        <v>181.47866074456738</v>
      </c>
      <c r="V52" s="70">
        <f xml:space="preserve"> Metalkol_Model1!V890</f>
        <v>126.3123249711218</v>
      </c>
      <c r="W52" s="70">
        <f xml:space="preserve"> Metalkol_Model1!W890</f>
        <v>230.33824833276631</v>
      </c>
      <c r="X52" s="70">
        <f xml:space="preserve"> Metalkol_Model1!X890</f>
        <v>216.90398573716317</v>
      </c>
      <c r="Y52" s="70">
        <f xml:space="preserve"> Metalkol_Model1!Y890</f>
        <v>196.11716075313629</v>
      </c>
      <c r="Z52" s="70">
        <f xml:space="preserve"> Metalkol_Model1!Z890</f>
        <v>197.22781519965909</v>
      </c>
      <c r="AA52" s="70">
        <f xml:space="preserve"> Metalkol_Model1!AA890</f>
        <v>199.66940662988583</v>
      </c>
      <c r="AB52" s="70">
        <f xml:space="preserve"> Metalkol_Model1!AB890</f>
        <v>225.33014507647283</v>
      </c>
      <c r="AC52" s="70">
        <f xml:space="preserve"> Metalkol_Model1!AC890</f>
        <v>307.85294675234479</v>
      </c>
      <c r="AD52" s="70">
        <f xml:space="preserve"> Metalkol_Model1!AD890</f>
        <v>308.42946646590849</v>
      </c>
      <c r="AE52" s="70">
        <f xml:space="preserve"> Metalkol_Model1!AE890</f>
        <v>0</v>
      </c>
      <c r="AF52" s="70">
        <f xml:space="preserve"> Metalkol_Model1!AF890</f>
        <v>0</v>
      </c>
      <c r="AG52" s="70">
        <f xml:space="preserve"> Metalkol_Model1!AG890</f>
        <v>0</v>
      </c>
      <c r="AH52" s="70">
        <f xml:space="preserve"> Metalkol_Model1!AH890</f>
        <v>0</v>
      </c>
      <c r="AI52" s="70">
        <f xml:space="preserve"> Metalkol_Model1!AI890</f>
        <v>0</v>
      </c>
      <c r="AJ52" s="70">
        <f xml:space="preserve"> Metalkol_Model1!AJ890</f>
        <v>0</v>
      </c>
      <c r="AK52" s="70">
        <f xml:space="preserve"> Metalkol_Model1!AK890</f>
        <v>0</v>
      </c>
      <c r="AL52" s="70">
        <f xml:space="preserve"> Metalkol_Model1!AL890</f>
        <v>0</v>
      </c>
      <c r="AM52" s="70">
        <f xml:space="preserve"> Metalkol_Model1!AM890</f>
        <v>0</v>
      </c>
      <c r="AN52" s="70">
        <f xml:space="preserve"> Metalkol_Model1!AN890</f>
        <v>0</v>
      </c>
      <c r="AO52" s="70">
        <f xml:space="preserve"> Metalkol_Model1!AO890</f>
        <v>0</v>
      </c>
      <c r="AP52" s="70">
        <f xml:space="preserve"> Metalkol_Model1!AP890</f>
        <v>0</v>
      </c>
      <c r="AQ52" s="70">
        <f xml:space="preserve"> Metalkol_Model1!AQ890</f>
        <v>0</v>
      </c>
      <c r="AR52" s="70">
        <f xml:space="preserve"> Metalkol_Model1!AR890</f>
        <v>0</v>
      </c>
      <c r="AS52" s="70">
        <f xml:space="preserve"> Metalkol_Model1!AS890</f>
        <v>0</v>
      </c>
      <c r="AT52" s="70">
        <f xml:space="preserve"> Metalkol_Model1!AT890</f>
        <v>0</v>
      </c>
      <c r="AU52" s="70">
        <f xml:space="preserve"> Metalkol_Model1!AU890</f>
        <v>0</v>
      </c>
      <c r="AV52" s="70">
        <f xml:space="preserve"> Metalkol_Model1!AV890</f>
        <v>0</v>
      </c>
    </row>
    <row r="53" spans="2:48" ht="15" customHeight="1">
      <c r="E53" s="3" t="str">
        <f>"Check: " &amp; E52</f>
        <v xml:space="preserve">Check: Government revenues incl. Gecamines </v>
      </c>
      <c r="F53" s="400">
        <f xml:space="preserve"> SUM(L53:AV53)</f>
        <v>0</v>
      </c>
      <c r="G53" s="3" t="s">
        <v>113</v>
      </c>
      <c r="H53" s="70"/>
      <c r="I53" s="70"/>
      <c r="J53" s="70"/>
      <c r="K53" s="70"/>
      <c r="L53" s="400">
        <f t="shared" ref="L53:AV53" si="1" xml:space="preserve"> IF( ABS( SUM(L41:L49) + L51 - L52) &gt; CHK_TOL, 1, 0)</f>
        <v>0</v>
      </c>
      <c r="M53" s="400">
        <f t="shared" si="1"/>
        <v>0</v>
      </c>
      <c r="N53" s="400">
        <f t="shared" si="1"/>
        <v>0</v>
      </c>
      <c r="O53" s="400">
        <f t="shared" si="1"/>
        <v>0</v>
      </c>
      <c r="P53" s="400">
        <f t="shared" si="1"/>
        <v>0</v>
      </c>
      <c r="Q53" s="400">
        <f t="shared" si="1"/>
        <v>0</v>
      </c>
      <c r="R53" s="400">
        <f t="shared" si="1"/>
        <v>0</v>
      </c>
      <c r="S53" s="400">
        <f t="shared" si="1"/>
        <v>0</v>
      </c>
      <c r="T53" s="400">
        <f t="shared" si="1"/>
        <v>0</v>
      </c>
      <c r="U53" s="400">
        <f t="shared" si="1"/>
        <v>0</v>
      </c>
      <c r="V53" s="400">
        <f t="shared" si="1"/>
        <v>0</v>
      </c>
      <c r="W53" s="400">
        <f t="shared" si="1"/>
        <v>0</v>
      </c>
      <c r="X53" s="400">
        <f t="shared" si="1"/>
        <v>0</v>
      </c>
      <c r="Y53" s="400">
        <f t="shared" si="1"/>
        <v>0</v>
      </c>
      <c r="Z53" s="400">
        <f t="shared" si="1"/>
        <v>0</v>
      </c>
      <c r="AA53" s="400">
        <f t="shared" si="1"/>
        <v>0</v>
      </c>
      <c r="AB53" s="400">
        <f t="shared" si="1"/>
        <v>0</v>
      </c>
      <c r="AC53" s="400">
        <f t="shared" si="1"/>
        <v>0</v>
      </c>
      <c r="AD53" s="400">
        <f t="shared" si="1"/>
        <v>0</v>
      </c>
      <c r="AE53" s="400">
        <f t="shared" si="1"/>
        <v>0</v>
      </c>
      <c r="AF53" s="400">
        <f t="shared" si="1"/>
        <v>0</v>
      </c>
      <c r="AG53" s="400">
        <f t="shared" si="1"/>
        <v>0</v>
      </c>
      <c r="AH53" s="400">
        <f t="shared" si="1"/>
        <v>0</v>
      </c>
      <c r="AI53" s="400">
        <f t="shared" si="1"/>
        <v>0</v>
      </c>
      <c r="AJ53" s="400">
        <f t="shared" si="1"/>
        <v>0</v>
      </c>
      <c r="AK53" s="400">
        <f t="shared" si="1"/>
        <v>0</v>
      </c>
      <c r="AL53" s="400">
        <f t="shared" si="1"/>
        <v>0</v>
      </c>
      <c r="AM53" s="400">
        <f t="shared" si="1"/>
        <v>0</v>
      </c>
      <c r="AN53" s="400">
        <f t="shared" si="1"/>
        <v>0</v>
      </c>
      <c r="AO53" s="400">
        <f t="shared" si="1"/>
        <v>0</v>
      </c>
      <c r="AP53" s="400">
        <f t="shared" si="1"/>
        <v>0</v>
      </c>
      <c r="AQ53" s="400">
        <f t="shared" si="1"/>
        <v>0</v>
      </c>
      <c r="AR53" s="400">
        <f t="shared" si="1"/>
        <v>0</v>
      </c>
      <c r="AS53" s="400">
        <f t="shared" si="1"/>
        <v>0</v>
      </c>
      <c r="AT53" s="400">
        <f t="shared" si="1"/>
        <v>0</v>
      </c>
      <c r="AU53" s="400">
        <f t="shared" si="1"/>
        <v>0</v>
      </c>
      <c r="AV53" s="400">
        <f t="shared" si="1"/>
        <v>0</v>
      </c>
    </row>
    <row r="54" spans="2:48" ht="15" customHeight="1"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</row>
    <row r="55" spans="2:48" ht="15" customHeight="1">
      <c r="B55" s="95" t="s">
        <v>838</v>
      </c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</row>
    <row r="56" spans="2:48" ht="15" customHeight="1">
      <c r="E56" s="70" t="str">
        <f xml:space="preserve"> Metalkol_Model1!E$602</f>
        <v>Metalkol Cashflow after tax</v>
      </c>
      <c r="F56" s="70">
        <f xml:space="preserve"> Metalkol_Model1!F$602</f>
        <v>0</v>
      </c>
      <c r="G56" s="70" t="str">
        <f xml:space="preserve"> Metalkol_Model1!G$602</f>
        <v>$ mn</v>
      </c>
      <c r="H56" s="70">
        <f xml:space="preserve"> Metalkol_Model1!H$602</f>
        <v>0</v>
      </c>
      <c r="I56" s="70">
        <f xml:space="preserve"> Metalkol_Model1!I$602</f>
        <v>0</v>
      </c>
      <c r="J56" s="70">
        <f xml:space="preserve"> Metalkol_Model1!J$602</f>
        <v>4540.3243763995642</v>
      </c>
      <c r="K56" s="70">
        <f xml:space="preserve"> Metalkol_Model1!K$602</f>
        <v>0</v>
      </c>
      <c r="L56" s="70">
        <f xml:space="preserve"> Metalkol_Model1!L$602</f>
        <v>0</v>
      </c>
      <c r="M56" s="70">
        <f xml:space="preserve"> Metalkol_Model1!M$602</f>
        <v>0</v>
      </c>
      <c r="N56" s="70">
        <f xml:space="preserve"> Metalkol_Model1!N$602</f>
        <v>0</v>
      </c>
      <c r="O56" s="70">
        <f xml:space="preserve"> Metalkol_Model1!O$602</f>
        <v>0</v>
      </c>
      <c r="P56" s="70">
        <f xml:space="preserve"> Metalkol_Model1!P$602</f>
        <v>-946.95764879847923</v>
      </c>
      <c r="Q56" s="70">
        <f xml:space="preserve"> Metalkol_Model1!Q$602</f>
        <v>501.61658460010506</v>
      </c>
      <c r="R56" s="70">
        <f xml:space="preserve"> Metalkol_Model1!R$602</f>
        <v>204.99402695506274</v>
      </c>
      <c r="S56" s="70">
        <f xml:space="preserve"> Metalkol_Model1!S$602</f>
        <v>687.49619317974657</v>
      </c>
      <c r="T56" s="70">
        <f xml:space="preserve"> Metalkol_Model1!T$602</f>
        <v>712.49190530438136</v>
      </c>
      <c r="U56" s="70">
        <f xml:space="preserve"> Metalkol_Model1!U$602</f>
        <v>410.33402270158717</v>
      </c>
      <c r="V56" s="70">
        <f xml:space="preserve"> Metalkol_Model1!V$602</f>
        <v>294.65305171112095</v>
      </c>
      <c r="W56" s="70">
        <f xml:space="preserve"> Metalkol_Model1!W$602</f>
        <v>395.39937364837988</v>
      </c>
      <c r="X56" s="70">
        <f xml:space="preserve"> Metalkol_Model1!X$602</f>
        <v>345.71486152287639</v>
      </c>
      <c r="Y56" s="70">
        <f xml:space="preserve"> Metalkol_Model1!Y$602</f>
        <v>342.94375075502694</v>
      </c>
      <c r="Z56" s="70">
        <f xml:space="preserve"> Metalkol_Model1!Z$602</f>
        <v>328.16688707779031</v>
      </c>
      <c r="AA56" s="70">
        <f xml:space="preserve"> Metalkol_Model1!AA$602</f>
        <v>321.68301381470155</v>
      </c>
      <c r="AB56" s="70">
        <f xml:space="preserve"> Metalkol_Model1!AB$602</f>
        <v>270.70993906364743</v>
      </c>
      <c r="AC56" s="70">
        <f xml:space="preserve"> Metalkol_Model1!AC$602</f>
        <v>327.03591485157972</v>
      </c>
      <c r="AD56" s="70">
        <f xml:space="preserve"> Metalkol_Model1!AD$602</f>
        <v>344.04250001203786</v>
      </c>
      <c r="AE56" s="70">
        <f xml:space="preserve"> Metalkol_Model1!AE$602</f>
        <v>0</v>
      </c>
      <c r="AF56" s="70">
        <f xml:space="preserve"> Metalkol_Model1!AF$602</f>
        <v>0</v>
      </c>
      <c r="AG56" s="70">
        <f xml:space="preserve"> Metalkol_Model1!AG$602</f>
        <v>0</v>
      </c>
      <c r="AH56" s="70">
        <f xml:space="preserve"> Metalkol_Model1!AH$602</f>
        <v>0</v>
      </c>
      <c r="AI56" s="70">
        <f xml:space="preserve"> Metalkol_Model1!AI$602</f>
        <v>0</v>
      </c>
      <c r="AJ56" s="70">
        <f xml:space="preserve"> Metalkol_Model1!AJ$602</f>
        <v>0</v>
      </c>
      <c r="AK56" s="70">
        <f xml:space="preserve"> Metalkol_Model1!AK$602</f>
        <v>0</v>
      </c>
      <c r="AL56" s="70">
        <f xml:space="preserve"> Metalkol_Model1!AL$602</f>
        <v>0</v>
      </c>
      <c r="AM56" s="70">
        <f xml:space="preserve"> Metalkol_Model1!AM$602</f>
        <v>0</v>
      </c>
      <c r="AN56" s="70">
        <f xml:space="preserve"> Metalkol_Model1!AN$602</f>
        <v>0</v>
      </c>
      <c r="AO56" s="70">
        <f xml:space="preserve"> Metalkol_Model1!AO$602</f>
        <v>0</v>
      </c>
      <c r="AP56" s="70">
        <f xml:space="preserve"> Metalkol_Model1!AP$602</f>
        <v>0</v>
      </c>
      <c r="AQ56" s="70">
        <f xml:space="preserve"> Metalkol_Model1!AQ$602</f>
        <v>0</v>
      </c>
      <c r="AR56" s="70">
        <f xml:space="preserve"> Metalkol_Model1!AR$602</f>
        <v>0</v>
      </c>
      <c r="AS56" s="70">
        <f xml:space="preserve"> Metalkol_Model1!AS$602</f>
        <v>0</v>
      </c>
      <c r="AT56" s="70">
        <f xml:space="preserve"> Metalkol_Model1!AT$602</f>
        <v>0</v>
      </c>
      <c r="AU56" s="70">
        <f xml:space="preserve"> Metalkol_Model1!AU$602</f>
        <v>0</v>
      </c>
      <c r="AV56" s="70">
        <f xml:space="preserve"> Metalkol_Model1!AV$602</f>
        <v>0</v>
      </c>
    </row>
    <row r="57" spans="2:48" ht="15" customHeight="1"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</row>
    <row r="58" spans="2:48" ht="15" customHeight="1">
      <c r="B58" s="95" t="s">
        <v>778</v>
      </c>
    </row>
    <row r="59" spans="2:48" ht="15" customHeight="1">
      <c r="E59" s="70" t="str">
        <f xml:space="preserve"> Metalkol_Model1!E$731</f>
        <v>[Net Debt cashflows (borrower)]</v>
      </c>
      <c r="F59" s="70">
        <f xml:space="preserve"> Metalkol_Model1!F$731</f>
        <v>0</v>
      </c>
      <c r="G59" s="70">
        <f xml:space="preserve"> Metalkol_Model1!G$731</f>
        <v>0</v>
      </c>
      <c r="H59" s="70">
        <f xml:space="preserve"> Metalkol_Model1!H$731</f>
        <v>0</v>
      </c>
      <c r="I59" s="70">
        <f xml:space="preserve"> Metalkol_Model1!I$731</f>
        <v>0</v>
      </c>
      <c r="J59" s="70">
        <f xml:space="preserve"> Metalkol_Model1!J$731</f>
        <v>-1372.5285068756166</v>
      </c>
      <c r="K59" s="70">
        <f xml:space="preserve"> Metalkol_Model1!K$731</f>
        <v>0</v>
      </c>
      <c r="L59" s="70">
        <f xml:space="preserve"> Metalkol_Model1!L$731</f>
        <v>0</v>
      </c>
      <c r="M59" s="70">
        <f xml:space="preserve"> Metalkol_Model1!M$731</f>
        <v>0</v>
      </c>
      <c r="N59" s="70">
        <f xml:space="preserve"> Metalkol_Model1!N$731</f>
        <v>0</v>
      </c>
      <c r="O59" s="70">
        <f xml:space="preserve"> Metalkol_Model1!O$731</f>
        <v>0</v>
      </c>
      <c r="P59" s="70">
        <f xml:space="preserve"> Metalkol_Model1!P$731</f>
        <v>0</v>
      </c>
      <c r="Q59" s="70">
        <f xml:space="preserve"> Metalkol_Model1!Q$731</f>
        <v>838.36</v>
      </c>
      <c r="R59" s="70">
        <f xml:space="preserve"> Metalkol_Model1!R$731</f>
        <v>-17.317399999999999</v>
      </c>
      <c r="S59" s="70">
        <f xml:space="preserve"> Metalkol_Model1!S$731</f>
        <v>-69.050010000000015</v>
      </c>
      <c r="T59" s="70">
        <f xml:space="preserve"> Metalkol_Model1!T$731</f>
        <v>-124.25872261111111</v>
      </c>
      <c r="U59" s="70">
        <f xml:space="preserve"> Metalkol_Model1!U$731</f>
        <v>-159.87003100277781</v>
      </c>
      <c r="V59" s="70">
        <f xml:space="preserve"> Metalkol_Model1!V$731</f>
        <v>-167.97982136748016</v>
      </c>
      <c r="W59" s="70">
        <f xml:space="preserve"> Metalkol_Model1!W$731</f>
        <v>-214.13179457260219</v>
      </c>
      <c r="X59" s="70">
        <f xml:space="preserve"> Metalkol_Model1!X$731</f>
        <v>-236.66656375849252</v>
      </c>
      <c r="Y59" s="70">
        <f xml:space="preserve"> Metalkol_Model1!Y$731</f>
        <v>-298.98654832226634</v>
      </c>
      <c r="Z59" s="70">
        <f xml:space="preserve"> Metalkol_Model1!Z$731</f>
        <v>-341.29453057060636</v>
      </c>
      <c r="AA59" s="70">
        <f xml:space="preserve"> Metalkol_Model1!AA$731</f>
        <v>-409.68371015619732</v>
      </c>
      <c r="AB59" s="70">
        <f xml:space="preserve"> Metalkol_Model1!AB$731</f>
        <v>-171.64937451408275</v>
      </c>
      <c r="AC59" s="70">
        <f xml:space="preserve"> Metalkol_Model1!AC$731</f>
        <v>0</v>
      </c>
      <c r="AD59" s="70">
        <f xml:space="preserve"> Metalkol_Model1!AD$731</f>
        <v>0</v>
      </c>
      <c r="AE59" s="70">
        <f xml:space="preserve"> Metalkol_Model1!AE$731</f>
        <v>0</v>
      </c>
      <c r="AF59" s="70">
        <f xml:space="preserve"> Metalkol_Model1!AF$731</f>
        <v>0</v>
      </c>
      <c r="AG59" s="70">
        <f xml:space="preserve"> Metalkol_Model1!AG$731</f>
        <v>0</v>
      </c>
      <c r="AH59" s="70">
        <f xml:space="preserve"> Metalkol_Model1!AH$731</f>
        <v>0</v>
      </c>
      <c r="AI59" s="70">
        <f xml:space="preserve"> Metalkol_Model1!AI$731</f>
        <v>0</v>
      </c>
      <c r="AJ59" s="70">
        <f xml:space="preserve"> Metalkol_Model1!AJ$731</f>
        <v>0</v>
      </c>
      <c r="AK59" s="70">
        <f xml:space="preserve"> Metalkol_Model1!AK$731</f>
        <v>0</v>
      </c>
      <c r="AL59" s="70">
        <f xml:space="preserve"> Metalkol_Model1!AL$731</f>
        <v>0</v>
      </c>
      <c r="AM59" s="70">
        <f xml:space="preserve"> Metalkol_Model1!AM$731</f>
        <v>0</v>
      </c>
      <c r="AN59" s="70">
        <f xml:space="preserve"> Metalkol_Model1!AN$731</f>
        <v>0</v>
      </c>
      <c r="AO59" s="70">
        <f xml:space="preserve"> Metalkol_Model1!AO$731</f>
        <v>0</v>
      </c>
      <c r="AP59" s="70">
        <f xml:space="preserve"> Metalkol_Model1!AP$731</f>
        <v>0</v>
      </c>
      <c r="AQ59" s="70">
        <f xml:space="preserve"> Metalkol_Model1!AQ$731</f>
        <v>0</v>
      </c>
      <c r="AR59" s="70">
        <f xml:space="preserve"> Metalkol_Model1!AR$731</f>
        <v>0</v>
      </c>
      <c r="AS59" s="70">
        <f xml:space="preserve"> Metalkol_Model1!AS$731</f>
        <v>0</v>
      </c>
      <c r="AT59" s="70">
        <f xml:space="preserve"> Metalkol_Model1!AT$731</f>
        <v>0</v>
      </c>
      <c r="AU59" s="70">
        <f xml:space="preserve"> Metalkol_Model1!AU$731</f>
        <v>0</v>
      </c>
      <c r="AV59" s="70">
        <f xml:space="preserve"> Metalkol_Model1!AV$731</f>
        <v>0</v>
      </c>
    </row>
    <row r="60" spans="2:48" ht="15" customHeight="1">
      <c r="E60" s="70" t="str">
        <f xml:space="preserve"> Metalkol_Model1!E$732</f>
        <v>Metalkol cashflows after debt</v>
      </c>
      <c r="F60" s="70">
        <f xml:space="preserve"> Metalkol_Model1!F$732</f>
        <v>0</v>
      </c>
      <c r="G60" s="70" t="str">
        <f xml:space="preserve"> Metalkol_Model1!G$732</f>
        <v>$ mn</v>
      </c>
      <c r="H60" s="70">
        <f xml:space="preserve"> Metalkol_Model1!H$732</f>
        <v>0</v>
      </c>
      <c r="I60" s="70">
        <f xml:space="preserve"> Metalkol_Model1!I$732</f>
        <v>0</v>
      </c>
      <c r="J60" s="70">
        <f xml:space="preserve"> Metalkol_Model1!J$732</f>
        <v>3167.7958695239486</v>
      </c>
      <c r="K60" s="70">
        <f xml:space="preserve"> Metalkol_Model1!K$732</f>
        <v>0</v>
      </c>
      <c r="L60" s="70">
        <f xml:space="preserve"> Metalkol_Model1!L$732</f>
        <v>0</v>
      </c>
      <c r="M60" s="70">
        <f xml:space="preserve"> Metalkol_Model1!M$732</f>
        <v>0</v>
      </c>
      <c r="N60" s="70">
        <f xml:space="preserve"> Metalkol_Model1!N$732</f>
        <v>0</v>
      </c>
      <c r="O60" s="70">
        <f xml:space="preserve"> Metalkol_Model1!O$732</f>
        <v>0</v>
      </c>
      <c r="P60" s="70">
        <f xml:space="preserve"> Metalkol_Model1!P$732</f>
        <v>-946.95764879847923</v>
      </c>
      <c r="Q60" s="70">
        <f xml:space="preserve"> Metalkol_Model1!Q$732</f>
        <v>1339.9765846001051</v>
      </c>
      <c r="R60" s="70">
        <f xml:space="preserve"> Metalkol_Model1!R$732</f>
        <v>187.67662695506274</v>
      </c>
      <c r="S60" s="70">
        <f xml:space="preserve"> Metalkol_Model1!S$732</f>
        <v>618.44618317974653</v>
      </c>
      <c r="T60" s="70">
        <f xml:space="preserve"> Metalkol_Model1!T$732</f>
        <v>588.23318269327024</v>
      </c>
      <c r="U60" s="70">
        <f xml:space="preserve"> Metalkol_Model1!U$732</f>
        <v>250.46399169880937</v>
      </c>
      <c r="V60" s="70">
        <f xml:space="preserve"> Metalkol_Model1!V$732</f>
        <v>126.6732303436408</v>
      </c>
      <c r="W60" s="70">
        <f xml:space="preserve"> Metalkol_Model1!W$732</f>
        <v>181.26757907577769</v>
      </c>
      <c r="X60" s="70">
        <f xml:space="preserve"> Metalkol_Model1!X$732</f>
        <v>109.04829776438388</v>
      </c>
      <c r="Y60" s="70">
        <f xml:space="preserve"> Metalkol_Model1!Y$732</f>
        <v>43.957202432760596</v>
      </c>
      <c r="Z60" s="70">
        <f xml:space="preserve"> Metalkol_Model1!Z$732</f>
        <v>-13.127643492816048</v>
      </c>
      <c r="AA60" s="70">
        <f xml:space="preserve"> Metalkol_Model1!AA$732</f>
        <v>-88.000696341495768</v>
      </c>
      <c r="AB60" s="70">
        <f xml:space="preserve"> Metalkol_Model1!AB$732</f>
        <v>99.060564549564674</v>
      </c>
      <c r="AC60" s="70">
        <f xml:space="preserve"> Metalkol_Model1!AC$732</f>
        <v>327.03591485157972</v>
      </c>
      <c r="AD60" s="70">
        <f xml:space="preserve"> Metalkol_Model1!AD$732</f>
        <v>344.04250001203786</v>
      </c>
      <c r="AE60" s="70">
        <f xml:space="preserve"> Metalkol_Model1!AE$732</f>
        <v>0</v>
      </c>
      <c r="AF60" s="70">
        <f xml:space="preserve"> Metalkol_Model1!AF$732</f>
        <v>0</v>
      </c>
      <c r="AG60" s="70">
        <f xml:space="preserve"> Metalkol_Model1!AG$732</f>
        <v>0</v>
      </c>
      <c r="AH60" s="70">
        <f xml:space="preserve"> Metalkol_Model1!AH$732</f>
        <v>0</v>
      </c>
      <c r="AI60" s="70">
        <f xml:space="preserve"> Metalkol_Model1!AI$732</f>
        <v>0</v>
      </c>
      <c r="AJ60" s="70">
        <f xml:space="preserve"> Metalkol_Model1!AJ$732</f>
        <v>0</v>
      </c>
      <c r="AK60" s="70">
        <f xml:space="preserve"> Metalkol_Model1!AK$732</f>
        <v>0</v>
      </c>
      <c r="AL60" s="70">
        <f xml:space="preserve"> Metalkol_Model1!AL$732</f>
        <v>0</v>
      </c>
      <c r="AM60" s="70">
        <f xml:space="preserve"> Metalkol_Model1!AM$732</f>
        <v>0</v>
      </c>
      <c r="AN60" s="70">
        <f xml:space="preserve"> Metalkol_Model1!AN$732</f>
        <v>0</v>
      </c>
      <c r="AO60" s="70">
        <f xml:space="preserve"> Metalkol_Model1!AO$732</f>
        <v>0</v>
      </c>
      <c r="AP60" s="70">
        <f xml:space="preserve"> Metalkol_Model1!AP$732</f>
        <v>0</v>
      </c>
      <c r="AQ60" s="70">
        <f xml:space="preserve"> Metalkol_Model1!AQ$732</f>
        <v>0</v>
      </c>
      <c r="AR60" s="70">
        <f xml:space="preserve"> Metalkol_Model1!AR$732</f>
        <v>0</v>
      </c>
      <c r="AS60" s="70">
        <f xml:space="preserve"> Metalkol_Model1!AS$732</f>
        <v>0</v>
      </c>
      <c r="AT60" s="70">
        <f xml:space="preserve"> Metalkol_Model1!AT$732</f>
        <v>0</v>
      </c>
      <c r="AU60" s="70">
        <f xml:space="preserve"> Metalkol_Model1!AU$732</f>
        <v>0</v>
      </c>
      <c r="AV60" s="70">
        <f xml:space="preserve"> Metalkol_Model1!AV$732</f>
        <v>0</v>
      </c>
    </row>
    <row r="61" spans="2:48" ht="15" customHeight="1">
      <c r="E61" s="3" t="str">
        <f>"Check: " &amp; E60</f>
        <v>Check: Metalkol cashflows after debt</v>
      </c>
      <c r="F61" s="400">
        <f xml:space="preserve"> SUM(L61:AV61)</f>
        <v>0</v>
      </c>
      <c r="G61" s="3" t="s">
        <v>113</v>
      </c>
      <c r="L61" s="400">
        <f t="shared" ref="L61:AV61" si="2" xml:space="preserve"> IF(ABS(L56 + L59 - L60) &gt; CHK_TOL, 1, 0)</f>
        <v>0</v>
      </c>
      <c r="M61" s="400">
        <f t="shared" si="2"/>
        <v>0</v>
      </c>
      <c r="N61" s="400">
        <f t="shared" si="2"/>
        <v>0</v>
      </c>
      <c r="O61" s="400">
        <f t="shared" si="2"/>
        <v>0</v>
      </c>
      <c r="P61" s="400">
        <f t="shared" si="2"/>
        <v>0</v>
      </c>
      <c r="Q61" s="400">
        <f t="shared" si="2"/>
        <v>0</v>
      </c>
      <c r="R61" s="400">
        <f t="shared" si="2"/>
        <v>0</v>
      </c>
      <c r="S61" s="400">
        <f t="shared" si="2"/>
        <v>0</v>
      </c>
      <c r="T61" s="400">
        <f t="shared" si="2"/>
        <v>0</v>
      </c>
      <c r="U61" s="400">
        <f t="shared" si="2"/>
        <v>0</v>
      </c>
      <c r="V61" s="400">
        <f t="shared" si="2"/>
        <v>0</v>
      </c>
      <c r="W61" s="400">
        <f t="shared" si="2"/>
        <v>0</v>
      </c>
      <c r="X61" s="400">
        <f t="shared" si="2"/>
        <v>0</v>
      </c>
      <c r="Y61" s="400">
        <f t="shared" si="2"/>
        <v>0</v>
      </c>
      <c r="Z61" s="400">
        <f t="shared" si="2"/>
        <v>0</v>
      </c>
      <c r="AA61" s="400">
        <f t="shared" si="2"/>
        <v>0</v>
      </c>
      <c r="AB61" s="400">
        <f t="shared" si="2"/>
        <v>0</v>
      </c>
      <c r="AC61" s="400">
        <f t="shared" si="2"/>
        <v>0</v>
      </c>
      <c r="AD61" s="400">
        <f t="shared" si="2"/>
        <v>0</v>
      </c>
      <c r="AE61" s="400">
        <f t="shared" si="2"/>
        <v>0</v>
      </c>
      <c r="AF61" s="400">
        <f t="shared" si="2"/>
        <v>0</v>
      </c>
      <c r="AG61" s="400">
        <f t="shared" si="2"/>
        <v>0</v>
      </c>
      <c r="AH61" s="400">
        <f t="shared" si="2"/>
        <v>0</v>
      </c>
      <c r="AI61" s="400">
        <f t="shared" si="2"/>
        <v>0</v>
      </c>
      <c r="AJ61" s="400">
        <f t="shared" si="2"/>
        <v>0</v>
      </c>
      <c r="AK61" s="400">
        <f t="shared" si="2"/>
        <v>0</v>
      </c>
      <c r="AL61" s="400">
        <f t="shared" si="2"/>
        <v>0</v>
      </c>
      <c r="AM61" s="400">
        <f t="shared" si="2"/>
        <v>0</v>
      </c>
      <c r="AN61" s="400">
        <f t="shared" si="2"/>
        <v>0</v>
      </c>
      <c r="AO61" s="400">
        <f t="shared" si="2"/>
        <v>0</v>
      </c>
      <c r="AP61" s="400">
        <f t="shared" si="2"/>
        <v>0</v>
      </c>
      <c r="AQ61" s="400">
        <f t="shared" si="2"/>
        <v>0</v>
      </c>
      <c r="AR61" s="400">
        <f t="shared" si="2"/>
        <v>0</v>
      </c>
      <c r="AS61" s="400">
        <f t="shared" si="2"/>
        <v>0</v>
      </c>
      <c r="AT61" s="400">
        <f t="shared" si="2"/>
        <v>0</v>
      </c>
      <c r="AU61" s="400">
        <f t="shared" si="2"/>
        <v>0</v>
      </c>
      <c r="AV61" s="400">
        <f t="shared" si="2"/>
        <v>0</v>
      </c>
    </row>
    <row r="63" spans="2:48" ht="15" customHeight="1">
      <c r="B63" s="95" t="s">
        <v>779</v>
      </c>
    </row>
    <row r="64" spans="2:48" ht="15" customHeight="1">
      <c r="E64" s="108" t="str">
        <f xml:space="preserve"> Metalkol_Model1!E$752</f>
        <v>Gecamines share of net cashflows after tax</v>
      </c>
      <c r="F64" s="108">
        <f xml:space="preserve"> Metalkol_Model1!F$752</f>
        <v>0</v>
      </c>
      <c r="G64" s="108" t="str">
        <f xml:space="preserve"> Metalkol_Model1!G$752</f>
        <v>$ mn</v>
      </c>
      <c r="H64" s="108">
        <f xml:space="preserve"> Metalkol_Model1!H$752</f>
        <v>0</v>
      </c>
      <c r="I64" s="108">
        <f xml:space="preserve"> Metalkol_Model1!I$752</f>
        <v>0</v>
      </c>
      <c r="J64" s="108">
        <f xml:space="preserve"> Metalkol_Model1!J$752</f>
        <v>421.58818581567391</v>
      </c>
      <c r="K64" s="108">
        <f xml:space="preserve"> Metalkol_Model1!K$752</f>
        <v>0</v>
      </c>
      <c r="L64" s="108">
        <f xml:space="preserve"> Metalkol_Model1!L$752</f>
        <v>0</v>
      </c>
      <c r="M64" s="108">
        <f xml:space="preserve"> Metalkol_Model1!M$752</f>
        <v>0</v>
      </c>
      <c r="N64" s="108">
        <f xml:space="preserve"> Metalkol_Model1!N$752</f>
        <v>0</v>
      </c>
      <c r="O64" s="108">
        <f xml:space="preserve"> Metalkol_Model1!O$752</f>
        <v>0</v>
      </c>
      <c r="P64" s="108">
        <f xml:space="preserve"> Metalkol_Model1!P$752</f>
        <v>0</v>
      </c>
      <c r="Q64" s="108">
        <f xml:space="preserve"> Metalkol_Model1!Q$752</f>
        <v>133.99765846001051</v>
      </c>
      <c r="R64" s="108">
        <f xml:space="preserve"> Metalkol_Model1!R$752</f>
        <v>18.767662695506274</v>
      </c>
      <c r="S64" s="108">
        <f xml:space="preserve"> Metalkol_Model1!S$752</f>
        <v>61.844618317974657</v>
      </c>
      <c r="T64" s="108">
        <f xml:space="preserve"> Metalkol_Model1!T$752</f>
        <v>58.823318269327025</v>
      </c>
      <c r="U64" s="108">
        <f xml:space="preserve"> Metalkol_Model1!U$752</f>
        <v>25.046399169880939</v>
      </c>
      <c r="V64" s="108">
        <f xml:space="preserve"> Metalkol_Model1!V$752</f>
        <v>12.667323034364081</v>
      </c>
      <c r="W64" s="108">
        <f xml:space="preserve"> Metalkol_Model1!W$752</f>
        <v>18.126757907577769</v>
      </c>
      <c r="X64" s="108">
        <f xml:space="preserve"> Metalkol_Model1!X$752</f>
        <v>10.904829776438389</v>
      </c>
      <c r="Y64" s="108">
        <f xml:space="preserve"> Metalkol_Model1!Y$752</f>
        <v>4.3957202432760596</v>
      </c>
      <c r="Z64" s="108">
        <f xml:space="preserve"> Metalkol_Model1!Z$752</f>
        <v>0</v>
      </c>
      <c r="AA64" s="108">
        <f xml:space="preserve"> Metalkol_Model1!AA$752</f>
        <v>0</v>
      </c>
      <c r="AB64" s="108">
        <f xml:space="preserve"> Metalkol_Model1!AB$752</f>
        <v>9.9060564549564685</v>
      </c>
      <c r="AC64" s="108">
        <f xml:space="preserve"> Metalkol_Model1!AC$752</f>
        <v>32.703591485157972</v>
      </c>
      <c r="AD64" s="108">
        <f xml:space="preserve"> Metalkol_Model1!AD$752</f>
        <v>34.404250001203785</v>
      </c>
      <c r="AE64" s="108">
        <f xml:space="preserve"> Metalkol_Model1!AE$752</f>
        <v>0</v>
      </c>
      <c r="AF64" s="108">
        <f xml:space="preserve"> Metalkol_Model1!AF$752</f>
        <v>0</v>
      </c>
      <c r="AG64" s="108">
        <f xml:space="preserve"> Metalkol_Model1!AG$752</f>
        <v>0</v>
      </c>
      <c r="AH64" s="108">
        <f xml:space="preserve"> Metalkol_Model1!AH$752</f>
        <v>0</v>
      </c>
      <c r="AI64" s="108">
        <f xml:space="preserve"> Metalkol_Model1!AI$752</f>
        <v>0</v>
      </c>
      <c r="AJ64" s="108">
        <f xml:space="preserve"> Metalkol_Model1!AJ$752</f>
        <v>0</v>
      </c>
      <c r="AK64" s="108">
        <f xml:space="preserve"> Metalkol_Model1!AK$752</f>
        <v>0</v>
      </c>
      <c r="AL64" s="108">
        <f xml:space="preserve"> Metalkol_Model1!AL$752</f>
        <v>0</v>
      </c>
      <c r="AM64" s="108">
        <f xml:space="preserve"> Metalkol_Model1!AM$752</f>
        <v>0</v>
      </c>
      <c r="AN64" s="108">
        <f xml:space="preserve"> Metalkol_Model1!AN$752</f>
        <v>0</v>
      </c>
      <c r="AO64" s="108">
        <f xml:space="preserve"> Metalkol_Model1!AO$752</f>
        <v>0</v>
      </c>
      <c r="AP64" s="108">
        <f xml:space="preserve"> Metalkol_Model1!AP$752</f>
        <v>0</v>
      </c>
      <c r="AQ64" s="108">
        <f xml:space="preserve"> Metalkol_Model1!AQ$752</f>
        <v>0</v>
      </c>
      <c r="AR64" s="108">
        <f xml:space="preserve"> Metalkol_Model1!AR$752</f>
        <v>0</v>
      </c>
      <c r="AS64" s="108">
        <f xml:space="preserve"> Metalkol_Model1!AS$752</f>
        <v>0</v>
      </c>
      <c r="AT64" s="108">
        <f xml:space="preserve"> Metalkol_Model1!AT$752</f>
        <v>0</v>
      </c>
      <c r="AU64" s="108">
        <f xml:space="preserve"> Metalkol_Model1!AU$752</f>
        <v>0</v>
      </c>
      <c r="AV64" s="108">
        <f xml:space="preserve"> Metalkol_Model1!AV$752</f>
        <v>0</v>
      </c>
    </row>
    <row r="65" spans="2:48" ht="15" customHeight="1">
      <c r="E65" s="70" t="str">
        <f xml:space="preserve"> Metalkol_Model1!E$759</f>
        <v>ERG  share of METALKOL cashflow</v>
      </c>
      <c r="F65" s="70">
        <f xml:space="preserve"> Metalkol_Model1!F$759</f>
        <v>0</v>
      </c>
      <c r="G65" s="70" t="str">
        <f xml:space="preserve"> Metalkol_Model1!G$759</f>
        <v>$ mn</v>
      </c>
      <c r="H65" s="70">
        <f xml:space="preserve"> Metalkol_Model1!H$759</f>
        <v>0</v>
      </c>
      <c r="I65" s="70">
        <f xml:space="preserve"> Metalkol_Model1!I$759</f>
        <v>0</v>
      </c>
      <c r="J65" s="70">
        <f xml:space="preserve"> Metalkol_Model1!J$759</f>
        <v>2746.2076837082741</v>
      </c>
      <c r="K65" s="70">
        <f xml:space="preserve"> Metalkol_Model1!K$759</f>
        <v>0</v>
      </c>
      <c r="L65" s="70">
        <f xml:space="preserve"> Metalkol_Model1!L$759</f>
        <v>0</v>
      </c>
      <c r="M65" s="70">
        <f xml:space="preserve"> Metalkol_Model1!M$759</f>
        <v>0</v>
      </c>
      <c r="N65" s="70">
        <f xml:space="preserve"> Metalkol_Model1!N$759</f>
        <v>0</v>
      </c>
      <c r="O65" s="70">
        <f xml:space="preserve"> Metalkol_Model1!O$759</f>
        <v>0</v>
      </c>
      <c r="P65" s="70">
        <f xml:space="preserve"> Metalkol_Model1!P$759</f>
        <v>-946.95764879847923</v>
      </c>
      <c r="Q65" s="70">
        <f xml:space="preserve"> Metalkol_Model1!Q$759</f>
        <v>1205.9789261400945</v>
      </c>
      <c r="R65" s="70">
        <f xml:space="preserve"> Metalkol_Model1!R$759</f>
        <v>168.90896425955646</v>
      </c>
      <c r="S65" s="70">
        <f xml:space="preserve"> Metalkol_Model1!S$759</f>
        <v>556.60156486177186</v>
      </c>
      <c r="T65" s="70">
        <f xml:space="preserve"> Metalkol_Model1!T$759</f>
        <v>529.40986442394319</v>
      </c>
      <c r="U65" s="70">
        <f xml:space="preserve"> Metalkol_Model1!U$759</f>
        <v>225.41759252892842</v>
      </c>
      <c r="V65" s="70">
        <f xml:space="preserve"> Metalkol_Model1!V$759</f>
        <v>114.00590730927672</v>
      </c>
      <c r="W65" s="70">
        <f xml:space="preserve"> Metalkol_Model1!W$759</f>
        <v>163.14082116819992</v>
      </c>
      <c r="X65" s="70">
        <f xml:space="preserve"> Metalkol_Model1!X$759</f>
        <v>98.143467987945485</v>
      </c>
      <c r="Y65" s="70">
        <f xml:space="preserve"> Metalkol_Model1!Y$759</f>
        <v>39.561482189484536</v>
      </c>
      <c r="Z65" s="70">
        <f xml:space="preserve"> Metalkol_Model1!Z$759</f>
        <v>-13.127643492816048</v>
      </c>
      <c r="AA65" s="70">
        <f xml:space="preserve"> Metalkol_Model1!AA$759</f>
        <v>-88.000696341495768</v>
      </c>
      <c r="AB65" s="70">
        <f xml:space="preserve"> Metalkol_Model1!AB$759</f>
        <v>89.154508094608204</v>
      </c>
      <c r="AC65" s="70">
        <f xml:space="preserve"> Metalkol_Model1!AC$759</f>
        <v>294.33232336642175</v>
      </c>
      <c r="AD65" s="70">
        <f xml:space="preserve"> Metalkol_Model1!AD$759</f>
        <v>309.6382500108341</v>
      </c>
      <c r="AE65" s="70">
        <f xml:space="preserve"> Metalkol_Model1!AE$759</f>
        <v>0</v>
      </c>
      <c r="AF65" s="70">
        <f xml:space="preserve"> Metalkol_Model1!AF$759</f>
        <v>0</v>
      </c>
      <c r="AG65" s="70">
        <f xml:space="preserve"> Metalkol_Model1!AG$759</f>
        <v>0</v>
      </c>
      <c r="AH65" s="70">
        <f xml:space="preserve"> Metalkol_Model1!AH$759</f>
        <v>0</v>
      </c>
      <c r="AI65" s="70">
        <f xml:space="preserve"> Metalkol_Model1!AI$759</f>
        <v>0</v>
      </c>
      <c r="AJ65" s="70">
        <f xml:space="preserve"> Metalkol_Model1!AJ$759</f>
        <v>0</v>
      </c>
      <c r="AK65" s="70">
        <f xml:space="preserve"> Metalkol_Model1!AK$759</f>
        <v>0</v>
      </c>
      <c r="AL65" s="70">
        <f xml:space="preserve"> Metalkol_Model1!AL$759</f>
        <v>0</v>
      </c>
      <c r="AM65" s="70">
        <f xml:space="preserve"> Metalkol_Model1!AM$759</f>
        <v>0</v>
      </c>
      <c r="AN65" s="70">
        <f xml:space="preserve"> Metalkol_Model1!AN$759</f>
        <v>0</v>
      </c>
      <c r="AO65" s="70">
        <f xml:space="preserve"> Metalkol_Model1!AO$759</f>
        <v>0</v>
      </c>
      <c r="AP65" s="70">
        <f xml:space="preserve"> Metalkol_Model1!AP$759</f>
        <v>0</v>
      </c>
      <c r="AQ65" s="70">
        <f xml:space="preserve"> Metalkol_Model1!AQ$759</f>
        <v>0</v>
      </c>
      <c r="AR65" s="70">
        <f xml:space="preserve"> Metalkol_Model1!AR$759</f>
        <v>0</v>
      </c>
      <c r="AS65" s="70">
        <f xml:space="preserve"> Metalkol_Model1!AS$759</f>
        <v>0</v>
      </c>
      <c r="AT65" s="70">
        <f xml:space="preserve"> Metalkol_Model1!AT$759</f>
        <v>0</v>
      </c>
      <c r="AU65" s="70">
        <f xml:space="preserve"> Metalkol_Model1!AU$759</f>
        <v>0</v>
      </c>
      <c r="AV65" s="70">
        <f xml:space="preserve"> Metalkol_Model1!AV$759</f>
        <v>0</v>
      </c>
    </row>
    <row r="66" spans="2:48" ht="15" customHeight="1">
      <c r="E66" s="3" t="str">
        <f>"Check: " &amp; E65</f>
        <v>Check: ERG  share of METALKOL cashflow</v>
      </c>
      <c r="F66" s="400">
        <f xml:space="preserve"> SUM(L66:AV66)</f>
        <v>0</v>
      </c>
      <c r="G66" s="3" t="s">
        <v>113</v>
      </c>
      <c r="L66" s="400">
        <f t="shared" ref="L66:AV66" si="3" xml:space="preserve"> IF(ABS(L60 - L64 - L65) &gt; CHK_TOL, 1, 0)</f>
        <v>0</v>
      </c>
      <c r="M66" s="400">
        <f t="shared" si="3"/>
        <v>0</v>
      </c>
      <c r="N66" s="400">
        <f t="shared" si="3"/>
        <v>0</v>
      </c>
      <c r="O66" s="400">
        <f t="shared" si="3"/>
        <v>0</v>
      </c>
      <c r="P66" s="400">
        <f t="shared" si="3"/>
        <v>0</v>
      </c>
      <c r="Q66" s="400">
        <f t="shared" si="3"/>
        <v>0</v>
      </c>
      <c r="R66" s="400">
        <f t="shared" si="3"/>
        <v>0</v>
      </c>
      <c r="S66" s="400">
        <f t="shared" si="3"/>
        <v>0</v>
      </c>
      <c r="T66" s="400">
        <f t="shared" si="3"/>
        <v>0</v>
      </c>
      <c r="U66" s="400">
        <f t="shared" si="3"/>
        <v>0</v>
      </c>
      <c r="V66" s="400">
        <f t="shared" si="3"/>
        <v>0</v>
      </c>
      <c r="W66" s="400">
        <f t="shared" si="3"/>
        <v>0</v>
      </c>
      <c r="X66" s="400">
        <f t="shared" si="3"/>
        <v>0</v>
      </c>
      <c r="Y66" s="400">
        <f t="shared" si="3"/>
        <v>0</v>
      </c>
      <c r="Z66" s="400">
        <f t="shared" si="3"/>
        <v>0</v>
      </c>
      <c r="AA66" s="400">
        <f t="shared" si="3"/>
        <v>0</v>
      </c>
      <c r="AB66" s="400">
        <f t="shared" si="3"/>
        <v>0</v>
      </c>
      <c r="AC66" s="400">
        <f t="shared" si="3"/>
        <v>0</v>
      </c>
      <c r="AD66" s="400">
        <f t="shared" si="3"/>
        <v>0</v>
      </c>
      <c r="AE66" s="400">
        <f t="shared" si="3"/>
        <v>0</v>
      </c>
      <c r="AF66" s="400">
        <f t="shared" si="3"/>
        <v>0</v>
      </c>
      <c r="AG66" s="400">
        <f t="shared" si="3"/>
        <v>0</v>
      </c>
      <c r="AH66" s="400">
        <f t="shared" si="3"/>
        <v>0</v>
      </c>
      <c r="AI66" s="400">
        <f t="shared" si="3"/>
        <v>0</v>
      </c>
      <c r="AJ66" s="400">
        <f t="shared" si="3"/>
        <v>0</v>
      </c>
      <c r="AK66" s="400">
        <f t="shared" si="3"/>
        <v>0</v>
      </c>
      <c r="AL66" s="400">
        <f t="shared" si="3"/>
        <v>0</v>
      </c>
      <c r="AM66" s="400">
        <f t="shared" si="3"/>
        <v>0</v>
      </c>
      <c r="AN66" s="400">
        <f t="shared" si="3"/>
        <v>0</v>
      </c>
      <c r="AO66" s="400">
        <f t="shared" si="3"/>
        <v>0</v>
      </c>
      <c r="AP66" s="400">
        <f t="shared" si="3"/>
        <v>0</v>
      </c>
      <c r="AQ66" s="400">
        <f t="shared" si="3"/>
        <v>0</v>
      </c>
      <c r="AR66" s="400">
        <f t="shared" si="3"/>
        <v>0</v>
      </c>
      <c r="AS66" s="400">
        <f t="shared" si="3"/>
        <v>0</v>
      </c>
      <c r="AT66" s="400">
        <f t="shared" si="3"/>
        <v>0</v>
      </c>
      <c r="AU66" s="400">
        <f t="shared" si="3"/>
        <v>0</v>
      </c>
      <c r="AV66" s="400">
        <f t="shared" si="3"/>
        <v>0</v>
      </c>
    </row>
    <row r="68" spans="2:48" ht="15" customHeight="1">
      <c r="B68" s="95" t="s">
        <v>780</v>
      </c>
    </row>
    <row r="69" spans="2:48" ht="15" customHeight="1">
      <c r="E69" s="70" t="str">
        <f xml:space="preserve"> Metalkol_Model1!E769</f>
        <v>ERG  share of METALKOL cashflow</v>
      </c>
      <c r="F69" s="70">
        <f xml:space="preserve"> Metalkol_Model1!F769</f>
        <v>0</v>
      </c>
      <c r="G69" s="70" t="str">
        <f xml:space="preserve"> Metalkol_Model1!G769</f>
        <v>$ mn</v>
      </c>
      <c r="H69" s="70">
        <f xml:space="preserve"> Metalkol_Model1!H769</f>
        <v>0</v>
      </c>
      <c r="I69" s="70">
        <f xml:space="preserve"> Metalkol_Model1!I769</f>
        <v>0</v>
      </c>
      <c r="J69" s="70">
        <f xml:space="preserve"> Metalkol_Model1!J769</f>
        <v>2746.2076837082741</v>
      </c>
      <c r="K69" s="70">
        <f xml:space="preserve"> Metalkol_Model1!K769</f>
        <v>0</v>
      </c>
      <c r="L69" s="70">
        <f xml:space="preserve"> Metalkol_Model1!L769</f>
        <v>0</v>
      </c>
      <c r="M69" s="70">
        <f xml:space="preserve"> Metalkol_Model1!M769</f>
        <v>0</v>
      </c>
      <c r="N69" s="70">
        <f xml:space="preserve"> Metalkol_Model1!N769</f>
        <v>0</v>
      </c>
      <c r="O69" s="70">
        <f xml:space="preserve"> Metalkol_Model1!O769</f>
        <v>0</v>
      </c>
      <c r="P69" s="70">
        <f xml:space="preserve"> Metalkol_Model1!P769</f>
        <v>-946.95764879847923</v>
      </c>
      <c r="Q69" s="70">
        <f xml:space="preserve"> Metalkol_Model1!Q769</f>
        <v>1205.9789261400945</v>
      </c>
      <c r="R69" s="70">
        <f xml:space="preserve"> Metalkol_Model1!R769</f>
        <v>168.90896425955646</v>
      </c>
      <c r="S69" s="70">
        <f xml:space="preserve"> Metalkol_Model1!S769</f>
        <v>556.60156486177186</v>
      </c>
      <c r="T69" s="70">
        <f xml:space="preserve"> Metalkol_Model1!T769</f>
        <v>529.40986442394319</v>
      </c>
      <c r="U69" s="70">
        <f xml:space="preserve"> Metalkol_Model1!U769</f>
        <v>225.41759252892842</v>
      </c>
      <c r="V69" s="70">
        <f xml:space="preserve"> Metalkol_Model1!V769</f>
        <v>114.00590730927672</v>
      </c>
      <c r="W69" s="70">
        <f xml:space="preserve"> Metalkol_Model1!W769</f>
        <v>163.14082116819992</v>
      </c>
      <c r="X69" s="70">
        <f xml:space="preserve"> Metalkol_Model1!X769</f>
        <v>98.143467987945485</v>
      </c>
      <c r="Y69" s="70">
        <f xml:space="preserve"> Metalkol_Model1!Y769</f>
        <v>39.561482189484536</v>
      </c>
      <c r="Z69" s="70">
        <f xml:space="preserve"> Metalkol_Model1!Z769</f>
        <v>-13.127643492816048</v>
      </c>
      <c r="AA69" s="70">
        <f xml:space="preserve"> Metalkol_Model1!AA769</f>
        <v>-88.000696341495768</v>
      </c>
      <c r="AB69" s="70">
        <f xml:space="preserve"> Metalkol_Model1!AB769</f>
        <v>89.154508094608204</v>
      </c>
      <c r="AC69" s="70">
        <f xml:space="preserve"> Metalkol_Model1!AC769</f>
        <v>294.33232336642175</v>
      </c>
      <c r="AD69" s="70">
        <f xml:space="preserve"> Metalkol_Model1!AD769</f>
        <v>309.6382500108341</v>
      </c>
      <c r="AE69" s="70">
        <f xml:space="preserve"> Metalkol_Model1!AE769</f>
        <v>0</v>
      </c>
      <c r="AF69" s="70">
        <f xml:space="preserve"> Metalkol_Model1!AF769</f>
        <v>0</v>
      </c>
      <c r="AG69" s="70">
        <f xml:space="preserve"> Metalkol_Model1!AG769</f>
        <v>0</v>
      </c>
      <c r="AH69" s="70">
        <f xml:space="preserve"> Metalkol_Model1!AH769</f>
        <v>0</v>
      </c>
      <c r="AI69" s="70">
        <f xml:space="preserve"> Metalkol_Model1!AI769</f>
        <v>0</v>
      </c>
      <c r="AJ69" s="70">
        <f xml:space="preserve"> Metalkol_Model1!AJ769</f>
        <v>0</v>
      </c>
      <c r="AK69" s="70">
        <f xml:space="preserve"> Metalkol_Model1!AK769</f>
        <v>0</v>
      </c>
      <c r="AL69" s="70">
        <f xml:space="preserve"> Metalkol_Model1!AL769</f>
        <v>0</v>
      </c>
      <c r="AM69" s="70">
        <f xml:space="preserve"> Metalkol_Model1!AM769</f>
        <v>0</v>
      </c>
      <c r="AN69" s="70">
        <f xml:space="preserve"> Metalkol_Model1!AN769</f>
        <v>0</v>
      </c>
      <c r="AO69" s="70">
        <f xml:space="preserve"> Metalkol_Model1!AO769</f>
        <v>0</v>
      </c>
      <c r="AP69" s="70">
        <f xml:space="preserve"> Metalkol_Model1!AP769</f>
        <v>0</v>
      </c>
      <c r="AQ69" s="70">
        <f xml:space="preserve"> Metalkol_Model1!AQ769</f>
        <v>0</v>
      </c>
      <c r="AR69" s="70">
        <f xml:space="preserve"> Metalkol_Model1!AR769</f>
        <v>0</v>
      </c>
      <c r="AS69" s="70">
        <f xml:space="preserve"> Metalkol_Model1!AS769</f>
        <v>0</v>
      </c>
      <c r="AT69" s="70">
        <f xml:space="preserve"> Metalkol_Model1!AT769</f>
        <v>0</v>
      </c>
      <c r="AU69" s="70">
        <f xml:space="preserve"> Metalkol_Model1!AU769</f>
        <v>0</v>
      </c>
      <c r="AV69" s="70">
        <f xml:space="preserve"> Metalkol_Model1!AV769</f>
        <v>0</v>
      </c>
    </row>
    <row r="70" spans="2:48" ht="15" customHeight="1">
      <c r="E70" s="70" t="str">
        <f xml:space="preserve"> Metalkol_Model1!E770</f>
        <v>Dividend withholding tax</v>
      </c>
      <c r="F70" s="70">
        <f xml:space="preserve"> Metalkol_Model1!F770</f>
        <v>0</v>
      </c>
      <c r="G70" s="70" t="str">
        <f xml:space="preserve"> Metalkol_Model1!G770</f>
        <v>$ mn</v>
      </c>
      <c r="H70" s="70">
        <f xml:space="preserve"> Metalkol_Model1!H770</f>
        <v>0</v>
      </c>
      <c r="I70" s="70">
        <f xml:space="preserve"> Metalkol_Model1!I770</f>
        <v>0</v>
      </c>
      <c r="J70" s="70">
        <f xml:space="preserve"> Metalkol_Model1!J770</f>
        <v>284.73360235425861</v>
      </c>
      <c r="K70" s="70">
        <f xml:space="preserve"> Metalkol_Model1!K770</f>
        <v>0</v>
      </c>
      <c r="L70" s="70">
        <f xml:space="preserve"> Metalkol_Model1!L770</f>
        <v>0</v>
      </c>
      <c r="M70" s="70">
        <f xml:space="preserve"> Metalkol_Model1!M770</f>
        <v>0</v>
      </c>
      <c r="N70" s="70">
        <f xml:space="preserve"> Metalkol_Model1!N770</f>
        <v>0</v>
      </c>
      <c r="O70" s="70">
        <f xml:space="preserve"> Metalkol_Model1!O770</f>
        <v>0</v>
      </c>
      <c r="P70" s="70">
        <f xml:space="preserve"> Metalkol_Model1!P770</f>
        <v>0</v>
      </c>
      <c r="Q70" s="70">
        <f xml:space="preserve"> Metalkol_Model1!Q770</f>
        <v>25.902127734161525</v>
      </c>
      <c r="R70" s="70">
        <f xml:space="preserve"> Metalkol_Model1!R770</f>
        <v>16.890896425955646</v>
      </c>
      <c r="S70" s="70">
        <f xml:space="preserve"> Metalkol_Model1!S770</f>
        <v>55.660156486177186</v>
      </c>
      <c r="T70" s="70">
        <f xml:space="preserve"> Metalkol_Model1!T770</f>
        <v>52.940986442394319</v>
      </c>
      <c r="U70" s="70">
        <f xml:space="preserve"> Metalkol_Model1!U770</f>
        <v>22.541759252892845</v>
      </c>
      <c r="V70" s="70">
        <f xml:space="preserve"> Metalkol_Model1!V770</f>
        <v>11.400590730927673</v>
      </c>
      <c r="W70" s="70">
        <f xml:space="preserve"> Metalkol_Model1!W770</f>
        <v>16.314082116819993</v>
      </c>
      <c r="X70" s="70">
        <f xml:space="preserve"> Metalkol_Model1!X770</f>
        <v>9.8143467987945492</v>
      </c>
      <c r="Y70" s="70">
        <f xml:space="preserve"> Metalkol_Model1!Y770</f>
        <v>3.9561482189484538</v>
      </c>
      <c r="Z70" s="70">
        <f xml:space="preserve"> Metalkol_Model1!Z770</f>
        <v>0</v>
      </c>
      <c r="AA70" s="70">
        <f xml:space="preserve"> Metalkol_Model1!AA770</f>
        <v>0</v>
      </c>
      <c r="AB70" s="70">
        <f xml:space="preserve"> Metalkol_Model1!AB770</f>
        <v>8.91545080946082</v>
      </c>
      <c r="AC70" s="70">
        <f xml:space="preserve"> Metalkol_Model1!AC770</f>
        <v>29.433232336642178</v>
      </c>
      <c r="AD70" s="70">
        <f xml:space="preserve"> Metalkol_Model1!AD770</f>
        <v>30.963825001083411</v>
      </c>
      <c r="AE70" s="70">
        <f xml:space="preserve"> Metalkol_Model1!AE770</f>
        <v>0</v>
      </c>
      <c r="AF70" s="70">
        <f xml:space="preserve"> Metalkol_Model1!AF770</f>
        <v>0</v>
      </c>
      <c r="AG70" s="70">
        <f xml:space="preserve"> Metalkol_Model1!AG770</f>
        <v>0</v>
      </c>
      <c r="AH70" s="70">
        <f xml:space="preserve"> Metalkol_Model1!AH770</f>
        <v>0</v>
      </c>
      <c r="AI70" s="70">
        <f xml:space="preserve"> Metalkol_Model1!AI770</f>
        <v>0</v>
      </c>
      <c r="AJ70" s="70">
        <f xml:space="preserve"> Metalkol_Model1!AJ770</f>
        <v>0</v>
      </c>
      <c r="AK70" s="70">
        <f xml:space="preserve"> Metalkol_Model1!AK770</f>
        <v>0</v>
      </c>
      <c r="AL70" s="70">
        <f xml:space="preserve"> Metalkol_Model1!AL770</f>
        <v>0</v>
      </c>
      <c r="AM70" s="70">
        <f xml:space="preserve"> Metalkol_Model1!AM770</f>
        <v>0</v>
      </c>
      <c r="AN70" s="70">
        <f xml:space="preserve"> Metalkol_Model1!AN770</f>
        <v>0</v>
      </c>
      <c r="AO70" s="70">
        <f xml:space="preserve"> Metalkol_Model1!AO770</f>
        <v>0</v>
      </c>
      <c r="AP70" s="70">
        <f xml:space="preserve"> Metalkol_Model1!AP770</f>
        <v>0</v>
      </c>
      <c r="AQ70" s="70">
        <f xml:space="preserve"> Metalkol_Model1!AQ770</f>
        <v>0</v>
      </c>
      <c r="AR70" s="70">
        <f xml:space="preserve"> Metalkol_Model1!AR770</f>
        <v>0</v>
      </c>
      <c r="AS70" s="70">
        <f xml:space="preserve"> Metalkol_Model1!AS770</f>
        <v>0</v>
      </c>
      <c r="AT70" s="70">
        <f xml:space="preserve"> Metalkol_Model1!AT770</f>
        <v>0</v>
      </c>
      <c r="AU70" s="70">
        <f xml:space="preserve"> Metalkol_Model1!AU770</f>
        <v>0</v>
      </c>
      <c r="AV70" s="70">
        <f xml:space="preserve"> Metalkol_Model1!AV770</f>
        <v>0</v>
      </c>
    </row>
    <row r="71" spans="2:48" ht="15" customHeight="1">
      <c r="E71" s="70" t="str">
        <f xml:space="preserve"> Metalkol_Model1!E771</f>
        <v>[Net debt cashflows (parent co lender)]</v>
      </c>
      <c r="F71" s="70">
        <f xml:space="preserve"> Metalkol_Model1!F771</f>
        <v>0</v>
      </c>
      <c r="G71" s="70" t="str">
        <f xml:space="preserve"> Metalkol_Model1!G771</f>
        <v>$ mn</v>
      </c>
      <c r="H71" s="70">
        <f xml:space="preserve"> Metalkol_Model1!H771</f>
        <v>0</v>
      </c>
      <c r="I71" s="70">
        <f xml:space="preserve"> Metalkol_Model1!I771</f>
        <v>0</v>
      </c>
      <c r="J71" s="70">
        <f xml:space="preserve"> Metalkol_Model1!J771</f>
        <v>1372.5285068756166</v>
      </c>
      <c r="K71" s="70">
        <f xml:space="preserve"> Metalkol_Model1!K771</f>
        <v>0</v>
      </c>
      <c r="L71" s="70">
        <f xml:space="preserve"> Metalkol_Model1!L771</f>
        <v>0</v>
      </c>
      <c r="M71" s="70">
        <f xml:space="preserve"> Metalkol_Model1!M771</f>
        <v>0</v>
      </c>
      <c r="N71" s="70">
        <f xml:space="preserve"> Metalkol_Model1!N771</f>
        <v>0</v>
      </c>
      <c r="O71" s="70">
        <f xml:space="preserve"> Metalkol_Model1!O771</f>
        <v>0</v>
      </c>
      <c r="P71" s="70">
        <f xml:space="preserve"> Metalkol_Model1!P771</f>
        <v>0</v>
      </c>
      <c r="Q71" s="70">
        <f xml:space="preserve"> Metalkol_Model1!Q771</f>
        <v>-838.36</v>
      </c>
      <c r="R71" s="70">
        <f xml:space="preserve"> Metalkol_Model1!R771</f>
        <v>17.317399999999999</v>
      </c>
      <c r="S71" s="70">
        <f xml:space="preserve"> Metalkol_Model1!S771</f>
        <v>69.050010000000015</v>
      </c>
      <c r="T71" s="70">
        <f xml:space="preserve"> Metalkol_Model1!T771</f>
        <v>124.2587226111111</v>
      </c>
      <c r="U71" s="70">
        <f xml:space="preserve"> Metalkol_Model1!U771</f>
        <v>159.87003100277778</v>
      </c>
      <c r="V71" s="70">
        <f xml:space="preserve"> Metalkol_Model1!V771</f>
        <v>167.97982136748018</v>
      </c>
      <c r="W71" s="70">
        <f xml:space="preserve"> Metalkol_Model1!W771</f>
        <v>214.13179457260219</v>
      </c>
      <c r="X71" s="70">
        <f xml:space="preserve"> Metalkol_Model1!X771</f>
        <v>236.66656375849249</v>
      </c>
      <c r="Y71" s="70">
        <f xml:space="preserve"> Metalkol_Model1!Y771</f>
        <v>298.98654832226634</v>
      </c>
      <c r="Z71" s="70">
        <f xml:space="preserve"> Metalkol_Model1!Z771</f>
        <v>341.29453057060636</v>
      </c>
      <c r="AA71" s="70">
        <f xml:space="preserve"> Metalkol_Model1!AA771</f>
        <v>409.68371015619726</v>
      </c>
      <c r="AB71" s="70">
        <f xml:space="preserve"> Metalkol_Model1!AB771</f>
        <v>171.64937451408275</v>
      </c>
      <c r="AC71" s="70">
        <f xml:space="preserve"> Metalkol_Model1!AC771</f>
        <v>0</v>
      </c>
      <c r="AD71" s="70">
        <f xml:space="preserve"> Metalkol_Model1!AD771</f>
        <v>0</v>
      </c>
      <c r="AE71" s="70">
        <f xml:space="preserve"> Metalkol_Model1!AE771</f>
        <v>0</v>
      </c>
      <c r="AF71" s="70">
        <f xml:space="preserve"> Metalkol_Model1!AF771</f>
        <v>0</v>
      </c>
      <c r="AG71" s="70">
        <f xml:space="preserve"> Metalkol_Model1!AG771</f>
        <v>0</v>
      </c>
      <c r="AH71" s="70">
        <f xml:space="preserve"> Metalkol_Model1!AH771</f>
        <v>0</v>
      </c>
      <c r="AI71" s="70">
        <f xml:space="preserve"> Metalkol_Model1!AI771</f>
        <v>0</v>
      </c>
      <c r="AJ71" s="70">
        <f xml:space="preserve"> Metalkol_Model1!AJ771</f>
        <v>0</v>
      </c>
      <c r="AK71" s="70">
        <f xml:space="preserve"> Metalkol_Model1!AK771</f>
        <v>0</v>
      </c>
      <c r="AL71" s="70">
        <f xml:space="preserve"> Metalkol_Model1!AL771</f>
        <v>0</v>
      </c>
      <c r="AM71" s="70">
        <f xml:space="preserve"> Metalkol_Model1!AM771</f>
        <v>0</v>
      </c>
      <c r="AN71" s="70">
        <f xml:space="preserve"> Metalkol_Model1!AN771</f>
        <v>0</v>
      </c>
      <c r="AO71" s="70">
        <f xml:space="preserve"> Metalkol_Model1!AO771</f>
        <v>0</v>
      </c>
      <c r="AP71" s="70">
        <f xml:space="preserve"> Metalkol_Model1!AP771</f>
        <v>0</v>
      </c>
      <c r="AQ71" s="70">
        <f xml:space="preserve"> Metalkol_Model1!AQ771</f>
        <v>0</v>
      </c>
      <c r="AR71" s="70">
        <f xml:space="preserve"> Metalkol_Model1!AR771</f>
        <v>0</v>
      </c>
      <c r="AS71" s="70">
        <f xml:space="preserve"> Metalkol_Model1!AS771</f>
        <v>0</v>
      </c>
      <c r="AT71" s="70">
        <f xml:space="preserve"> Metalkol_Model1!AT771</f>
        <v>0</v>
      </c>
      <c r="AU71" s="70">
        <f xml:space="preserve"> Metalkol_Model1!AU771</f>
        <v>0</v>
      </c>
      <c r="AV71" s="70">
        <f xml:space="preserve"> Metalkol_Model1!AV771</f>
        <v>0</v>
      </c>
    </row>
    <row r="72" spans="2:48" ht="15" customHeight="1">
      <c r="E72" s="70" t="str">
        <f xml:space="preserve"> Metalkol_Model1!E772</f>
        <v>Parent company net cashflows</v>
      </c>
      <c r="F72" s="70">
        <f xml:space="preserve"> Metalkol_Model1!F772</f>
        <v>0</v>
      </c>
      <c r="G72" s="70" t="str">
        <f xml:space="preserve"> Metalkol_Model1!G772</f>
        <v>$ mn</v>
      </c>
      <c r="H72" s="70">
        <f xml:space="preserve"> Metalkol_Model1!H772</f>
        <v>0</v>
      </c>
      <c r="I72" s="70">
        <f xml:space="preserve"> Metalkol_Model1!I772</f>
        <v>0</v>
      </c>
      <c r="J72" s="70">
        <f xml:space="preserve"> Metalkol_Model1!J772</f>
        <v>3834.0025882296322</v>
      </c>
      <c r="K72" s="70">
        <f xml:space="preserve"> Metalkol_Model1!K772</f>
        <v>0</v>
      </c>
      <c r="L72" s="70">
        <f xml:space="preserve"> Metalkol_Model1!L772</f>
        <v>0</v>
      </c>
      <c r="M72" s="70">
        <f xml:space="preserve"> Metalkol_Model1!M772</f>
        <v>0</v>
      </c>
      <c r="N72" s="70">
        <f xml:space="preserve"> Metalkol_Model1!N772</f>
        <v>0</v>
      </c>
      <c r="O72" s="70">
        <f xml:space="preserve"> Metalkol_Model1!O772</f>
        <v>0</v>
      </c>
      <c r="P72" s="70">
        <f xml:space="preserve"> Metalkol_Model1!P772</f>
        <v>-946.95764879847923</v>
      </c>
      <c r="Q72" s="70">
        <f xml:space="preserve"> Metalkol_Model1!Q772</f>
        <v>341.71679840593299</v>
      </c>
      <c r="R72" s="70">
        <f xml:space="preserve"> Metalkol_Model1!R772</f>
        <v>169.3354678336008</v>
      </c>
      <c r="S72" s="70">
        <f xml:space="preserve"> Metalkol_Model1!S772</f>
        <v>569.99141837559466</v>
      </c>
      <c r="T72" s="70">
        <f xml:space="preserve"> Metalkol_Model1!T772</f>
        <v>600.72760059266</v>
      </c>
      <c r="U72" s="70">
        <f xml:space="preserve"> Metalkol_Model1!U772</f>
        <v>362.74586427881331</v>
      </c>
      <c r="V72" s="70">
        <f xml:space="preserve"> Metalkol_Model1!V772</f>
        <v>270.58513794582922</v>
      </c>
      <c r="W72" s="70">
        <f xml:space="preserve"> Metalkol_Model1!W772</f>
        <v>360.95853362398213</v>
      </c>
      <c r="X72" s="70">
        <f xml:space="preserve"> Metalkol_Model1!X772</f>
        <v>324.99568494764344</v>
      </c>
      <c r="Y72" s="70">
        <f xml:space="preserve"> Metalkol_Model1!Y772</f>
        <v>334.59188229280244</v>
      </c>
      <c r="Z72" s="70">
        <f xml:space="preserve"> Metalkol_Model1!Z772</f>
        <v>328.16688707779031</v>
      </c>
      <c r="AA72" s="70">
        <f xml:space="preserve"> Metalkol_Model1!AA772</f>
        <v>321.6830138147015</v>
      </c>
      <c r="AB72" s="70">
        <f xml:space="preserve"> Metalkol_Model1!AB772</f>
        <v>251.88843179923015</v>
      </c>
      <c r="AC72" s="70">
        <f xml:space="preserve"> Metalkol_Model1!AC772</f>
        <v>264.89909102977958</v>
      </c>
      <c r="AD72" s="70">
        <f xml:space="preserve"> Metalkol_Model1!AD772</f>
        <v>278.67442500975068</v>
      </c>
      <c r="AE72" s="70">
        <f xml:space="preserve"> Metalkol_Model1!AE772</f>
        <v>0</v>
      </c>
      <c r="AF72" s="70">
        <f xml:space="preserve"> Metalkol_Model1!AF772</f>
        <v>0</v>
      </c>
      <c r="AG72" s="70">
        <f xml:space="preserve"> Metalkol_Model1!AG772</f>
        <v>0</v>
      </c>
      <c r="AH72" s="70">
        <f xml:space="preserve"> Metalkol_Model1!AH772</f>
        <v>0</v>
      </c>
      <c r="AI72" s="70">
        <f xml:space="preserve"> Metalkol_Model1!AI772</f>
        <v>0</v>
      </c>
      <c r="AJ72" s="70">
        <f xml:space="preserve"> Metalkol_Model1!AJ772</f>
        <v>0</v>
      </c>
      <c r="AK72" s="70">
        <f xml:space="preserve"> Metalkol_Model1!AK772</f>
        <v>0</v>
      </c>
      <c r="AL72" s="70">
        <f xml:space="preserve"> Metalkol_Model1!AL772</f>
        <v>0</v>
      </c>
      <c r="AM72" s="70">
        <f xml:space="preserve"> Metalkol_Model1!AM772</f>
        <v>0</v>
      </c>
      <c r="AN72" s="70">
        <f xml:space="preserve"> Metalkol_Model1!AN772</f>
        <v>0</v>
      </c>
      <c r="AO72" s="70">
        <f xml:space="preserve"> Metalkol_Model1!AO772</f>
        <v>0</v>
      </c>
      <c r="AP72" s="70">
        <f xml:space="preserve"> Metalkol_Model1!AP772</f>
        <v>0</v>
      </c>
      <c r="AQ72" s="70">
        <f xml:space="preserve"> Metalkol_Model1!AQ772</f>
        <v>0</v>
      </c>
      <c r="AR72" s="70">
        <f xml:space="preserve"> Metalkol_Model1!AR772</f>
        <v>0</v>
      </c>
      <c r="AS72" s="70">
        <f xml:space="preserve"> Metalkol_Model1!AS772</f>
        <v>0</v>
      </c>
      <c r="AT72" s="70">
        <f xml:space="preserve"> Metalkol_Model1!AT772</f>
        <v>0</v>
      </c>
      <c r="AU72" s="70">
        <f xml:space="preserve"> Metalkol_Model1!AU772</f>
        <v>0</v>
      </c>
      <c r="AV72" s="70">
        <f xml:space="preserve"> Metalkol_Model1!AV772</f>
        <v>0</v>
      </c>
    </row>
    <row r="73" spans="2:48" ht="15" customHeight="1">
      <c r="E73" s="3" t="str">
        <f>"Check: " &amp; E72</f>
        <v>Check: Parent company net cashflows</v>
      </c>
      <c r="F73" s="400">
        <f xml:space="preserve"> SUM(L73:AV73)</f>
        <v>0</v>
      </c>
      <c r="G73" s="3" t="s">
        <v>113</v>
      </c>
      <c r="L73" s="400">
        <f t="shared" ref="L73:AV73" si="4" xml:space="preserve"> IF(ABS(L65 - L70 + L71 - L72) &gt; CHK_TOL, 1, 0)</f>
        <v>0</v>
      </c>
      <c r="M73" s="400">
        <f t="shared" si="4"/>
        <v>0</v>
      </c>
      <c r="N73" s="400">
        <f t="shared" si="4"/>
        <v>0</v>
      </c>
      <c r="O73" s="400">
        <f t="shared" si="4"/>
        <v>0</v>
      </c>
      <c r="P73" s="400">
        <f t="shared" si="4"/>
        <v>0</v>
      </c>
      <c r="Q73" s="400">
        <f t="shared" si="4"/>
        <v>0</v>
      </c>
      <c r="R73" s="400">
        <f t="shared" si="4"/>
        <v>0</v>
      </c>
      <c r="S73" s="400">
        <f t="shared" si="4"/>
        <v>0</v>
      </c>
      <c r="T73" s="400">
        <f t="shared" si="4"/>
        <v>0</v>
      </c>
      <c r="U73" s="400">
        <f t="shared" si="4"/>
        <v>0</v>
      </c>
      <c r="V73" s="400">
        <f t="shared" si="4"/>
        <v>0</v>
      </c>
      <c r="W73" s="400">
        <f t="shared" si="4"/>
        <v>0</v>
      </c>
      <c r="X73" s="400">
        <f t="shared" si="4"/>
        <v>0</v>
      </c>
      <c r="Y73" s="400">
        <f t="shared" si="4"/>
        <v>0</v>
      </c>
      <c r="Z73" s="400">
        <f t="shared" si="4"/>
        <v>0</v>
      </c>
      <c r="AA73" s="400">
        <f t="shared" si="4"/>
        <v>0</v>
      </c>
      <c r="AB73" s="400">
        <f t="shared" si="4"/>
        <v>0</v>
      </c>
      <c r="AC73" s="400">
        <f t="shared" si="4"/>
        <v>0</v>
      </c>
      <c r="AD73" s="400">
        <f t="shared" si="4"/>
        <v>0</v>
      </c>
      <c r="AE73" s="400">
        <f t="shared" si="4"/>
        <v>0</v>
      </c>
      <c r="AF73" s="400">
        <f t="shared" si="4"/>
        <v>0</v>
      </c>
      <c r="AG73" s="400">
        <f t="shared" si="4"/>
        <v>0</v>
      </c>
      <c r="AH73" s="400">
        <f t="shared" si="4"/>
        <v>0</v>
      </c>
      <c r="AI73" s="400">
        <f t="shared" si="4"/>
        <v>0</v>
      </c>
      <c r="AJ73" s="400">
        <f t="shared" si="4"/>
        <v>0</v>
      </c>
      <c r="AK73" s="400">
        <f t="shared" si="4"/>
        <v>0</v>
      </c>
      <c r="AL73" s="400">
        <f t="shared" si="4"/>
        <v>0</v>
      </c>
      <c r="AM73" s="400">
        <f t="shared" si="4"/>
        <v>0</v>
      </c>
      <c r="AN73" s="400">
        <f t="shared" si="4"/>
        <v>0</v>
      </c>
      <c r="AO73" s="400">
        <f t="shared" si="4"/>
        <v>0</v>
      </c>
      <c r="AP73" s="400">
        <f t="shared" si="4"/>
        <v>0</v>
      </c>
      <c r="AQ73" s="400">
        <f t="shared" si="4"/>
        <v>0</v>
      </c>
      <c r="AR73" s="400">
        <f t="shared" si="4"/>
        <v>0</v>
      </c>
      <c r="AS73" s="400">
        <f t="shared" si="4"/>
        <v>0</v>
      </c>
      <c r="AT73" s="400">
        <f t="shared" si="4"/>
        <v>0</v>
      </c>
      <c r="AU73" s="400">
        <f t="shared" si="4"/>
        <v>0</v>
      </c>
      <c r="AV73" s="400">
        <f t="shared" si="4"/>
        <v>0</v>
      </c>
    </row>
    <row r="75" spans="2:48" ht="15" customHeight="1">
      <c r="B75" s="95" t="s">
        <v>678</v>
      </c>
    </row>
    <row r="76" spans="2:48" ht="15" customHeight="1">
      <c r="E76" s="70" t="str">
        <f xml:space="preserve"> Metalkol_Model1!E922</f>
        <v>Project cashflows before tax</v>
      </c>
      <c r="F76" s="70">
        <f xml:space="preserve"> Metalkol_Model1!F922</f>
        <v>0</v>
      </c>
      <c r="G76" s="70" t="str">
        <f xml:space="preserve"> Metalkol_Model1!G922</f>
        <v>$ mn</v>
      </c>
      <c r="H76" s="70">
        <f xml:space="preserve"> Metalkol_Model1!H922</f>
        <v>0</v>
      </c>
      <c r="I76" s="70">
        <f xml:space="preserve"> Metalkol_Model1!I922</f>
        <v>0</v>
      </c>
      <c r="J76" s="70">
        <f xml:space="preserve"> Metalkol_Model1!J922</f>
        <v>7602.4719981898188</v>
      </c>
      <c r="K76" s="70">
        <f xml:space="preserve"> Metalkol_Model1!K922</f>
        <v>0</v>
      </c>
      <c r="L76" s="70">
        <f xml:space="preserve"> Metalkol_Model1!L922</f>
        <v>0</v>
      </c>
      <c r="M76" s="70">
        <f xml:space="preserve"> Metalkol_Model1!M922</f>
        <v>0</v>
      </c>
      <c r="N76" s="70">
        <f xml:space="preserve"> Metalkol_Model1!N922</f>
        <v>0</v>
      </c>
      <c r="O76" s="70">
        <f xml:space="preserve"> Metalkol_Model1!O922</f>
        <v>0</v>
      </c>
      <c r="P76" s="70">
        <f xml:space="preserve"> Metalkol_Model1!P922</f>
        <v>-943.06374607057251</v>
      </c>
      <c r="Q76" s="70">
        <f xml:space="preserve"> Metalkol_Model1!Q922</f>
        <v>770.99558436977952</v>
      </c>
      <c r="R76" s="70">
        <f xml:space="preserve"> Metalkol_Model1!R922</f>
        <v>314.33493733000921</v>
      </c>
      <c r="S76" s="70">
        <f xml:space="preserve"> Metalkol_Model1!S922</f>
        <v>1003.2129916506368</v>
      </c>
      <c r="T76" s="70">
        <f xml:space="preserve"> Metalkol_Model1!T922</f>
        <v>1063.0484207248564</v>
      </c>
      <c r="U76" s="70">
        <f xml:space="preserve"> Metalkol_Model1!U922</f>
        <v>555.43352993011024</v>
      </c>
      <c r="V76" s="70">
        <f xml:space="preserve"> Metalkol_Model1!V922</f>
        <v>404.33052632425427</v>
      </c>
      <c r="W76" s="70">
        <f xml:space="preserve"> Metalkol_Model1!W922</f>
        <v>603.51914712237158</v>
      </c>
      <c r="X76" s="70">
        <f xml:space="preserve"> Metalkol_Model1!X922</f>
        <v>552.92060449538792</v>
      </c>
      <c r="Y76" s="70">
        <f xml:space="preserve"> Metalkol_Model1!Y922</f>
        <v>541.23665696978128</v>
      </c>
      <c r="Z76" s="70">
        <f xml:space="preserve"> Metalkol_Model1!Z922</f>
        <v>535.78080999474901</v>
      </c>
      <c r="AA76" s="70">
        <f xml:space="preserve"> Metalkol_Model1!AA922</f>
        <v>531.50535740522753</v>
      </c>
      <c r="AB76" s="70">
        <f xml:space="preserve"> Metalkol_Model1!AB922</f>
        <v>486.3857379523771</v>
      </c>
      <c r="AC76" s="70">
        <f xml:space="preserve"> Metalkol_Model1!AC922</f>
        <v>584.03809811517249</v>
      </c>
      <c r="AD76" s="70">
        <f xml:space="preserve"> Metalkol_Model1!AD922</f>
        <v>598.7933418756794</v>
      </c>
      <c r="AE76" s="70">
        <f xml:space="preserve"> Metalkol_Model1!AE922</f>
        <v>0</v>
      </c>
      <c r="AF76" s="70">
        <f xml:space="preserve"> Metalkol_Model1!AF922</f>
        <v>0</v>
      </c>
      <c r="AG76" s="70">
        <f xml:space="preserve"> Metalkol_Model1!AG922</f>
        <v>0</v>
      </c>
      <c r="AH76" s="70">
        <f xml:space="preserve"> Metalkol_Model1!AH922</f>
        <v>0</v>
      </c>
      <c r="AI76" s="70">
        <f xml:space="preserve"> Metalkol_Model1!AI922</f>
        <v>0</v>
      </c>
      <c r="AJ76" s="70">
        <f xml:space="preserve"> Metalkol_Model1!AJ922</f>
        <v>0</v>
      </c>
      <c r="AK76" s="70">
        <f xml:space="preserve"> Metalkol_Model1!AK922</f>
        <v>0</v>
      </c>
      <c r="AL76" s="70">
        <f xml:space="preserve"> Metalkol_Model1!AL922</f>
        <v>0</v>
      </c>
      <c r="AM76" s="70">
        <f xml:space="preserve"> Metalkol_Model1!AM922</f>
        <v>0</v>
      </c>
      <c r="AN76" s="70">
        <f xml:space="preserve"> Metalkol_Model1!AN922</f>
        <v>0</v>
      </c>
      <c r="AO76" s="70">
        <f xml:space="preserve"> Metalkol_Model1!AO922</f>
        <v>0</v>
      </c>
      <c r="AP76" s="70">
        <f xml:space="preserve"> Metalkol_Model1!AP922</f>
        <v>0</v>
      </c>
      <c r="AQ76" s="70">
        <f xml:space="preserve"> Metalkol_Model1!AQ922</f>
        <v>0</v>
      </c>
      <c r="AR76" s="70">
        <f xml:space="preserve"> Metalkol_Model1!AR922</f>
        <v>0</v>
      </c>
      <c r="AS76" s="70">
        <f xml:space="preserve"> Metalkol_Model1!AS922</f>
        <v>0</v>
      </c>
      <c r="AT76" s="70">
        <f xml:space="preserve"> Metalkol_Model1!AT922</f>
        <v>0</v>
      </c>
      <c r="AU76" s="70">
        <f xml:space="preserve"> Metalkol_Model1!AU922</f>
        <v>0</v>
      </c>
      <c r="AV76" s="70">
        <f xml:space="preserve"> Metalkol_Model1!AV922</f>
        <v>0</v>
      </c>
    </row>
    <row r="77" spans="2:48" ht="15" customHeight="1">
      <c r="E77" s="70" t="str">
        <f xml:space="preserve"> Metalkol_Model1!E923</f>
        <v>Government revenues excl. Gecamines participation</v>
      </c>
      <c r="F77" s="70">
        <f xml:space="preserve"> Metalkol_Model1!F923</f>
        <v>0</v>
      </c>
      <c r="G77" s="70" t="str">
        <f xml:space="preserve"> Metalkol_Model1!G923</f>
        <v>$ mn</v>
      </c>
      <c r="H77" s="70">
        <f xml:space="preserve"> Metalkol_Model1!H923</f>
        <v>0</v>
      </c>
      <c r="I77" s="70">
        <f xml:space="preserve"> Metalkol_Model1!I923</f>
        <v>0</v>
      </c>
      <c r="J77" s="70">
        <f xml:space="preserve"> Metalkol_Model1!J923</f>
        <v>3201.1779972370141</v>
      </c>
      <c r="K77" s="70">
        <f xml:space="preserve"> Metalkol_Model1!K923</f>
        <v>0</v>
      </c>
      <c r="L77" s="70">
        <f xml:space="preserve"> Metalkol_Model1!L923</f>
        <v>0</v>
      </c>
      <c r="M77" s="70">
        <f xml:space="preserve"> Metalkol_Model1!M923</f>
        <v>0</v>
      </c>
      <c r="N77" s="70">
        <f xml:space="preserve"> Metalkol_Model1!N923</f>
        <v>0</v>
      </c>
      <c r="O77" s="70">
        <f xml:space="preserve"> Metalkol_Model1!O923</f>
        <v>0</v>
      </c>
      <c r="P77" s="70">
        <f xml:space="preserve"> Metalkol_Model1!P923</f>
        <v>23.791051457392751</v>
      </c>
      <c r="Q77" s="70">
        <f xml:space="preserve"> Metalkol_Model1!Q923</f>
        <v>278.54002294708886</v>
      </c>
      <c r="R77" s="70">
        <f xml:space="preserve"> Metalkol_Model1!R923</f>
        <v>119.65263848900783</v>
      </c>
      <c r="S77" s="70">
        <f xml:space="preserve"> Metalkol_Model1!S923</f>
        <v>348.18517326554991</v>
      </c>
      <c r="T77" s="70">
        <f xml:space="preserve"> Metalkol_Model1!T923</f>
        <v>389.50387848780395</v>
      </c>
      <c r="U77" s="70">
        <f xml:space="preserve"> Metalkol_Model1!U923</f>
        <v>156.43226157468644</v>
      </c>
      <c r="V77" s="70">
        <f xml:space="preserve"> Metalkol_Model1!V923</f>
        <v>113.64500193675771</v>
      </c>
      <c r="W77" s="70">
        <f xml:space="preserve"> Metalkol_Model1!W923</f>
        <v>212.21149042518854</v>
      </c>
      <c r="X77" s="70">
        <f xml:space="preserve"> Metalkol_Model1!X923</f>
        <v>205.99915596072478</v>
      </c>
      <c r="Y77" s="70">
        <f xml:space="preserve"> Metalkol_Model1!Y923</f>
        <v>191.72144050986023</v>
      </c>
      <c r="Z77" s="70">
        <f xml:space="preserve"> Metalkol_Model1!Z923</f>
        <v>197.22781519965909</v>
      </c>
      <c r="AA77" s="70">
        <f xml:space="preserve"> Metalkol_Model1!AA923</f>
        <v>199.66940662988583</v>
      </c>
      <c r="AB77" s="70">
        <f xml:space="preserve"> Metalkol_Model1!AB923</f>
        <v>215.42408862151638</v>
      </c>
      <c r="AC77" s="70">
        <f xml:space="preserve"> Metalkol_Model1!AC923</f>
        <v>275.14935526718682</v>
      </c>
      <c r="AD77" s="70">
        <f xml:space="preserve"> Metalkol_Model1!AD923</f>
        <v>274.02521646470473</v>
      </c>
      <c r="AE77" s="70">
        <f xml:space="preserve"> Metalkol_Model1!AE923</f>
        <v>0</v>
      </c>
      <c r="AF77" s="70">
        <f xml:space="preserve"> Metalkol_Model1!AF923</f>
        <v>0</v>
      </c>
      <c r="AG77" s="70">
        <f xml:space="preserve"> Metalkol_Model1!AG923</f>
        <v>0</v>
      </c>
      <c r="AH77" s="70">
        <f xml:space="preserve"> Metalkol_Model1!AH923</f>
        <v>0</v>
      </c>
      <c r="AI77" s="70">
        <f xml:space="preserve"> Metalkol_Model1!AI923</f>
        <v>0</v>
      </c>
      <c r="AJ77" s="70">
        <f xml:space="preserve"> Metalkol_Model1!AJ923</f>
        <v>0</v>
      </c>
      <c r="AK77" s="70">
        <f xml:space="preserve"> Metalkol_Model1!AK923</f>
        <v>0</v>
      </c>
      <c r="AL77" s="70">
        <f xml:space="preserve"> Metalkol_Model1!AL923</f>
        <v>0</v>
      </c>
      <c r="AM77" s="70">
        <f xml:space="preserve"> Metalkol_Model1!AM923</f>
        <v>0</v>
      </c>
      <c r="AN77" s="70">
        <f xml:space="preserve"> Metalkol_Model1!AN923</f>
        <v>0</v>
      </c>
      <c r="AO77" s="70">
        <f xml:space="preserve"> Metalkol_Model1!AO923</f>
        <v>0</v>
      </c>
      <c r="AP77" s="70">
        <f xml:space="preserve"> Metalkol_Model1!AP923</f>
        <v>0</v>
      </c>
      <c r="AQ77" s="70">
        <f xml:space="preserve"> Metalkol_Model1!AQ923</f>
        <v>0</v>
      </c>
      <c r="AR77" s="70">
        <f xml:space="preserve"> Metalkol_Model1!AR923</f>
        <v>0</v>
      </c>
      <c r="AS77" s="70">
        <f xml:space="preserve"> Metalkol_Model1!AS923</f>
        <v>0</v>
      </c>
      <c r="AT77" s="70">
        <f xml:space="preserve"> Metalkol_Model1!AT923</f>
        <v>0</v>
      </c>
      <c r="AU77" s="70">
        <f xml:space="preserve"> Metalkol_Model1!AU923</f>
        <v>0</v>
      </c>
      <c r="AV77" s="70">
        <f xml:space="preserve"> Metalkol_Model1!AV923</f>
        <v>0</v>
      </c>
    </row>
    <row r="78" spans="2:48" ht="15" customHeight="1">
      <c r="E78" s="70" t="str">
        <f xml:space="preserve"> Metalkol_Model1!E924</f>
        <v>Gecamines share of net cashflows after tax</v>
      </c>
      <c r="F78" s="70">
        <f xml:space="preserve"> Metalkol_Model1!F924</f>
        <v>0</v>
      </c>
      <c r="G78" s="70" t="str">
        <f xml:space="preserve"> Metalkol_Model1!G924</f>
        <v>$ mn</v>
      </c>
      <c r="H78" s="70">
        <f xml:space="preserve"> Metalkol_Model1!H924</f>
        <v>0</v>
      </c>
      <c r="I78" s="70">
        <f xml:space="preserve"> Metalkol_Model1!I924</f>
        <v>0</v>
      </c>
      <c r="J78" s="70">
        <f xml:space="preserve"> Metalkol_Model1!J924</f>
        <v>421.58818581567391</v>
      </c>
      <c r="K78" s="70">
        <f xml:space="preserve"> Metalkol_Model1!K924</f>
        <v>0</v>
      </c>
      <c r="L78" s="70">
        <f xml:space="preserve"> Metalkol_Model1!L924</f>
        <v>0</v>
      </c>
      <c r="M78" s="70">
        <f xml:space="preserve"> Metalkol_Model1!M924</f>
        <v>0</v>
      </c>
      <c r="N78" s="70">
        <f xml:space="preserve"> Metalkol_Model1!N924</f>
        <v>0</v>
      </c>
      <c r="O78" s="70">
        <f xml:space="preserve"> Metalkol_Model1!O924</f>
        <v>0</v>
      </c>
      <c r="P78" s="70">
        <f xml:space="preserve"> Metalkol_Model1!P924</f>
        <v>0</v>
      </c>
      <c r="Q78" s="70">
        <f xml:space="preserve"> Metalkol_Model1!Q924</f>
        <v>133.99765846001051</v>
      </c>
      <c r="R78" s="70">
        <f xml:space="preserve"> Metalkol_Model1!R924</f>
        <v>18.767662695506274</v>
      </c>
      <c r="S78" s="70">
        <f xml:space="preserve"> Metalkol_Model1!S924</f>
        <v>61.844618317974657</v>
      </c>
      <c r="T78" s="70">
        <f xml:space="preserve"> Metalkol_Model1!T924</f>
        <v>58.823318269327025</v>
      </c>
      <c r="U78" s="70">
        <f xml:space="preserve"> Metalkol_Model1!U924</f>
        <v>25.046399169880939</v>
      </c>
      <c r="V78" s="70">
        <f xml:space="preserve"> Metalkol_Model1!V924</f>
        <v>12.667323034364081</v>
      </c>
      <c r="W78" s="70">
        <f xml:space="preserve"> Metalkol_Model1!W924</f>
        <v>18.126757907577769</v>
      </c>
      <c r="X78" s="70">
        <f xml:space="preserve"> Metalkol_Model1!X924</f>
        <v>10.904829776438389</v>
      </c>
      <c r="Y78" s="70">
        <f xml:space="preserve"> Metalkol_Model1!Y924</f>
        <v>4.3957202432760596</v>
      </c>
      <c r="Z78" s="70">
        <f xml:space="preserve"> Metalkol_Model1!Z924</f>
        <v>0</v>
      </c>
      <c r="AA78" s="70">
        <f xml:space="preserve"> Metalkol_Model1!AA924</f>
        <v>0</v>
      </c>
      <c r="AB78" s="70">
        <f xml:space="preserve"> Metalkol_Model1!AB924</f>
        <v>9.9060564549564685</v>
      </c>
      <c r="AC78" s="70">
        <f xml:space="preserve"> Metalkol_Model1!AC924</f>
        <v>32.703591485157972</v>
      </c>
      <c r="AD78" s="70">
        <f xml:space="preserve"> Metalkol_Model1!AD924</f>
        <v>34.404250001203785</v>
      </c>
      <c r="AE78" s="70">
        <f xml:space="preserve"> Metalkol_Model1!AE924</f>
        <v>0</v>
      </c>
      <c r="AF78" s="70">
        <f xml:space="preserve"> Metalkol_Model1!AF924</f>
        <v>0</v>
      </c>
      <c r="AG78" s="70">
        <f xml:space="preserve"> Metalkol_Model1!AG924</f>
        <v>0</v>
      </c>
      <c r="AH78" s="70">
        <f xml:space="preserve"> Metalkol_Model1!AH924</f>
        <v>0</v>
      </c>
      <c r="AI78" s="70">
        <f xml:space="preserve"> Metalkol_Model1!AI924</f>
        <v>0</v>
      </c>
      <c r="AJ78" s="70">
        <f xml:space="preserve"> Metalkol_Model1!AJ924</f>
        <v>0</v>
      </c>
      <c r="AK78" s="70">
        <f xml:space="preserve"> Metalkol_Model1!AK924</f>
        <v>0</v>
      </c>
      <c r="AL78" s="70">
        <f xml:space="preserve"> Metalkol_Model1!AL924</f>
        <v>0</v>
      </c>
      <c r="AM78" s="70">
        <f xml:space="preserve"> Metalkol_Model1!AM924</f>
        <v>0</v>
      </c>
      <c r="AN78" s="70">
        <f xml:space="preserve"> Metalkol_Model1!AN924</f>
        <v>0</v>
      </c>
      <c r="AO78" s="70">
        <f xml:space="preserve"> Metalkol_Model1!AO924</f>
        <v>0</v>
      </c>
      <c r="AP78" s="70">
        <f xml:space="preserve"> Metalkol_Model1!AP924</f>
        <v>0</v>
      </c>
      <c r="AQ78" s="70">
        <f xml:space="preserve"> Metalkol_Model1!AQ924</f>
        <v>0</v>
      </c>
      <c r="AR78" s="70">
        <f xml:space="preserve"> Metalkol_Model1!AR924</f>
        <v>0</v>
      </c>
      <c r="AS78" s="70">
        <f xml:space="preserve"> Metalkol_Model1!AS924</f>
        <v>0</v>
      </c>
      <c r="AT78" s="70">
        <f xml:space="preserve"> Metalkol_Model1!AT924</f>
        <v>0</v>
      </c>
      <c r="AU78" s="70">
        <f xml:space="preserve"> Metalkol_Model1!AU924</f>
        <v>0</v>
      </c>
      <c r="AV78" s="70">
        <f xml:space="preserve"> Metalkol_Model1!AV924</f>
        <v>0</v>
      </c>
    </row>
    <row r="79" spans="2:48" ht="15" customHeight="1">
      <c r="E79" s="70" t="str">
        <f xml:space="preserve"> Metalkol_Model1!E925</f>
        <v>Government including Gecamines</v>
      </c>
      <c r="F79" s="70">
        <f xml:space="preserve"> Metalkol_Model1!F925</f>
        <v>0</v>
      </c>
      <c r="G79" s="70" t="str">
        <f xml:space="preserve"> Metalkol_Model1!G925</f>
        <v>$ mn</v>
      </c>
      <c r="H79" s="70">
        <f xml:space="preserve"> Metalkol_Model1!H925</f>
        <v>0</v>
      </c>
      <c r="I79" s="70">
        <f xml:space="preserve"> Metalkol_Model1!I925</f>
        <v>0</v>
      </c>
      <c r="J79" s="70">
        <f xml:space="preserve"> Metalkol_Model1!J925</f>
        <v>3622.7661830526886</v>
      </c>
      <c r="K79" s="70">
        <f xml:space="preserve"> Metalkol_Model1!K925</f>
        <v>0</v>
      </c>
      <c r="L79" s="70">
        <f xml:space="preserve"> Metalkol_Model1!L925</f>
        <v>0</v>
      </c>
      <c r="M79" s="70">
        <f xml:space="preserve"> Metalkol_Model1!M925</f>
        <v>0</v>
      </c>
      <c r="N79" s="70">
        <f xml:space="preserve"> Metalkol_Model1!N925</f>
        <v>0</v>
      </c>
      <c r="O79" s="70">
        <f xml:space="preserve"> Metalkol_Model1!O925</f>
        <v>0</v>
      </c>
      <c r="P79" s="70">
        <f xml:space="preserve"> Metalkol_Model1!P925</f>
        <v>23.791051457392751</v>
      </c>
      <c r="Q79" s="70">
        <f xml:space="preserve"> Metalkol_Model1!Q925</f>
        <v>412.5376814070994</v>
      </c>
      <c r="R79" s="70">
        <f xml:space="preserve"> Metalkol_Model1!R925</f>
        <v>138.4203011845141</v>
      </c>
      <c r="S79" s="70">
        <f xml:space="preserve"> Metalkol_Model1!S925</f>
        <v>410.02979158352457</v>
      </c>
      <c r="T79" s="70">
        <f xml:space="preserve"> Metalkol_Model1!T925</f>
        <v>448.32719675713099</v>
      </c>
      <c r="U79" s="70">
        <f xml:space="preserve"> Metalkol_Model1!U925</f>
        <v>181.47866074456738</v>
      </c>
      <c r="V79" s="70">
        <f xml:space="preserve"> Metalkol_Model1!V925</f>
        <v>126.3123249711218</v>
      </c>
      <c r="W79" s="70">
        <f xml:space="preserve"> Metalkol_Model1!W925</f>
        <v>230.33824833276631</v>
      </c>
      <c r="X79" s="70">
        <f xml:space="preserve"> Metalkol_Model1!X925</f>
        <v>216.90398573716317</v>
      </c>
      <c r="Y79" s="70">
        <f xml:space="preserve"> Metalkol_Model1!Y925</f>
        <v>196.11716075313629</v>
      </c>
      <c r="Z79" s="70">
        <f xml:space="preserve"> Metalkol_Model1!Z925</f>
        <v>197.22781519965909</v>
      </c>
      <c r="AA79" s="70">
        <f xml:space="preserve"> Metalkol_Model1!AA925</f>
        <v>199.66940662988583</v>
      </c>
      <c r="AB79" s="70">
        <f xml:space="preserve"> Metalkol_Model1!AB925</f>
        <v>225.33014507647283</v>
      </c>
      <c r="AC79" s="70">
        <f xml:space="preserve"> Metalkol_Model1!AC925</f>
        <v>307.85294675234479</v>
      </c>
      <c r="AD79" s="70">
        <f xml:space="preserve"> Metalkol_Model1!AD925</f>
        <v>308.42946646590849</v>
      </c>
      <c r="AE79" s="70">
        <f xml:space="preserve"> Metalkol_Model1!AE925</f>
        <v>0</v>
      </c>
      <c r="AF79" s="70">
        <f xml:space="preserve"> Metalkol_Model1!AF925</f>
        <v>0</v>
      </c>
      <c r="AG79" s="70">
        <f xml:space="preserve"> Metalkol_Model1!AG925</f>
        <v>0</v>
      </c>
      <c r="AH79" s="70">
        <f xml:space="preserve"> Metalkol_Model1!AH925</f>
        <v>0</v>
      </c>
      <c r="AI79" s="70">
        <f xml:space="preserve"> Metalkol_Model1!AI925</f>
        <v>0</v>
      </c>
      <c r="AJ79" s="70">
        <f xml:space="preserve"> Metalkol_Model1!AJ925</f>
        <v>0</v>
      </c>
      <c r="AK79" s="70">
        <f xml:space="preserve"> Metalkol_Model1!AK925</f>
        <v>0</v>
      </c>
      <c r="AL79" s="70">
        <f xml:space="preserve"> Metalkol_Model1!AL925</f>
        <v>0</v>
      </c>
      <c r="AM79" s="70">
        <f xml:space="preserve"> Metalkol_Model1!AM925</f>
        <v>0</v>
      </c>
      <c r="AN79" s="70">
        <f xml:space="preserve"> Metalkol_Model1!AN925</f>
        <v>0</v>
      </c>
      <c r="AO79" s="70">
        <f xml:space="preserve"> Metalkol_Model1!AO925</f>
        <v>0</v>
      </c>
      <c r="AP79" s="70">
        <f xml:space="preserve"> Metalkol_Model1!AP925</f>
        <v>0</v>
      </c>
      <c r="AQ79" s="70">
        <f xml:space="preserve"> Metalkol_Model1!AQ925</f>
        <v>0</v>
      </c>
      <c r="AR79" s="70">
        <f xml:space="preserve"> Metalkol_Model1!AR925</f>
        <v>0</v>
      </c>
      <c r="AS79" s="70">
        <f xml:space="preserve"> Metalkol_Model1!AS925</f>
        <v>0</v>
      </c>
      <c r="AT79" s="70">
        <f xml:space="preserve"> Metalkol_Model1!AT925</f>
        <v>0</v>
      </c>
      <c r="AU79" s="70">
        <f xml:space="preserve"> Metalkol_Model1!AU925</f>
        <v>0</v>
      </c>
      <c r="AV79" s="70">
        <f xml:space="preserve"> Metalkol_Model1!AV925</f>
        <v>0</v>
      </c>
    </row>
    <row r="80" spans="2:48" ht="15" customHeight="1">
      <c r="E80" s="70" t="str">
        <f xml:space="preserve"> Metalkol_Model1!E926</f>
        <v>Parent company net cashflows</v>
      </c>
      <c r="F80" s="70">
        <f xml:space="preserve"> Metalkol_Model1!F926</f>
        <v>0</v>
      </c>
      <c r="G80" s="70" t="str">
        <f xml:space="preserve"> Metalkol_Model1!G926</f>
        <v>$ mn</v>
      </c>
      <c r="H80" s="70">
        <f xml:space="preserve"> Metalkol_Model1!H926</f>
        <v>0</v>
      </c>
      <c r="I80" s="70">
        <f xml:space="preserve"> Metalkol_Model1!I926</f>
        <v>0</v>
      </c>
      <c r="J80" s="70">
        <f xml:space="preserve"> Metalkol_Model1!J926</f>
        <v>3834.0025882296322</v>
      </c>
      <c r="K80" s="70">
        <f xml:space="preserve"> Metalkol_Model1!K926</f>
        <v>0</v>
      </c>
      <c r="L80" s="70">
        <f xml:space="preserve"> Metalkol_Model1!L926</f>
        <v>0</v>
      </c>
      <c r="M80" s="70">
        <f xml:space="preserve"> Metalkol_Model1!M926</f>
        <v>0</v>
      </c>
      <c r="N80" s="70">
        <f xml:space="preserve"> Metalkol_Model1!N926</f>
        <v>0</v>
      </c>
      <c r="O80" s="70">
        <f xml:space="preserve"> Metalkol_Model1!O926</f>
        <v>0</v>
      </c>
      <c r="P80" s="70">
        <f xml:space="preserve"> Metalkol_Model1!P926</f>
        <v>-946.95764879847923</v>
      </c>
      <c r="Q80" s="70">
        <f xml:space="preserve"> Metalkol_Model1!Q926</f>
        <v>341.71679840593299</v>
      </c>
      <c r="R80" s="70">
        <f xml:space="preserve"> Metalkol_Model1!R926</f>
        <v>169.3354678336008</v>
      </c>
      <c r="S80" s="70">
        <f xml:space="preserve"> Metalkol_Model1!S926</f>
        <v>569.99141837559466</v>
      </c>
      <c r="T80" s="70">
        <f xml:space="preserve"> Metalkol_Model1!T926</f>
        <v>600.72760059266</v>
      </c>
      <c r="U80" s="70">
        <f xml:space="preserve"> Metalkol_Model1!U926</f>
        <v>362.74586427881331</v>
      </c>
      <c r="V80" s="70">
        <f xml:space="preserve"> Metalkol_Model1!V926</f>
        <v>270.58513794582922</v>
      </c>
      <c r="W80" s="70">
        <f xml:space="preserve"> Metalkol_Model1!W926</f>
        <v>360.95853362398213</v>
      </c>
      <c r="X80" s="70">
        <f xml:space="preserve"> Metalkol_Model1!X926</f>
        <v>324.99568494764344</v>
      </c>
      <c r="Y80" s="70">
        <f xml:space="preserve"> Metalkol_Model1!Y926</f>
        <v>334.59188229280244</v>
      </c>
      <c r="Z80" s="70">
        <f xml:space="preserve"> Metalkol_Model1!Z926</f>
        <v>328.16688707779031</v>
      </c>
      <c r="AA80" s="70">
        <f xml:space="preserve"> Metalkol_Model1!AA926</f>
        <v>321.6830138147015</v>
      </c>
      <c r="AB80" s="70">
        <f xml:space="preserve"> Metalkol_Model1!AB926</f>
        <v>251.88843179923015</v>
      </c>
      <c r="AC80" s="70">
        <f xml:space="preserve"> Metalkol_Model1!AC926</f>
        <v>264.89909102977958</v>
      </c>
      <c r="AD80" s="70">
        <f xml:space="preserve"> Metalkol_Model1!AD926</f>
        <v>278.67442500975068</v>
      </c>
      <c r="AE80" s="70">
        <f xml:space="preserve"> Metalkol_Model1!AE926</f>
        <v>0</v>
      </c>
      <c r="AF80" s="70">
        <f xml:space="preserve"> Metalkol_Model1!AF926</f>
        <v>0</v>
      </c>
      <c r="AG80" s="70">
        <f xml:space="preserve"> Metalkol_Model1!AG926</f>
        <v>0</v>
      </c>
      <c r="AH80" s="70">
        <f xml:space="preserve"> Metalkol_Model1!AH926</f>
        <v>0</v>
      </c>
      <c r="AI80" s="70">
        <f xml:space="preserve"> Metalkol_Model1!AI926</f>
        <v>0</v>
      </c>
      <c r="AJ80" s="70">
        <f xml:space="preserve"> Metalkol_Model1!AJ926</f>
        <v>0</v>
      </c>
      <c r="AK80" s="70">
        <f xml:space="preserve"> Metalkol_Model1!AK926</f>
        <v>0</v>
      </c>
      <c r="AL80" s="70">
        <f xml:space="preserve"> Metalkol_Model1!AL926</f>
        <v>0</v>
      </c>
      <c r="AM80" s="70">
        <f xml:space="preserve"> Metalkol_Model1!AM926</f>
        <v>0</v>
      </c>
      <c r="AN80" s="70">
        <f xml:space="preserve"> Metalkol_Model1!AN926</f>
        <v>0</v>
      </c>
      <c r="AO80" s="70">
        <f xml:space="preserve"> Metalkol_Model1!AO926</f>
        <v>0</v>
      </c>
      <c r="AP80" s="70">
        <f xml:space="preserve"> Metalkol_Model1!AP926</f>
        <v>0</v>
      </c>
      <c r="AQ80" s="70">
        <f xml:space="preserve"> Metalkol_Model1!AQ926</f>
        <v>0</v>
      </c>
      <c r="AR80" s="70">
        <f xml:space="preserve"> Metalkol_Model1!AR926</f>
        <v>0</v>
      </c>
      <c r="AS80" s="70">
        <f xml:space="preserve"> Metalkol_Model1!AS926</f>
        <v>0</v>
      </c>
      <c r="AT80" s="70">
        <f xml:space="preserve"> Metalkol_Model1!AT926</f>
        <v>0</v>
      </c>
      <c r="AU80" s="70">
        <f xml:space="preserve"> Metalkol_Model1!AU926</f>
        <v>0</v>
      </c>
      <c r="AV80" s="70">
        <f xml:space="preserve"> Metalkol_Model1!AV926</f>
        <v>0</v>
      </c>
    </row>
    <row r="81" spans="1:48" ht="15" customHeight="1">
      <c r="E81" s="70" t="str">
        <f xml:space="preserve"> Metalkol_Model1!E927</f>
        <v>Cu + Co private royalty (treat as distribution of profit)</v>
      </c>
      <c r="F81" s="70">
        <f xml:space="preserve"> Metalkol_Model1!F927</f>
        <v>0</v>
      </c>
      <c r="G81" s="70" t="str">
        <f xml:space="preserve"> Metalkol_Model1!G927</f>
        <v>$ mn</v>
      </c>
      <c r="H81" s="70">
        <f xml:space="preserve"> Metalkol_Model1!H927</f>
        <v>0</v>
      </c>
      <c r="I81" s="70">
        <f xml:space="preserve"> Metalkol_Model1!I927</f>
        <v>0</v>
      </c>
      <c r="J81" s="70">
        <f xml:space="preserve"> Metalkol_Model1!J927</f>
        <v>475.29805246011557</v>
      </c>
      <c r="K81" s="70">
        <f xml:space="preserve"> Metalkol_Model1!K927</f>
        <v>0</v>
      </c>
      <c r="L81" s="70">
        <f xml:space="preserve"> Metalkol_Model1!L927</f>
        <v>0</v>
      </c>
      <c r="M81" s="70">
        <f xml:space="preserve"> Metalkol_Model1!M927</f>
        <v>0</v>
      </c>
      <c r="N81" s="70">
        <f xml:space="preserve"> Metalkol_Model1!N927</f>
        <v>0</v>
      </c>
      <c r="O81" s="70">
        <f xml:space="preserve"> Metalkol_Model1!O927</f>
        <v>0</v>
      </c>
      <c r="P81" s="70">
        <f xml:space="preserve"> Metalkol_Model1!P927</f>
        <v>1.6784063482356868</v>
      </c>
      <c r="Q81" s="70">
        <f xml:space="preserve"> Metalkol_Model1!Q927</f>
        <v>23.66488960924449</v>
      </c>
      <c r="R81" s="70">
        <f xml:space="preserve"> Metalkol_Model1!R927</f>
        <v>20.024321945491437</v>
      </c>
      <c r="S81" s="70">
        <f xml:space="preserve"> Metalkol_Model1!S927</f>
        <v>38.873180810948853</v>
      </c>
      <c r="T81" s="70">
        <f xml:space="preserve"> Metalkol_Model1!T927</f>
        <v>44.756350199642853</v>
      </c>
      <c r="U81" s="70">
        <f xml:space="preserve"> Metalkol_Model1!U927</f>
        <v>32.174887024535288</v>
      </c>
      <c r="V81" s="70">
        <f xml:space="preserve"> Metalkol_Model1!V927</f>
        <v>29.941418040754854</v>
      </c>
      <c r="W81" s="70">
        <f xml:space="preserve"> Metalkol_Model1!W927</f>
        <v>35.093975091031062</v>
      </c>
      <c r="X81" s="70">
        <f xml:space="preserve"> Metalkol_Model1!X927</f>
        <v>34.778368247296427</v>
      </c>
      <c r="Y81" s="70">
        <f xml:space="preserve"> Metalkol_Model1!Y927</f>
        <v>34.230421565855707</v>
      </c>
      <c r="Z81" s="70">
        <f xml:space="preserve"> Metalkol_Model1!Z927</f>
        <v>34.958374896698942</v>
      </c>
      <c r="AA81" s="70">
        <f xml:space="preserve"> Metalkol_Model1!AA927</f>
        <v>34.833792158827926</v>
      </c>
      <c r="AB81" s="70">
        <f xml:space="preserve"> Metalkol_Model1!AB927</f>
        <v>35.016658042379511</v>
      </c>
      <c r="AC81" s="70">
        <f xml:space="preserve"> Metalkol_Model1!AC927</f>
        <v>37.26170539469598</v>
      </c>
      <c r="AD81" s="70">
        <f xml:space="preserve"> Metalkol_Model1!AD927</f>
        <v>38.011303084476609</v>
      </c>
      <c r="AE81" s="70">
        <f xml:space="preserve"> Metalkol_Model1!AE927</f>
        <v>0</v>
      </c>
      <c r="AF81" s="70">
        <f xml:space="preserve"> Metalkol_Model1!AF927</f>
        <v>0</v>
      </c>
      <c r="AG81" s="70">
        <f xml:space="preserve"> Metalkol_Model1!AG927</f>
        <v>0</v>
      </c>
      <c r="AH81" s="70">
        <f xml:space="preserve"> Metalkol_Model1!AH927</f>
        <v>0</v>
      </c>
      <c r="AI81" s="70">
        <f xml:space="preserve"> Metalkol_Model1!AI927</f>
        <v>0</v>
      </c>
      <c r="AJ81" s="70">
        <f xml:space="preserve"> Metalkol_Model1!AJ927</f>
        <v>0</v>
      </c>
      <c r="AK81" s="70">
        <f xml:space="preserve"> Metalkol_Model1!AK927</f>
        <v>0</v>
      </c>
      <c r="AL81" s="70">
        <f xml:space="preserve"> Metalkol_Model1!AL927</f>
        <v>0</v>
      </c>
      <c r="AM81" s="70">
        <f xml:space="preserve"> Metalkol_Model1!AM927</f>
        <v>0</v>
      </c>
      <c r="AN81" s="70">
        <f xml:space="preserve"> Metalkol_Model1!AN927</f>
        <v>0</v>
      </c>
      <c r="AO81" s="70">
        <f xml:space="preserve"> Metalkol_Model1!AO927</f>
        <v>0</v>
      </c>
      <c r="AP81" s="70">
        <f xml:space="preserve"> Metalkol_Model1!AP927</f>
        <v>0</v>
      </c>
      <c r="AQ81" s="70">
        <f xml:space="preserve"> Metalkol_Model1!AQ927</f>
        <v>0</v>
      </c>
      <c r="AR81" s="70">
        <f xml:space="preserve"> Metalkol_Model1!AR927</f>
        <v>0</v>
      </c>
      <c r="AS81" s="70">
        <f xml:space="preserve"> Metalkol_Model1!AS927</f>
        <v>0</v>
      </c>
      <c r="AT81" s="70">
        <f xml:space="preserve"> Metalkol_Model1!AT927</f>
        <v>0</v>
      </c>
      <c r="AU81" s="70">
        <f xml:space="preserve"> Metalkol_Model1!AU927</f>
        <v>0</v>
      </c>
      <c r="AV81" s="70">
        <f xml:space="preserve"> Metalkol_Model1!AV927</f>
        <v>0</v>
      </c>
    </row>
    <row r="82" spans="1:48" ht="15" customHeight="1">
      <c r="E82" s="70" t="str">
        <f xml:space="preserve"> Metalkol_Model1!E929</f>
        <v>Additional govt revenues incl. in project costs</v>
      </c>
      <c r="F82" s="70">
        <f xml:space="preserve"> Metalkol_Model1!F929</f>
        <v>0</v>
      </c>
      <c r="G82" s="70" t="str">
        <f xml:space="preserve"> Metalkol_Model1!G929</f>
        <v>$ mn</v>
      </c>
      <c r="H82" s="70">
        <f xml:space="preserve"> Metalkol_Model1!H929</f>
        <v>0</v>
      </c>
      <c r="I82" s="70">
        <f xml:space="preserve"> Metalkol_Model1!I929</f>
        <v>0</v>
      </c>
      <c r="J82" s="70">
        <f xml:space="preserve"> Metalkol_Model1!J929</f>
        <v>329.59482555261462</v>
      </c>
      <c r="K82" s="70">
        <f xml:space="preserve"> Metalkol_Model1!K929</f>
        <v>0</v>
      </c>
      <c r="L82" s="70">
        <f xml:space="preserve"> Metalkol_Model1!L929</f>
        <v>0</v>
      </c>
      <c r="M82" s="70">
        <f xml:space="preserve"> Metalkol_Model1!M929</f>
        <v>0</v>
      </c>
      <c r="N82" s="70">
        <f xml:space="preserve"> Metalkol_Model1!N929</f>
        <v>0</v>
      </c>
      <c r="O82" s="70">
        <f xml:space="preserve"> Metalkol_Model1!O929</f>
        <v>0</v>
      </c>
      <c r="P82" s="70">
        <f xml:space="preserve"> Metalkol_Model1!P929</f>
        <v>21.575555077721646</v>
      </c>
      <c r="Q82" s="70">
        <f xml:space="preserve"> Metalkol_Model1!Q929</f>
        <v>6.9237850524972924</v>
      </c>
      <c r="R82" s="70">
        <f xml:space="preserve"> Metalkol_Model1!R929</f>
        <v>13.445153633597105</v>
      </c>
      <c r="S82" s="70">
        <f xml:space="preserve"> Metalkol_Model1!S929</f>
        <v>15.681399119431418</v>
      </c>
      <c r="T82" s="70">
        <f xml:space="preserve"> Metalkol_Model1!T929</f>
        <v>30.762726824577314</v>
      </c>
      <c r="U82" s="70">
        <f xml:space="preserve"> Metalkol_Model1!U929</f>
        <v>20.965882117805783</v>
      </c>
      <c r="V82" s="70">
        <f xml:space="preserve"> Metalkol_Model1!V929</f>
        <v>22.508354633451575</v>
      </c>
      <c r="W82" s="70">
        <f xml:space="preserve"> Metalkol_Model1!W929</f>
        <v>22.871609925407849</v>
      </c>
      <c r="X82" s="70">
        <f xml:space="preserve"> Metalkol_Model1!X929</f>
        <v>23.757434436715108</v>
      </c>
      <c r="Y82" s="70">
        <f xml:space="preserve"> Metalkol_Model1!Y929</f>
        <v>23.702807642013077</v>
      </c>
      <c r="Z82" s="70">
        <f xml:space="preserve"> Metalkol_Model1!Z929</f>
        <v>24.572267179399407</v>
      </c>
      <c r="AA82" s="70">
        <f xml:space="preserve"> Metalkol_Model1!AA929</f>
        <v>24.680855198187778</v>
      </c>
      <c r="AB82" s="70">
        <f xml:space="preserve"> Metalkol_Model1!AB929</f>
        <v>25.849496965705345</v>
      </c>
      <c r="AC82" s="70">
        <f xml:space="preserve"> Metalkol_Model1!AC929</f>
        <v>25.975645061647604</v>
      </c>
      <c r="AD82" s="70">
        <f xml:space="preserve"> Metalkol_Model1!AD929</f>
        <v>26.321852684456353</v>
      </c>
      <c r="AE82" s="70">
        <f xml:space="preserve"> Metalkol_Model1!AE929</f>
        <v>0</v>
      </c>
      <c r="AF82" s="70">
        <f xml:space="preserve"> Metalkol_Model1!AF929</f>
        <v>0</v>
      </c>
      <c r="AG82" s="70">
        <f xml:space="preserve"> Metalkol_Model1!AG929</f>
        <v>0</v>
      </c>
      <c r="AH82" s="70">
        <f xml:space="preserve"> Metalkol_Model1!AH929</f>
        <v>0</v>
      </c>
      <c r="AI82" s="70">
        <f xml:space="preserve"> Metalkol_Model1!AI929</f>
        <v>0</v>
      </c>
      <c r="AJ82" s="70">
        <f xml:space="preserve"> Metalkol_Model1!AJ929</f>
        <v>0</v>
      </c>
      <c r="AK82" s="70">
        <f xml:space="preserve"> Metalkol_Model1!AK929</f>
        <v>0</v>
      </c>
      <c r="AL82" s="70">
        <f xml:space="preserve"> Metalkol_Model1!AL929</f>
        <v>0</v>
      </c>
      <c r="AM82" s="70">
        <f xml:space="preserve"> Metalkol_Model1!AM929</f>
        <v>0</v>
      </c>
      <c r="AN82" s="70">
        <f xml:space="preserve"> Metalkol_Model1!AN929</f>
        <v>0</v>
      </c>
      <c r="AO82" s="70">
        <f xml:space="preserve"> Metalkol_Model1!AO929</f>
        <v>0</v>
      </c>
      <c r="AP82" s="70">
        <f xml:space="preserve"> Metalkol_Model1!AP929</f>
        <v>0</v>
      </c>
      <c r="AQ82" s="70">
        <f xml:space="preserve"> Metalkol_Model1!AQ929</f>
        <v>0</v>
      </c>
      <c r="AR82" s="70">
        <f xml:space="preserve"> Metalkol_Model1!AR929</f>
        <v>0</v>
      </c>
      <c r="AS82" s="70">
        <f xml:space="preserve"> Metalkol_Model1!AS929</f>
        <v>0</v>
      </c>
      <c r="AT82" s="70">
        <f xml:space="preserve"> Metalkol_Model1!AT929</f>
        <v>0</v>
      </c>
      <c r="AU82" s="70">
        <f xml:space="preserve"> Metalkol_Model1!AU929</f>
        <v>0</v>
      </c>
      <c r="AV82" s="70">
        <f xml:space="preserve"> Metalkol_Model1!AV929</f>
        <v>0</v>
      </c>
    </row>
    <row r="83" spans="1:48" ht="15" customHeight="1">
      <c r="E83" s="70"/>
    </row>
    <row r="84" spans="1:48" ht="15" customHeight="1"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</row>
    <row r="85" spans="1:48" s="160" customFormat="1" ht="15" customHeight="1">
      <c r="A85" s="164" t="s">
        <v>804</v>
      </c>
      <c r="B85" s="162"/>
      <c r="C85" s="315"/>
      <c r="D85" s="386"/>
      <c r="E85" s="162"/>
      <c r="F85" s="162"/>
      <c r="G85" s="162"/>
      <c r="H85" s="162"/>
    </row>
    <row r="86" spans="1:48" s="121" customFormat="1" ht="15" customHeight="1">
      <c r="A86" s="344"/>
      <c r="B86" s="111"/>
      <c r="C86" s="303"/>
      <c r="I86" s="304"/>
      <c r="K86" s="320"/>
    </row>
    <row r="87" spans="1:48" s="121" customFormat="1" ht="15" customHeight="1">
      <c r="A87" s="344"/>
      <c r="B87" s="111"/>
      <c r="C87" s="303"/>
      <c r="E87" s="393"/>
      <c r="F87" s="393"/>
      <c r="G87" s="393"/>
      <c r="H87" s="393"/>
      <c r="I87" s="470"/>
      <c r="K87" s="320"/>
    </row>
    <row r="88" spans="1:48" s="187" customFormat="1" ht="15" customHeight="1">
      <c r="A88" s="473"/>
      <c r="B88" s="473"/>
      <c r="C88" s="474"/>
      <c r="E88" s="121" t="str">
        <f xml:space="preserve"> E$38</f>
        <v>Check: Project cashflows before fiscal regime</v>
      </c>
      <c r="F88" s="305">
        <f t="shared" ref="F88:G88" si="5" xml:space="preserve"> F$38</f>
        <v>0</v>
      </c>
      <c r="G88" s="121" t="str">
        <f t="shared" si="5"/>
        <v>check</v>
      </c>
      <c r="I88" s="210"/>
      <c r="K88" s="136"/>
    </row>
    <row r="89" spans="1:48" s="187" customFormat="1" ht="15" customHeight="1">
      <c r="A89" s="473"/>
      <c r="B89" s="473"/>
      <c r="C89" s="474"/>
      <c r="E89" s="121" t="str">
        <f xml:space="preserve"> E$53</f>
        <v xml:space="preserve">Check: Government revenues incl. Gecamines </v>
      </c>
      <c r="F89" s="305">
        <f t="shared" ref="F89:G89" si="6" xml:space="preserve"> F$53</f>
        <v>0</v>
      </c>
      <c r="G89" s="121" t="str">
        <f t="shared" si="6"/>
        <v>check</v>
      </c>
      <c r="I89" s="210"/>
      <c r="K89" s="136"/>
    </row>
    <row r="90" spans="1:48" s="187" customFormat="1" ht="15" customHeight="1">
      <c r="A90" s="473"/>
      <c r="B90" s="473"/>
      <c r="C90" s="474"/>
      <c r="E90" s="6" t="str">
        <f xml:space="preserve"> E$61</f>
        <v>Check: Metalkol cashflows after debt</v>
      </c>
      <c r="F90" s="305">
        <f xml:space="preserve"> F$61</f>
        <v>0</v>
      </c>
      <c r="G90" s="6" t="str">
        <f xml:space="preserve"> G$61</f>
        <v>check</v>
      </c>
      <c r="H90" s="474"/>
      <c r="I90" s="210"/>
      <c r="K90" s="136"/>
    </row>
    <row r="91" spans="1:48" s="187" customFormat="1" ht="15" customHeight="1">
      <c r="A91" s="473"/>
      <c r="B91" s="473"/>
      <c r="C91" s="474"/>
      <c r="E91" s="121" t="str">
        <f xml:space="preserve"> E$66</f>
        <v>Check: ERG  share of METALKOL cashflow</v>
      </c>
      <c r="F91" s="305">
        <f xml:space="preserve"> F$66</f>
        <v>0</v>
      </c>
      <c r="G91" s="121" t="str">
        <f xml:space="preserve"> G$66</f>
        <v>check</v>
      </c>
      <c r="I91" s="210"/>
      <c r="K91" s="136"/>
    </row>
    <row r="92" spans="1:48" s="187" customFormat="1" ht="15" customHeight="1">
      <c r="A92" s="473"/>
      <c r="B92" s="473"/>
      <c r="C92" s="474"/>
      <c r="E92" s="121" t="str">
        <f xml:space="preserve"> E$73</f>
        <v>Check: Parent company net cashflows</v>
      </c>
      <c r="F92" s="305">
        <f xml:space="preserve"> F$73</f>
        <v>0</v>
      </c>
      <c r="G92" s="121" t="str">
        <f xml:space="preserve"> G$73</f>
        <v>check</v>
      </c>
      <c r="I92" s="210"/>
      <c r="K92" s="136"/>
    </row>
    <row r="93" spans="1:48" s="187" customFormat="1" ht="15" customHeight="1">
      <c r="A93" s="473"/>
      <c r="B93" s="473"/>
      <c r="C93" s="474"/>
      <c r="E93" s="393"/>
      <c r="F93" s="393"/>
      <c r="G93" s="393"/>
      <c r="H93" s="475"/>
      <c r="I93" s="476"/>
      <c r="K93" s="136"/>
    </row>
    <row r="94" spans="1:48" s="187" customFormat="1" ht="15" customHeight="1">
      <c r="A94" s="473"/>
      <c r="B94" s="473"/>
      <c r="C94" s="474"/>
      <c r="E94" s="187" t="str">
        <f ca="1">"SheetChecks: " &amp; $A$1</f>
        <v>SheetChecks: SummaryC_Flow</v>
      </c>
      <c r="F94" s="546">
        <f xml:space="preserve"> SUM(F87:F93)</f>
        <v>0</v>
      </c>
      <c r="G94" s="187" t="s">
        <v>803</v>
      </c>
      <c r="I94" s="210"/>
      <c r="K94" s="136"/>
    </row>
    <row r="95" spans="1:48" s="121" customFormat="1" ht="15" customHeight="1">
      <c r="A95" s="344"/>
      <c r="B95" s="111"/>
      <c r="C95" s="303"/>
      <c r="I95" s="304"/>
      <c r="K95" s="320"/>
    </row>
    <row r="96" spans="1:48" s="381" customFormat="1" ht="15" customHeight="1">
      <c r="A96" s="380" t="s">
        <v>163</v>
      </c>
      <c r="B96" s="380"/>
      <c r="C96" s="232"/>
      <c r="I96" s="382"/>
      <c r="K96" s="383"/>
    </row>
  </sheetData>
  <conditionalFormatting sqref="F2 F88:F92">
    <cfRule type="cellIs" dxfId="196" priority="5" stopIfTrue="1" operator="notEqual">
      <formula>0</formula>
    </cfRule>
    <cfRule type="cellIs" dxfId="195" priority="6" stopIfTrue="1" operator="equal">
      <formula>""</formula>
    </cfRule>
  </conditionalFormatting>
  <conditionalFormatting sqref="F3">
    <cfRule type="cellIs" dxfId="194" priority="31" stopIfTrue="1" operator="notEqual">
      <formula>0</formula>
    </cfRule>
    <cfRule type="cellIs" dxfId="193" priority="32" stopIfTrue="1" operator="equal">
      <formula>""</formula>
    </cfRule>
  </conditionalFormatting>
  <conditionalFormatting sqref="F38">
    <cfRule type="cellIs" dxfId="192" priority="25" stopIfTrue="1" operator="notEqual">
      <formula>0</formula>
    </cfRule>
    <cfRule type="cellIs" dxfId="191" priority="26" stopIfTrue="1" operator="equal">
      <formula>""</formula>
    </cfRule>
  </conditionalFormatting>
  <conditionalFormatting sqref="F53">
    <cfRule type="cellIs" dxfId="190" priority="1" stopIfTrue="1" operator="notEqual">
      <formula>0</formula>
    </cfRule>
    <cfRule type="cellIs" dxfId="189" priority="2" stopIfTrue="1" operator="equal">
      <formula>""</formula>
    </cfRule>
  </conditionalFormatting>
  <conditionalFormatting sqref="F61">
    <cfRule type="cellIs" dxfId="188" priority="17" stopIfTrue="1" operator="notEqual">
      <formula>0</formula>
    </cfRule>
    <cfRule type="cellIs" dxfId="187" priority="18" stopIfTrue="1" operator="equal">
      <formula>""</formula>
    </cfRule>
  </conditionalFormatting>
  <conditionalFormatting sqref="F66">
    <cfRule type="cellIs" dxfId="186" priority="13" stopIfTrue="1" operator="notEqual">
      <formula>0</formula>
    </cfRule>
    <cfRule type="cellIs" dxfId="185" priority="14" stopIfTrue="1" operator="equal">
      <formula>""</formula>
    </cfRule>
  </conditionalFormatting>
  <conditionalFormatting sqref="F73">
    <cfRule type="cellIs" dxfId="184" priority="9" stopIfTrue="1" operator="notEqual">
      <formula>0</formula>
    </cfRule>
    <cfRule type="cellIs" dxfId="183" priority="10" stopIfTrue="1" operator="equal">
      <formula>""</formula>
    </cfRule>
  </conditionalFormatting>
  <conditionalFormatting sqref="F94">
    <cfRule type="cellIs" dxfId="182" priority="7" stopIfTrue="1" operator="notEqual">
      <formula>0</formula>
    </cfRule>
    <cfRule type="cellIs" dxfId="181" priority="8" stopIfTrue="1" operator="equal">
      <formula>""</formula>
    </cfRule>
  </conditionalFormatting>
  <conditionalFormatting sqref="L3:AV3">
    <cfRule type="cellIs" dxfId="180" priority="33" stopIfTrue="1" operator="equal">
      <formula>#REF!</formula>
    </cfRule>
    <cfRule type="cellIs" dxfId="179" priority="34" stopIfTrue="1" operator="equal">
      <formula>#REF!</formula>
    </cfRule>
    <cfRule type="cellIs" dxfId="178" priority="35" operator="equal">
      <formula>#REF!</formula>
    </cfRule>
    <cfRule type="cellIs" dxfId="177" priority="36" operator="equal">
      <formula>#REF!</formula>
    </cfRule>
  </conditionalFormatting>
  <conditionalFormatting sqref="L38:AV38">
    <cfRule type="cellIs" dxfId="176" priority="27" stopIfTrue="1" operator="notEqual">
      <formula>0</formula>
    </cfRule>
    <cfRule type="cellIs" dxfId="175" priority="28" stopIfTrue="1" operator="equal">
      <formula>""</formula>
    </cfRule>
  </conditionalFormatting>
  <conditionalFormatting sqref="L53:AV53">
    <cfRule type="cellIs" dxfId="174" priority="3" stopIfTrue="1" operator="notEqual">
      <formula>0</formula>
    </cfRule>
    <cfRule type="cellIs" dxfId="173" priority="4" stopIfTrue="1" operator="equal">
      <formula>""</formula>
    </cfRule>
  </conditionalFormatting>
  <conditionalFormatting sqref="L61:AV61">
    <cfRule type="cellIs" dxfId="172" priority="19" stopIfTrue="1" operator="notEqual">
      <formula>0</formula>
    </cfRule>
    <cfRule type="cellIs" dxfId="171" priority="20" stopIfTrue="1" operator="equal">
      <formula>""</formula>
    </cfRule>
  </conditionalFormatting>
  <conditionalFormatting sqref="L66:AV66">
    <cfRule type="cellIs" dxfId="170" priority="15" stopIfTrue="1" operator="notEqual">
      <formula>0</formula>
    </cfRule>
    <cfRule type="cellIs" dxfId="169" priority="16" stopIfTrue="1" operator="equal">
      <formula>""</formula>
    </cfRule>
  </conditionalFormatting>
  <conditionalFormatting sqref="L73:AV73">
    <cfRule type="cellIs" dxfId="168" priority="11" stopIfTrue="1" operator="notEqual">
      <formula>0</formula>
    </cfRule>
    <cfRule type="cellIs" dxfId="167" priority="12" stopIfTrue="1" operator="equal">
      <formula>""</formula>
    </cfRule>
  </conditionalFormatting>
  <conditionalFormatting sqref="M3:AV3">
    <cfRule type="cellIs" dxfId="166" priority="37" stopIfTrue="1" operator="equal">
      <formula>#REF!</formula>
    </cfRule>
    <cfRule type="cellIs" dxfId="165" priority="38" stopIfTrue="1" operator="equal">
      <formula>#REF!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G183"/>
  <sheetViews>
    <sheetView zoomScale="70" zoomScaleNormal="70" workbookViewId="0">
      <pane xSplit="11" ySplit="4" topLeftCell="L150" activePane="bottomRight" state="frozen"/>
      <selection pane="topRight" activeCell="K1" sqref="K1"/>
      <selection pane="bottomLeft" activeCell="A5" sqref="A5"/>
      <selection pane="bottomRight" activeCell="G179" sqref="G179"/>
    </sheetView>
  </sheetViews>
  <sheetFormatPr baseColWidth="10" defaultColWidth="0" defaultRowHeight="15" customHeight="1"/>
  <cols>
    <col min="1" max="2" width="1.296875" style="95" customWidth="1"/>
    <col min="3" max="3" width="1.296875" style="96" customWidth="1"/>
    <col min="4" max="4" width="1.296875" style="3" customWidth="1"/>
    <col min="5" max="5" width="50.69921875" style="3" customWidth="1"/>
    <col min="6" max="6" width="12.69921875" style="3" customWidth="1"/>
    <col min="7" max="8" width="20.69921875" style="3" customWidth="1"/>
    <col min="9" max="9" width="25.09765625" style="97" customWidth="1"/>
    <col min="10" max="10" width="12.69921875" style="3" customWidth="1" collapsed="1"/>
    <col min="11" max="11" width="1.59765625" style="98" customWidth="1"/>
    <col min="12" max="48" width="10.69921875" style="3" customWidth="1"/>
    <col min="49" max="57" width="11.69921875" style="3" hidden="1" customWidth="1"/>
    <col min="58" max="59" width="0" style="3" hidden="1" customWidth="1"/>
    <col min="60" max="16384" width="14.59765625" style="3" hidden="1"/>
  </cols>
  <sheetData>
    <row r="1" spans="1:48" ht="26.25" customHeight="1">
      <c r="A1" s="398" t="str">
        <f ca="1" xml:space="preserve"> RIGHT(CELL("filename", $A$3), LEN(CELL("filename", $A$3)) - SEARCH("]", CELL("filename", $A$3)))</f>
        <v>Charts</v>
      </c>
      <c r="F1" s="399"/>
      <c r="K1" s="7"/>
    </row>
    <row r="2" spans="1:48" ht="15" customHeight="1">
      <c r="F2" s="400">
        <v>0</v>
      </c>
      <c r="G2" s="401" t="s">
        <v>1</v>
      </c>
      <c r="H2" s="401"/>
      <c r="K2" s="7"/>
      <c r="L2" s="175">
        <f xml:space="preserve"> 'T&amp;E'!L$9</f>
        <v>2014</v>
      </c>
      <c r="M2" s="175">
        <f xml:space="preserve"> 'T&amp;E'!M$9</f>
        <v>2015</v>
      </c>
      <c r="N2" s="175">
        <f xml:space="preserve"> 'T&amp;E'!N$9</f>
        <v>2016</v>
      </c>
      <c r="O2" s="175">
        <f xml:space="preserve"> 'T&amp;E'!O$9</f>
        <v>2017</v>
      </c>
      <c r="P2" s="175">
        <f xml:space="preserve"> 'T&amp;E'!P$9</f>
        <v>2018</v>
      </c>
      <c r="Q2" s="175">
        <f xml:space="preserve"> 'T&amp;E'!Q$9</f>
        <v>2019</v>
      </c>
      <c r="R2" s="175">
        <f xml:space="preserve"> 'T&amp;E'!R$9</f>
        <v>2020</v>
      </c>
      <c r="S2" s="175">
        <f xml:space="preserve"> 'T&amp;E'!S$9</f>
        <v>2021</v>
      </c>
      <c r="T2" s="175">
        <f xml:space="preserve"> 'T&amp;E'!T$9</f>
        <v>2022</v>
      </c>
      <c r="U2" s="175">
        <f xml:space="preserve"> 'T&amp;E'!U$9</f>
        <v>2023</v>
      </c>
      <c r="V2" s="175">
        <f xml:space="preserve"> 'T&amp;E'!V$9</f>
        <v>2024</v>
      </c>
      <c r="W2" s="175">
        <f xml:space="preserve"> 'T&amp;E'!W$9</f>
        <v>2025</v>
      </c>
      <c r="X2" s="175">
        <f xml:space="preserve"> 'T&amp;E'!X$9</f>
        <v>2026</v>
      </c>
      <c r="Y2" s="175">
        <f xml:space="preserve"> 'T&amp;E'!Y$9</f>
        <v>2027</v>
      </c>
      <c r="Z2" s="175">
        <f xml:space="preserve"> 'T&amp;E'!Z$9</f>
        <v>2028</v>
      </c>
      <c r="AA2" s="175">
        <f xml:space="preserve"> 'T&amp;E'!AA$9</f>
        <v>2029</v>
      </c>
      <c r="AB2" s="175">
        <f xml:space="preserve"> 'T&amp;E'!AB$9</f>
        <v>2030</v>
      </c>
      <c r="AC2" s="175">
        <f xml:space="preserve"> 'T&amp;E'!AC$9</f>
        <v>2031</v>
      </c>
      <c r="AD2" s="175">
        <f xml:space="preserve"> 'T&amp;E'!AD$9</f>
        <v>2032</v>
      </c>
      <c r="AE2" s="175">
        <f xml:space="preserve"> 'T&amp;E'!AE$9</f>
        <v>2033</v>
      </c>
      <c r="AF2" s="175">
        <f xml:space="preserve"> 'T&amp;E'!AF$9</f>
        <v>2034</v>
      </c>
      <c r="AG2" s="175">
        <f xml:space="preserve"> 'T&amp;E'!AG$9</f>
        <v>2035</v>
      </c>
      <c r="AH2" s="175">
        <f xml:space="preserve"> 'T&amp;E'!AH$9</f>
        <v>2036</v>
      </c>
      <c r="AI2" s="175">
        <f xml:space="preserve"> 'T&amp;E'!AI$9</f>
        <v>2037</v>
      </c>
      <c r="AJ2" s="175">
        <f xml:space="preserve"> 'T&amp;E'!AJ$9</f>
        <v>2038</v>
      </c>
      <c r="AK2" s="175">
        <f xml:space="preserve"> 'T&amp;E'!AK$9</f>
        <v>2039</v>
      </c>
      <c r="AL2" s="175">
        <f xml:space="preserve"> 'T&amp;E'!AL$9</f>
        <v>2040</v>
      </c>
      <c r="AM2" s="175">
        <f xml:space="preserve"> 'T&amp;E'!AM$9</f>
        <v>2041</v>
      </c>
      <c r="AN2" s="175">
        <f xml:space="preserve"> 'T&amp;E'!AN$9</f>
        <v>2042</v>
      </c>
      <c r="AO2" s="175">
        <f xml:space="preserve"> 'T&amp;E'!AO$9</f>
        <v>2043</v>
      </c>
      <c r="AP2" s="175">
        <f xml:space="preserve"> 'T&amp;E'!AP$9</f>
        <v>2044</v>
      </c>
      <c r="AQ2" s="175">
        <f xml:space="preserve"> 'T&amp;E'!AQ$9</f>
        <v>2045</v>
      </c>
      <c r="AR2" s="175">
        <f xml:space="preserve"> 'T&amp;E'!AR$9</f>
        <v>2046</v>
      </c>
      <c r="AS2" s="175">
        <f xml:space="preserve"> 'T&amp;E'!AS$9</f>
        <v>2047</v>
      </c>
      <c r="AT2" s="175">
        <f xml:space="preserve"> 'T&amp;E'!AT$9</f>
        <v>2048</v>
      </c>
      <c r="AU2" s="175">
        <f xml:space="preserve"> 'T&amp;E'!AU$9</f>
        <v>2049</v>
      </c>
      <c r="AV2" s="175">
        <f xml:space="preserve"> 'T&amp;E'!AV$9</f>
        <v>2050</v>
      </c>
    </row>
    <row r="3" spans="1:48" ht="15" customHeight="1">
      <c r="F3" s="555">
        <f xml:space="preserve"> Track!F$3</f>
        <v>0</v>
      </c>
      <c r="G3" s="311" t="s">
        <v>2</v>
      </c>
      <c r="H3" s="311"/>
      <c r="K3" s="7"/>
      <c r="L3" s="7" t="s">
        <v>3</v>
      </c>
      <c r="M3" s="7" t="s">
        <v>3</v>
      </c>
      <c r="N3" s="7" t="s">
        <v>3</v>
      </c>
      <c r="O3" s="7" t="s">
        <v>3</v>
      </c>
      <c r="P3" s="7" t="s">
        <v>3</v>
      </c>
      <c r="Q3" s="7" t="s">
        <v>3</v>
      </c>
      <c r="R3" s="7" t="s">
        <v>3</v>
      </c>
      <c r="S3" s="7" t="s">
        <v>3</v>
      </c>
      <c r="T3" s="7" t="s">
        <v>3</v>
      </c>
      <c r="U3" s="7" t="s">
        <v>3</v>
      </c>
      <c r="V3" s="7" t="s">
        <v>3</v>
      </c>
      <c r="W3" s="7" t="s">
        <v>3</v>
      </c>
      <c r="X3" s="7" t="s">
        <v>3</v>
      </c>
      <c r="Y3" s="7" t="s">
        <v>3</v>
      </c>
      <c r="Z3" s="7" t="s">
        <v>3</v>
      </c>
      <c r="AA3" s="7" t="s">
        <v>3</v>
      </c>
      <c r="AB3" s="7" t="s">
        <v>3</v>
      </c>
      <c r="AC3" s="7" t="s">
        <v>3</v>
      </c>
      <c r="AD3" s="7" t="s">
        <v>3</v>
      </c>
      <c r="AE3" s="7" t="s">
        <v>4</v>
      </c>
      <c r="AF3" s="7" t="s">
        <v>4</v>
      </c>
      <c r="AG3" s="7" t="s">
        <v>4</v>
      </c>
      <c r="AH3" s="7" t="s">
        <v>4</v>
      </c>
      <c r="AI3" s="7" t="s">
        <v>4</v>
      </c>
      <c r="AJ3" s="7" t="s">
        <v>4</v>
      </c>
      <c r="AK3" s="7" t="s">
        <v>4</v>
      </c>
      <c r="AL3" s="7" t="s">
        <v>4</v>
      </c>
      <c r="AM3" s="7" t="s">
        <v>4</v>
      </c>
      <c r="AN3" s="7" t="s">
        <v>4</v>
      </c>
      <c r="AO3" s="7" t="s">
        <v>4</v>
      </c>
      <c r="AP3" s="7" t="s">
        <v>4</v>
      </c>
      <c r="AQ3" s="7" t="s">
        <v>4</v>
      </c>
      <c r="AR3" s="7" t="s">
        <v>4</v>
      </c>
      <c r="AS3" s="7" t="s">
        <v>4</v>
      </c>
      <c r="AT3" s="7" t="s">
        <v>4</v>
      </c>
      <c r="AU3" s="7" t="s">
        <v>4</v>
      </c>
      <c r="AV3" s="7" t="s">
        <v>4</v>
      </c>
    </row>
    <row r="4" spans="1:48" ht="15" customHeight="1">
      <c r="F4" s="95" t="s">
        <v>5</v>
      </c>
      <c r="G4" s="95" t="s">
        <v>6</v>
      </c>
      <c r="H4" s="95" t="s">
        <v>7</v>
      </c>
      <c r="I4" s="241" t="s">
        <v>8</v>
      </c>
      <c r="J4" s="402"/>
      <c r="K4" s="7"/>
      <c r="L4" s="3">
        <f xml:space="preserve"> 'T&amp;E'!L$11</f>
        <v>1</v>
      </c>
      <c r="M4" s="3">
        <f xml:space="preserve"> 'T&amp;E'!M$11</f>
        <v>2</v>
      </c>
      <c r="N4" s="3">
        <f xml:space="preserve"> 'T&amp;E'!N$11</f>
        <v>3</v>
      </c>
      <c r="O4" s="3">
        <f xml:space="preserve"> 'T&amp;E'!O$11</f>
        <v>4</v>
      </c>
      <c r="P4" s="3">
        <f xml:space="preserve"> 'T&amp;E'!P$11</f>
        <v>5</v>
      </c>
      <c r="Q4" s="3">
        <f xml:space="preserve"> 'T&amp;E'!Q$11</f>
        <v>6</v>
      </c>
      <c r="R4" s="3">
        <f xml:space="preserve"> 'T&amp;E'!R$11</f>
        <v>7</v>
      </c>
      <c r="S4" s="3">
        <f xml:space="preserve"> 'T&amp;E'!S$11</f>
        <v>8</v>
      </c>
      <c r="T4" s="3">
        <f xml:space="preserve"> 'T&amp;E'!T$11</f>
        <v>9</v>
      </c>
      <c r="U4" s="3">
        <f xml:space="preserve"> 'T&amp;E'!U$11</f>
        <v>10</v>
      </c>
      <c r="V4" s="3">
        <f xml:space="preserve"> 'T&amp;E'!V$11</f>
        <v>11</v>
      </c>
      <c r="W4" s="3">
        <f xml:space="preserve"> 'T&amp;E'!W$11</f>
        <v>12</v>
      </c>
      <c r="X4" s="3">
        <f xml:space="preserve"> 'T&amp;E'!X$11</f>
        <v>13</v>
      </c>
      <c r="Y4" s="3">
        <f xml:space="preserve"> 'T&amp;E'!Y$11</f>
        <v>14</v>
      </c>
      <c r="Z4" s="3">
        <f xml:space="preserve"> 'T&amp;E'!Z$11</f>
        <v>15</v>
      </c>
      <c r="AA4" s="3">
        <f xml:space="preserve"> 'T&amp;E'!AA$11</f>
        <v>16</v>
      </c>
      <c r="AB4" s="3">
        <f xml:space="preserve"> 'T&amp;E'!AB$11</f>
        <v>17</v>
      </c>
      <c r="AC4" s="3">
        <f xml:space="preserve"> 'T&amp;E'!AC$11</f>
        <v>18</v>
      </c>
      <c r="AD4" s="3">
        <f xml:space="preserve"> 'T&amp;E'!AD$11</f>
        <v>19</v>
      </c>
      <c r="AE4" s="3">
        <f xml:space="preserve"> 'T&amp;E'!AE$11</f>
        <v>20</v>
      </c>
      <c r="AF4" s="3">
        <f xml:space="preserve"> 'T&amp;E'!AF$11</f>
        <v>21</v>
      </c>
      <c r="AG4" s="3">
        <f xml:space="preserve"> 'T&amp;E'!AG$11</f>
        <v>22</v>
      </c>
      <c r="AH4" s="3">
        <f xml:space="preserve"> 'T&amp;E'!AH$11</f>
        <v>23</v>
      </c>
      <c r="AI4" s="3">
        <f xml:space="preserve"> 'T&amp;E'!AI$11</f>
        <v>24</v>
      </c>
      <c r="AJ4" s="3">
        <f xml:space="preserve"> 'T&amp;E'!AJ$11</f>
        <v>25</v>
      </c>
      <c r="AK4" s="3">
        <f xml:space="preserve"> 'T&amp;E'!AK$11</f>
        <v>26</v>
      </c>
      <c r="AL4" s="3">
        <f xml:space="preserve"> 'T&amp;E'!AL$11</f>
        <v>27</v>
      </c>
      <c r="AM4" s="3">
        <f xml:space="preserve"> 'T&amp;E'!AM$11</f>
        <v>28</v>
      </c>
      <c r="AN4" s="3">
        <f xml:space="preserve"> 'T&amp;E'!AN$11</f>
        <v>29</v>
      </c>
      <c r="AO4" s="3">
        <f xml:space="preserve"> 'T&amp;E'!AO$11</f>
        <v>30</v>
      </c>
      <c r="AP4" s="3">
        <f xml:space="preserve"> 'T&amp;E'!AP$11</f>
        <v>31</v>
      </c>
      <c r="AQ4" s="3">
        <f xml:space="preserve"> 'T&amp;E'!AQ$11</f>
        <v>32</v>
      </c>
      <c r="AR4" s="3">
        <f xml:space="preserve"> 'T&amp;E'!AR$11</f>
        <v>33</v>
      </c>
      <c r="AS4" s="3">
        <f xml:space="preserve"> 'T&amp;E'!AS$11</f>
        <v>34</v>
      </c>
      <c r="AT4" s="3">
        <f xml:space="preserve"> 'T&amp;E'!AT$11</f>
        <v>35</v>
      </c>
      <c r="AU4" s="3">
        <f xml:space="preserve"> 'T&amp;E'!AU$11</f>
        <v>36</v>
      </c>
      <c r="AV4" s="3">
        <f xml:space="preserve"> 'T&amp;E'!AV$11</f>
        <v>37</v>
      </c>
    </row>
    <row r="5" spans="1:48" ht="15" customHeight="1">
      <c r="F5" s="95"/>
      <c r="G5" s="95"/>
      <c r="H5" s="95"/>
      <c r="I5" s="241"/>
      <c r="J5" s="402"/>
      <c r="K5" s="3"/>
    </row>
    <row r="6" spans="1:48" s="406" customFormat="1" ht="15" customHeight="1" collapsed="1">
      <c r="A6" s="403" t="s">
        <v>686</v>
      </c>
      <c r="B6" s="404"/>
      <c r="C6" s="405"/>
      <c r="D6" s="404"/>
      <c r="E6" s="404"/>
      <c r="F6" s="404"/>
      <c r="G6" s="404"/>
      <c r="H6" s="404"/>
      <c r="I6" s="404"/>
      <c r="J6" s="404"/>
      <c r="K6" s="404"/>
      <c r="L6" s="404"/>
      <c r="M6" s="404"/>
      <c r="N6" s="404"/>
      <c r="O6" s="404"/>
      <c r="P6" s="404"/>
      <c r="Q6" s="404"/>
      <c r="R6" s="404"/>
      <c r="S6" s="404"/>
      <c r="T6" s="404"/>
      <c r="U6" s="404"/>
      <c r="V6" s="404"/>
      <c r="W6" s="404"/>
      <c r="X6" s="404"/>
      <c r="Y6" s="404"/>
      <c r="Z6" s="404"/>
      <c r="AA6" s="404"/>
      <c r="AB6" s="404"/>
      <c r="AC6" s="404"/>
      <c r="AD6" s="404"/>
      <c r="AE6" s="404"/>
      <c r="AF6" s="404"/>
      <c r="AG6" s="404"/>
      <c r="AH6" s="404"/>
      <c r="AI6" s="404"/>
      <c r="AJ6" s="404"/>
      <c r="AK6" s="404"/>
      <c r="AL6" s="404"/>
      <c r="AM6" s="404"/>
      <c r="AN6" s="404"/>
      <c r="AO6" s="404"/>
      <c r="AP6" s="404"/>
      <c r="AQ6" s="404"/>
      <c r="AR6" s="404"/>
      <c r="AS6" s="404"/>
      <c r="AT6" s="404"/>
      <c r="AU6" s="404"/>
      <c r="AV6" s="404"/>
    </row>
    <row r="7" spans="1:48" ht="15" customHeight="1">
      <c r="D7" s="6"/>
      <c r="I7" s="3"/>
      <c r="K7" s="3"/>
    </row>
    <row r="8" spans="1:48" ht="15" customHeight="1">
      <c r="D8" s="6"/>
      <c r="E8" s="289" t="s">
        <v>966</v>
      </c>
      <c r="F8" s="3" t="s">
        <v>682</v>
      </c>
      <c r="I8" s="3"/>
      <c r="K8" s="3"/>
    </row>
    <row r="9" spans="1:48" ht="15" customHeight="1">
      <c r="D9" s="6"/>
      <c r="E9" s="289" t="s">
        <v>685</v>
      </c>
      <c r="F9" s="3" t="s">
        <v>683</v>
      </c>
      <c r="I9" s="3"/>
      <c r="K9" s="3"/>
    </row>
    <row r="10" spans="1:48" ht="15" customHeight="1">
      <c r="D10" s="6"/>
      <c r="F10" s="3" t="s">
        <v>684</v>
      </c>
      <c r="I10" s="3"/>
      <c r="K10" s="3"/>
    </row>
    <row r="11" spans="1:48" ht="15" customHeight="1">
      <c r="D11" s="6"/>
      <c r="I11" s="3"/>
      <c r="K11" s="3"/>
    </row>
    <row r="12" spans="1:48" ht="15" customHeight="1">
      <c r="D12" s="6"/>
      <c r="E12" s="108" t="str">
        <f xml:space="preserve"> 'T&amp;E'!E$9</f>
        <v>Model calendar year</v>
      </c>
      <c r="F12" s="108">
        <f xml:space="preserve"> 'T&amp;E'!F$9</f>
        <v>0</v>
      </c>
      <c r="G12" s="108" t="str">
        <f xml:space="preserve"> 'T&amp;E'!G$9</f>
        <v>year</v>
      </c>
      <c r="H12" s="108">
        <f xml:space="preserve"> 'T&amp;E'!H$9</f>
        <v>0</v>
      </c>
      <c r="I12" s="108">
        <f xml:space="preserve"> 'T&amp;E'!I$9</f>
        <v>0</v>
      </c>
      <c r="J12" s="108">
        <f xml:space="preserve"> 'T&amp;E'!J$9</f>
        <v>0</v>
      </c>
      <c r="K12" s="108">
        <f xml:space="preserve"> 'T&amp;E'!K$9</f>
        <v>0</v>
      </c>
      <c r="L12" s="108">
        <f xml:space="preserve"> 'T&amp;E'!L$9</f>
        <v>2014</v>
      </c>
      <c r="M12" s="108">
        <f xml:space="preserve"> 'T&amp;E'!M$9</f>
        <v>2015</v>
      </c>
      <c r="N12" s="108">
        <f xml:space="preserve"> 'T&amp;E'!N$9</f>
        <v>2016</v>
      </c>
      <c r="O12" s="108">
        <f xml:space="preserve"> 'T&amp;E'!O$9</f>
        <v>2017</v>
      </c>
      <c r="P12" s="108">
        <f xml:space="preserve"> 'T&amp;E'!P$9</f>
        <v>2018</v>
      </c>
      <c r="Q12" s="108">
        <f xml:space="preserve"> 'T&amp;E'!Q$9</f>
        <v>2019</v>
      </c>
      <c r="R12" s="108">
        <f xml:space="preserve"> 'T&amp;E'!R$9</f>
        <v>2020</v>
      </c>
      <c r="S12" s="108">
        <f xml:space="preserve"> 'T&amp;E'!S$9</f>
        <v>2021</v>
      </c>
      <c r="T12" s="108">
        <f xml:space="preserve"> 'T&amp;E'!T$9</f>
        <v>2022</v>
      </c>
      <c r="U12" s="108">
        <f xml:space="preserve"> 'T&amp;E'!U$9</f>
        <v>2023</v>
      </c>
      <c r="V12" s="108">
        <f xml:space="preserve"> 'T&amp;E'!V$9</f>
        <v>2024</v>
      </c>
      <c r="W12" s="108">
        <f xml:space="preserve"> 'T&amp;E'!W$9</f>
        <v>2025</v>
      </c>
      <c r="X12" s="108">
        <f xml:space="preserve"> 'T&amp;E'!X$9</f>
        <v>2026</v>
      </c>
      <c r="Y12" s="108">
        <f xml:space="preserve"> 'T&amp;E'!Y$9</f>
        <v>2027</v>
      </c>
      <c r="Z12" s="108">
        <f xml:space="preserve"> 'T&amp;E'!Z$9</f>
        <v>2028</v>
      </c>
      <c r="AA12" s="108">
        <f xml:space="preserve"> 'T&amp;E'!AA$9</f>
        <v>2029</v>
      </c>
      <c r="AB12" s="108">
        <f xml:space="preserve"> 'T&amp;E'!AB$9</f>
        <v>2030</v>
      </c>
      <c r="AC12" s="108">
        <f xml:space="preserve"> 'T&amp;E'!AC$9</f>
        <v>2031</v>
      </c>
      <c r="AD12" s="108">
        <f xml:space="preserve"> 'T&amp;E'!AD$9</f>
        <v>2032</v>
      </c>
      <c r="AE12" s="108">
        <f xml:space="preserve"> 'T&amp;E'!AE$9</f>
        <v>2033</v>
      </c>
      <c r="AF12" s="108">
        <f xml:space="preserve"> 'T&amp;E'!AF$9</f>
        <v>2034</v>
      </c>
      <c r="AG12" s="108">
        <f xml:space="preserve"> 'T&amp;E'!AG$9</f>
        <v>2035</v>
      </c>
      <c r="AH12" s="108">
        <f xml:space="preserve"> 'T&amp;E'!AH$9</f>
        <v>2036</v>
      </c>
      <c r="AI12" s="108">
        <f xml:space="preserve"> 'T&amp;E'!AI$9</f>
        <v>2037</v>
      </c>
      <c r="AJ12" s="108">
        <f xml:space="preserve"> 'T&amp;E'!AJ$9</f>
        <v>2038</v>
      </c>
      <c r="AK12" s="108">
        <f xml:space="preserve"> 'T&amp;E'!AK$9</f>
        <v>2039</v>
      </c>
      <c r="AL12" s="108">
        <f xml:space="preserve"> 'T&amp;E'!AL$9</f>
        <v>2040</v>
      </c>
      <c r="AM12" s="108">
        <f xml:space="preserve"> 'T&amp;E'!AM$9</f>
        <v>2041</v>
      </c>
      <c r="AN12" s="108">
        <f xml:space="preserve"> 'T&amp;E'!AN$9</f>
        <v>2042</v>
      </c>
      <c r="AO12" s="108">
        <f xml:space="preserve"> 'T&amp;E'!AO$9</f>
        <v>2043</v>
      </c>
      <c r="AP12" s="108">
        <f xml:space="preserve"> 'T&amp;E'!AP$9</f>
        <v>2044</v>
      </c>
      <c r="AQ12" s="108">
        <f xml:space="preserve"> 'T&amp;E'!AQ$9</f>
        <v>2045</v>
      </c>
      <c r="AR12" s="108">
        <f xml:space="preserve"> 'T&amp;E'!AR$9</f>
        <v>2046</v>
      </c>
      <c r="AS12" s="108">
        <f xml:space="preserve"> 'T&amp;E'!AS$9</f>
        <v>2047</v>
      </c>
      <c r="AT12" s="108">
        <f xml:space="preserve"> 'T&amp;E'!AT$9</f>
        <v>2048</v>
      </c>
      <c r="AU12" s="108">
        <f xml:space="preserve"> 'T&amp;E'!AU$9</f>
        <v>2049</v>
      </c>
      <c r="AV12" s="108">
        <f xml:space="preserve"> 'T&amp;E'!AV$9</f>
        <v>2050</v>
      </c>
    </row>
    <row r="13" spans="1:48" s="70" customFormat="1" ht="15" customHeight="1">
      <c r="A13" s="195"/>
      <c r="B13" s="195"/>
      <c r="C13" s="196"/>
      <c r="E13" s="70" t="str">
        <f xml:space="preserve"> Metalkol_Model1!E$16</f>
        <v>Copper production 2022Fs + actuals</v>
      </c>
      <c r="F13" s="70">
        <f xml:space="preserve"> Metalkol_Model1!F$16</f>
        <v>0</v>
      </c>
      <c r="G13" s="70" t="str">
        <f xml:space="preserve"> Metalkol_Model1!G$16</f>
        <v>KT Cu</v>
      </c>
      <c r="H13" s="70">
        <f xml:space="preserve"> Metalkol_Model1!H$16</f>
        <v>0</v>
      </c>
      <c r="I13" s="70">
        <f xml:space="preserve"> Metalkol_Model1!I$16</f>
        <v>0</v>
      </c>
      <c r="J13" s="70">
        <f xml:space="preserve"> Metalkol_Model1!J$16</f>
        <v>1421.0743320093752</v>
      </c>
      <c r="K13" s="70">
        <f xml:space="preserve"> Metalkol_Model1!K$16</f>
        <v>0</v>
      </c>
      <c r="L13" s="70">
        <f xml:space="preserve"> Metalkol_Model1!L$16</f>
        <v>0</v>
      </c>
      <c r="M13" s="70">
        <f xml:space="preserve"> Metalkol_Model1!M$16</f>
        <v>0</v>
      </c>
      <c r="N13" s="70">
        <f xml:space="preserve"> Metalkol_Model1!N$16</f>
        <v>0</v>
      </c>
      <c r="O13" s="70">
        <f xml:space="preserve"> Metalkol_Model1!O$16</f>
        <v>0</v>
      </c>
      <c r="P13" s="70">
        <f xml:space="preserve"> Metalkol_Model1!P$16</f>
        <v>9.2255633513999982</v>
      </c>
      <c r="Q13" s="70">
        <f xml:space="preserve"> Metalkol_Model1!Q$16</f>
        <v>95.205768657975369</v>
      </c>
      <c r="R13" s="70">
        <f xml:space="preserve"> Metalkol_Model1!R$16</f>
        <v>80.311999999999998</v>
      </c>
      <c r="S13" s="70">
        <f xml:space="preserve"> Metalkol_Model1!S$16</f>
        <v>94.807000000000002</v>
      </c>
      <c r="T13" s="70">
        <f xml:space="preserve"> Metalkol_Model1!T$16</f>
        <v>97.94</v>
      </c>
      <c r="U13" s="70">
        <f xml:space="preserve"> Metalkol_Model1!U$16</f>
        <v>102.006</v>
      </c>
      <c r="V13" s="70">
        <f xml:space="preserve"> Metalkol_Model1!V$16</f>
        <v>104.669</v>
      </c>
      <c r="W13" s="70">
        <f xml:space="preserve"> Metalkol_Model1!W$16</f>
        <v>105.101</v>
      </c>
      <c r="X13" s="70">
        <f xml:space="preserve"> Metalkol_Model1!X$16</f>
        <v>105.002</v>
      </c>
      <c r="Y13" s="70">
        <f xml:space="preserve"> Metalkol_Model1!Y$16</f>
        <v>105.956</v>
      </c>
      <c r="Z13" s="70">
        <f xml:space="preserve"> Metalkol_Model1!Z$16</f>
        <v>105.003</v>
      </c>
      <c r="AA13" s="70">
        <f xml:space="preserve"> Metalkol_Model1!AA$16</f>
        <v>104.33199999999999</v>
      </c>
      <c r="AB13" s="70">
        <f xml:space="preserve"> Metalkol_Model1!AB$16</f>
        <v>105.002</v>
      </c>
      <c r="AC13" s="70">
        <f xml:space="preserve"> Metalkol_Model1!AC$16</f>
        <v>104.504</v>
      </c>
      <c r="AD13" s="70">
        <f xml:space="preserve"> Metalkol_Model1!AD$16</f>
        <v>102.009</v>
      </c>
      <c r="AE13" s="70">
        <f xml:space="preserve"> Metalkol_Model1!AE$16</f>
        <v>0</v>
      </c>
      <c r="AF13" s="70">
        <f xml:space="preserve"> Metalkol_Model1!AF$16</f>
        <v>0</v>
      </c>
      <c r="AG13" s="70">
        <f xml:space="preserve"> Metalkol_Model1!AG$16</f>
        <v>0</v>
      </c>
      <c r="AH13" s="70">
        <f xml:space="preserve"> Metalkol_Model1!AH$16</f>
        <v>0</v>
      </c>
      <c r="AI13" s="70">
        <f xml:space="preserve"> Metalkol_Model1!AI$16</f>
        <v>0</v>
      </c>
      <c r="AJ13" s="70">
        <f xml:space="preserve"> Metalkol_Model1!AJ$16</f>
        <v>0</v>
      </c>
      <c r="AK13" s="70">
        <f xml:space="preserve"> Metalkol_Model1!AK$16</f>
        <v>0</v>
      </c>
      <c r="AL13" s="70">
        <f xml:space="preserve"> Metalkol_Model1!AL$16</f>
        <v>0</v>
      </c>
      <c r="AM13" s="70">
        <f xml:space="preserve"> Metalkol_Model1!AM$16</f>
        <v>0</v>
      </c>
      <c r="AN13" s="70">
        <f xml:space="preserve"> Metalkol_Model1!AN$16</f>
        <v>0</v>
      </c>
      <c r="AO13" s="70">
        <f xml:space="preserve"> Metalkol_Model1!AO$16</f>
        <v>0</v>
      </c>
      <c r="AP13" s="70">
        <f xml:space="preserve"> Metalkol_Model1!AP$16</f>
        <v>0</v>
      </c>
      <c r="AQ13" s="70">
        <f xml:space="preserve"> Metalkol_Model1!AQ$16</f>
        <v>0</v>
      </c>
      <c r="AR13" s="70">
        <f xml:space="preserve"> Metalkol_Model1!AR$16</f>
        <v>0</v>
      </c>
      <c r="AS13" s="70">
        <f xml:space="preserve"> Metalkol_Model1!AS$16</f>
        <v>0</v>
      </c>
      <c r="AT13" s="70">
        <f xml:space="preserve"> Metalkol_Model1!AT$16</f>
        <v>0</v>
      </c>
      <c r="AU13" s="70">
        <f xml:space="preserve"> Metalkol_Model1!AU$16</f>
        <v>0</v>
      </c>
      <c r="AV13" s="70">
        <f xml:space="preserve"> Metalkol_Model1!AV$16</f>
        <v>0</v>
      </c>
    </row>
    <row r="14" spans="1:48" ht="15" customHeight="1">
      <c r="E14" s="70" t="str">
        <f xml:space="preserve"> Metalkol_Model1!E$26</f>
        <v xml:space="preserve">Cobalt production 2022FS + actuals </v>
      </c>
      <c r="F14" s="70">
        <f xml:space="preserve"> Metalkol_Model1!F$26</f>
        <v>0</v>
      </c>
      <c r="G14" s="70" t="str">
        <f xml:space="preserve"> Metalkol_Model1!G$26</f>
        <v>KT</v>
      </c>
      <c r="H14" s="70">
        <f xml:space="preserve"> Metalkol_Model1!H$26</f>
        <v>0</v>
      </c>
      <c r="I14" s="70">
        <f xml:space="preserve"> Metalkol_Model1!I$26</f>
        <v>0</v>
      </c>
      <c r="J14" s="70">
        <f xml:space="preserve"> Metalkol_Model1!J$26</f>
        <v>280.82510633243999</v>
      </c>
      <c r="K14" s="70">
        <f xml:space="preserve"> Metalkol_Model1!K$26</f>
        <v>0</v>
      </c>
      <c r="L14" s="70">
        <f xml:space="preserve"> Metalkol_Model1!L$26</f>
        <v>0</v>
      </c>
      <c r="M14" s="70">
        <f xml:space="preserve"> Metalkol_Model1!M$26</f>
        <v>0</v>
      </c>
      <c r="N14" s="70">
        <f xml:space="preserve"> Metalkol_Model1!N$26</f>
        <v>0</v>
      </c>
      <c r="O14" s="70">
        <f xml:space="preserve"> Metalkol_Model1!O$26</f>
        <v>0</v>
      </c>
      <c r="P14" s="70">
        <f xml:space="preserve"> Metalkol_Model1!P$26</f>
        <v>0.20840302079999998</v>
      </c>
      <c r="Q14" s="70">
        <f xml:space="preserve"> Metalkol_Model1!Q$26</f>
        <v>18.932703311639997</v>
      </c>
      <c r="R14" s="70">
        <f xml:space="preserve"> Metalkol_Model1!R$26</f>
        <v>16.391999999999999</v>
      </c>
      <c r="S14" s="70">
        <f xml:space="preserve"> Metalkol_Model1!S$26</f>
        <v>20.74</v>
      </c>
      <c r="T14" s="70">
        <f xml:space="preserve"> Metalkol_Model1!T$26</f>
        <v>22.472999999999999</v>
      </c>
      <c r="U14" s="70">
        <f xml:space="preserve"> Metalkol_Model1!U$26</f>
        <v>20.558</v>
      </c>
      <c r="V14" s="70">
        <f xml:space="preserve"> Metalkol_Model1!V$26</f>
        <v>20.343</v>
      </c>
      <c r="W14" s="70">
        <f xml:space="preserve"> Metalkol_Model1!W$26</f>
        <v>20.257000000000001</v>
      </c>
      <c r="X14" s="70">
        <f xml:space="preserve"> Metalkol_Model1!X$26</f>
        <v>19.748999999999999</v>
      </c>
      <c r="Y14" s="70">
        <f xml:space="preserve"> Metalkol_Model1!Y$26</f>
        <v>18.649999999999999</v>
      </c>
      <c r="Z14" s="70">
        <f xml:space="preserve"> Metalkol_Model1!Z$26</f>
        <v>20.103999999999999</v>
      </c>
      <c r="AA14" s="70">
        <f xml:space="preserve"> Metalkol_Model1!AA$26</f>
        <v>20.074999999999999</v>
      </c>
      <c r="AB14" s="70">
        <f xml:space="preserve"> Metalkol_Model1!AB$26</f>
        <v>18.96</v>
      </c>
      <c r="AC14" s="70">
        <f xml:space="preserve"> Metalkol_Model1!AC$26</f>
        <v>21.318999999999999</v>
      </c>
      <c r="AD14" s="70">
        <f xml:space="preserve"> Metalkol_Model1!AD$26</f>
        <v>22.064</v>
      </c>
      <c r="AE14" s="70">
        <f xml:space="preserve"> Metalkol_Model1!AE$26</f>
        <v>0</v>
      </c>
      <c r="AF14" s="70">
        <f xml:space="preserve"> Metalkol_Model1!AF$26</f>
        <v>0</v>
      </c>
      <c r="AG14" s="70">
        <f xml:space="preserve"> Metalkol_Model1!AG$26</f>
        <v>0</v>
      </c>
      <c r="AH14" s="70">
        <f xml:space="preserve"> Metalkol_Model1!AH$26</f>
        <v>0</v>
      </c>
      <c r="AI14" s="70">
        <f xml:space="preserve"> Metalkol_Model1!AI$26</f>
        <v>0</v>
      </c>
      <c r="AJ14" s="70">
        <f xml:space="preserve"> Metalkol_Model1!AJ$26</f>
        <v>0</v>
      </c>
      <c r="AK14" s="70">
        <f xml:space="preserve"> Metalkol_Model1!AK$26</f>
        <v>0</v>
      </c>
      <c r="AL14" s="70">
        <f xml:space="preserve"> Metalkol_Model1!AL$26</f>
        <v>0</v>
      </c>
      <c r="AM14" s="70">
        <f xml:space="preserve"> Metalkol_Model1!AM$26</f>
        <v>0</v>
      </c>
      <c r="AN14" s="70">
        <f xml:space="preserve"> Metalkol_Model1!AN$26</f>
        <v>0</v>
      </c>
      <c r="AO14" s="70">
        <f xml:space="preserve"> Metalkol_Model1!AO$26</f>
        <v>0</v>
      </c>
      <c r="AP14" s="70">
        <f xml:space="preserve"> Metalkol_Model1!AP$26</f>
        <v>0</v>
      </c>
      <c r="AQ14" s="70">
        <f xml:space="preserve"> Metalkol_Model1!AQ$26</f>
        <v>0</v>
      </c>
      <c r="AR14" s="70">
        <f xml:space="preserve"> Metalkol_Model1!AR$26</f>
        <v>0</v>
      </c>
      <c r="AS14" s="70">
        <f xml:space="preserve"> Metalkol_Model1!AS$26</f>
        <v>0</v>
      </c>
      <c r="AT14" s="70">
        <f xml:space="preserve"> Metalkol_Model1!AT$26</f>
        <v>0</v>
      </c>
      <c r="AU14" s="70">
        <f xml:space="preserve"> Metalkol_Model1!AU$26</f>
        <v>0</v>
      </c>
      <c r="AV14" s="70">
        <f xml:space="preserve"> Metalkol_Model1!AV$26</f>
        <v>0</v>
      </c>
    </row>
    <row r="46" spans="1:48" s="406" customFormat="1" ht="15" customHeight="1" collapsed="1">
      <c r="A46" s="403" t="s">
        <v>688</v>
      </c>
      <c r="B46" s="404"/>
      <c r="C46" s="405"/>
      <c r="D46" s="404"/>
      <c r="E46" s="404"/>
      <c r="F46" s="404"/>
      <c r="G46" s="404"/>
      <c r="H46" s="404"/>
      <c r="I46" s="404"/>
      <c r="J46" s="404"/>
      <c r="K46" s="404"/>
      <c r="L46" s="404"/>
      <c r="M46" s="404"/>
      <c r="N46" s="404"/>
      <c r="O46" s="404"/>
      <c r="P46" s="404"/>
      <c r="Q46" s="404"/>
      <c r="R46" s="404"/>
      <c r="S46" s="40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404"/>
      <c r="AF46" s="404"/>
      <c r="AG46" s="404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4"/>
      <c r="AT46" s="404"/>
      <c r="AU46" s="404"/>
      <c r="AV46" s="404"/>
    </row>
    <row r="47" spans="1:48" ht="15" customHeight="1">
      <c r="D47" s="6"/>
      <c r="I47" s="3"/>
      <c r="K47" s="3"/>
    </row>
    <row r="48" spans="1:48" ht="15" customHeight="1">
      <c r="D48" s="6"/>
      <c r="E48" s="289" t="str">
        <f xml:space="preserve"> A46</f>
        <v>COPPER AND COBALT PRICES</v>
      </c>
      <c r="F48" s="3" t="s">
        <v>682</v>
      </c>
      <c r="I48" s="3"/>
      <c r="K48" s="3"/>
    </row>
    <row r="49" spans="1:48" ht="15" customHeight="1">
      <c r="D49" s="6"/>
      <c r="E49" s="289"/>
      <c r="F49" s="3" t="s">
        <v>683</v>
      </c>
      <c r="I49" s="3"/>
      <c r="K49" s="3"/>
    </row>
    <row r="50" spans="1:48" ht="15" customHeight="1">
      <c r="D50" s="6"/>
      <c r="E50" s="289" t="s">
        <v>691</v>
      </c>
      <c r="F50" s="3" t="s">
        <v>684</v>
      </c>
      <c r="I50" s="3"/>
      <c r="K50" s="3"/>
    </row>
    <row r="51" spans="1:48" ht="15" customHeight="1">
      <c r="D51" s="6"/>
      <c r="E51" s="289" t="s">
        <v>692</v>
      </c>
      <c r="F51" s="3" t="s">
        <v>690</v>
      </c>
      <c r="I51" s="3"/>
      <c r="K51" s="3"/>
    </row>
    <row r="52" spans="1:48" ht="15" customHeight="1">
      <c r="D52" s="6"/>
      <c r="I52" s="3"/>
      <c r="K52" s="3"/>
    </row>
    <row r="53" spans="1:48" ht="15" customHeight="1">
      <c r="D53" s="6"/>
      <c r="E53" s="108" t="str">
        <f xml:space="preserve"> 'T&amp;E'!E$9</f>
        <v>Model calendar year</v>
      </c>
      <c r="F53" s="108">
        <f xml:space="preserve"> 'T&amp;E'!F$9</f>
        <v>0</v>
      </c>
      <c r="G53" s="108" t="str">
        <f xml:space="preserve"> 'T&amp;E'!G$9</f>
        <v>year</v>
      </c>
      <c r="H53" s="108">
        <f xml:space="preserve"> 'T&amp;E'!H$9</f>
        <v>0</v>
      </c>
      <c r="I53" s="108">
        <f xml:space="preserve"> 'T&amp;E'!I$9</f>
        <v>0</v>
      </c>
      <c r="J53" s="108">
        <f xml:space="preserve"> 'T&amp;E'!J$9</f>
        <v>0</v>
      </c>
      <c r="K53" s="108">
        <f xml:space="preserve"> 'T&amp;E'!K$9</f>
        <v>0</v>
      </c>
      <c r="L53" s="108">
        <f xml:space="preserve"> 'T&amp;E'!L$9</f>
        <v>2014</v>
      </c>
      <c r="M53" s="108">
        <f xml:space="preserve"> 'T&amp;E'!M$9</f>
        <v>2015</v>
      </c>
      <c r="N53" s="108">
        <f xml:space="preserve"> 'T&amp;E'!N$9</f>
        <v>2016</v>
      </c>
      <c r="O53" s="108">
        <f xml:space="preserve"> 'T&amp;E'!O$9</f>
        <v>2017</v>
      </c>
      <c r="P53" s="108">
        <f xml:space="preserve"> 'T&amp;E'!P$9</f>
        <v>2018</v>
      </c>
      <c r="Q53" s="108">
        <f xml:space="preserve"> 'T&amp;E'!Q$9</f>
        <v>2019</v>
      </c>
      <c r="R53" s="108">
        <f xml:space="preserve"> 'T&amp;E'!R$9</f>
        <v>2020</v>
      </c>
      <c r="S53" s="108">
        <f xml:space="preserve"> 'T&amp;E'!S$9</f>
        <v>2021</v>
      </c>
      <c r="T53" s="108">
        <f xml:space="preserve"> 'T&amp;E'!T$9</f>
        <v>2022</v>
      </c>
      <c r="U53" s="108">
        <f xml:space="preserve"> 'T&amp;E'!U$9</f>
        <v>2023</v>
      </c>
      <c r="V53" s="108">
        <f xml:space="preserve"> 'T&amp;E'!V$9</f>
        <v>2024</v>
      </c>
      <c r="W53" s="108">
        <f xml:space="preserve"> 'T&amp;E'!W$9</f>
        <v>2025</v>
      </c>
      <c r="X53" s="108">
        <f xml:space="preserve"> 'T&amp;E'!X$9</f>
        <v>2026</v>
      </c>
      <c r="Y53" s="108">
        <f xml:space="preserve"> 'T&amp;E'!Y$9</f>
        <v>2027</v>
      </c>
      <c r="Z53" s="108">
        <f xml:space="preserve"> 'T&amp;E'!Z$9</f>
        <v>2028</v>
      </c>
      <c r="AA53" s="108">
        <f xml:space="preserve"> 'T&amp;E'!AA$9</f>
        <v>2029</v>
      </c>
      <c r="AB53" s="108">
        <f xml:space="preserve"> 'T&amp;E'!AB$9</f>
        <v>2030</v>
      </c>
      <c r="AC53" s="108">
        <f xml:space="preserve"> 'T&amp;E'!AC$9</f>
        <v>2031</v>
      </c>
      <c r="AD53" s="108">
        <f xml:space="preserve"> 'T&amp;E'!AD$9</f>
        <v>2032</v>
      </c>
      <c r="AE53" s="108">
        <f xml:space="preserve"> 'T&amp;E'!AE$9</f>
        <v>2033</v>
      </c>
      <c r="AF53" s="108">
        <f xml:space="preserve"> 'T&amp;E'!AF$9</f>
        <v>2034</v>
      </c>
      <c r="AG53" s="108">
        <f xml:space="preserve"> 'T&amp;E'!AG$9</f>
        <v>2035</v>
      </c>
      <c r="AH53" s="108">
        <f xml:space="preserve"> 'T&amp;E'!AH$9</f>
        <v>2036</v>
      </c>
      <c r="AI53" s="108">
        <f xml:space="preserve"> 'T&amp;E'!AI$9</f>
        <v>2037</v>
      </c>
      <c r="AJ53" s="108">
        <f xml:space="preserve"> 'T&amp;E'!AJ$9</f>
        <v>2038</v>
      </c>
      <c r="AK53" s="108">
        <f xml:space="preserve"> 'T&amp;E'!AK$9</f>
        <v>2039</v>
      </c>
      <c r="AL53" s="108">
        <f xml:space="preserve"> 'T&amp;E'!AL$9</f>
        <v>2040</v>
      </c>
      <c r="AM53" s="108">
        <f xml:space="preserve"> 'T&amp;E'!AM$9</f>
        <v>2041</v>
      </c>
      <c r="AN53" s="108">
        <f xml:space="preserve"> 'T&amp;E'!AN$9</f>
        <v>2042</v>
      </c>
      <c r="AO53" s="108">
        <f xml:space="preserve"> 'T&amp;E'!AO$9</f>
        <v>2043</v>
      </c>
      <c r="AP53" s="108">
        <f xml:space="preserve"> 'T&amp;E'!AP$9</f>
        <v>2044</v>
      </c>
      <c r="AQ53" s="108">
        <f xml:space="preserve"> 'T&amp;E'!AQ$9</f>
        <v>2045</v>
      </c>
      <c r="AR53" s="108">
        <f xml:space="preserve"> 'T&amp;E'!AR$9</f>
        <v>2046</v>
      </c>
      <c r="AS53" s="108">
        <f xml:space="preserve"> 'T&amp;E'!AS$9</f>
        <v>2047</v>
      </c>
      <c r="AT53" s="108">
        <f xml:space="preserve"> 'T&amp;E'!AT$9</f>
        <v>2048</v>
      </c>
      <c r="AU53" s="108">
        <f xml:space="preserve"> 'T&amp;E'!AU$9</f>
        <v>2049</v>
      </c>
      <c r="AV53" s="108">
        <f xml:space="preserve"> 'T&amp;E'!AV$9</f>
        <v>2050</v>
      </c>
    </row>
    <row r="54" spans="1:48" s="70" customFormat="1" ht="15" customHeight="1">
      <c r="A54" s="195"/>
      <c r="B54" s="195"/>
      <c r="C54" s="196"/>
      <c r="E54" s="70" t="str">
        <f xml:space="preserve"> Metalkol_Model1!E$91</f>
        <v>Copper realized price: SOM_Contract</v>
      </c>
      <c r="F54" s="70">
        <f xml:space="preserve"> Metalkol_Model1!F$91</f>
        <v>0</v>
      </c>
      <c r="G54" s="70" t="str">
        <f xml:space="preserve"> Metalkol_Model1!G$91</f>
        <v>$ / tonne</v>
      </c>
      <c r="H54" s="70">
        <f xml:space="preserve"> Metalkol_Model1!H$91</f>
        <v>0</v>
      </c>
      <c r="I54" s="70">
        <f xml:space="preserve"> Metalkol_Model1!I$91</f>
        <v>0</v>
      </c>
      <c r="J54" s="70">
        <f xml:space="preserve"> Metalkol_Model1!J$91</f>
        <v>0</v>
      </c>
      <c r="K54" s="70">
        <f xml:space="preserve"> Metalkol_Model1!K$91</f>
        <v>0</v>
      </c>
      <c r="L54" s="70">
        <f xml:space="preserve"> Metalkol_Model1!L$91</f>
        <v>6496.9805415999999</v>
      </c>
      <c r="M54" s="70">
        <f xml:space="preserve"> Metalkol_Model1!M$91</f>
        <v>5153.7817096000008</v>
      </c>
      <c r="N54" s="70">
        <f xml:space="preserve"> Metalkol_Model1!N$91</f>
        <v>4515.8481416000004</v>
      </c>
      <c r="O54" s="70">
        <f xml:space="preserve"> Metalkol_Model1!O$91</f>
        <v>5808.5164319999994</v>
      </c>
      <c r="P54" s="70">
        <f xml:space="preserve"> Metalkol_Model1!P$91</f>
        <v>6165.7834543999998</v>
      </c>
      <c r="Q54" s="70">
        <f xml:space="preserve"> Metalkol_Model1!Q$91</f>
        <v>5649.8719560000009</v>
      </c>
      <c r="R54" s="70">
        <f xml:space="preserve"> Metalkol_Model1!R$91</f>
        <v>5813.1011823999997</v>
      </c>
      <c r="S54" s="70">
        <f xml:space="preserve"> Metalkol_Model1!S$91</f>
        <v>8933.3236551999998</v>
      </c>
      <c r="T54" s="70">
        <f xml:space="preserve"> Metalkol_Model1!T$91</f>
        <v>8448.3487975999997</v>
      </c>
      <c r="U54" s="70">
        <f xml:space="preserve"> Metalkol_Model1!U$91</f>
        <v>8112.6285136000006</v>
      </c>
      <c r="V54" s="70">
        <f xml:space="preserve"> Metalkol_Model1!V$91</f>
        <v>8172.1577944000001</v>
      </c>
      <c r="W54" s="70">
        <f xml:space="preserve"> Metalkol_Model1!W$91</f>
        <v>8281.8681512000003</v>
      </c>
      <c r="X54" s="70">
        <f xml:space="preserve"> Metalkol_Model1!X$91</f>
        <v>8296.8226975999987</v>
      </c>
      <c r="Y54" s="70">
        <f xml:space="preserve"> Metalkol_Model1!Y$91</f>
        <v>8288.342200000001</v>
      </c>
      <c r="Z54" s="70">
        <f xml:space="preserve"> Metalkol_Model1!Z$91</f>
        <v>8276.3045000000002</v>
      </c>
      <c r="AA54" s="70">
        <f xml:space="preserve"> Metalkol_Model1!AA$91</f>
        <v>8289.0868000000009</v>
      </c>
      <c r="AB54" s="70">
        <f xml:space="preserve"> Metalkol_Model1!AB$91</f>
        <v>8476.261022049508</v>
      </c>
      <c r="AC54" s="70">
        <f xml:space="preserve"> Metalkol_Model1!AC$91</f>
        <v>8652.126242490498</v>
      </c>
      <c r="AD54" s="70">
        <f xml:space="preserve"> Metalkol_Model1!AD$91</f>
        <v>8831.5087673403086</v>
      </c>
      <c r="AE54" s="70">
        <f xml:space="preserve"> Metalkol_Model1!AE$91</f>
        <v>9014.4789426871157</v>
      </c>
      <c r="AF54" s="70">
        <f xml:space="preserve"> Metalkol_Model1!AF$91</f>
        <v>9201.1085215408566</v>
      </c>
      <c r="AG54" s="70">
        <f xml:space="preserve"> Metalkol_Model1!AG$91</f>
        <v>9391.4706919716737</v>
      </c>
      <c r="AH54" s="70">
        <f xml:space="preserve"> Metalkol_Model1!AH$91</f>
        <v>9585.6401058111078</v>
      </c>
      <c r="AI54" s="70">
        <f xml:space="preserve"> Metalkol_Model1!AI$91</f>
        <v>9783.6929079273305</v>
      </c>
      <c r="AJ54" s="70">
        <f xml:space="preserve"> Metalkol_Model1!AJ$91</f>
        <v>9985.7067660858793</v>
      </c>
      <c r="AK54" s="70">
        <f xml:space="preserve"> Metalkol_Model1!AK$91</f>
        <v>10191.760901407597</v>
      </c>
      <c r="AL54" s="70">
        <f xml:space="preserve"> Metalkol_Model1!AL$91</f>
        <v>10401.936119435748</v>
      </c>
      <c r="AM54" s="70">
        <f xml:space="preserve"> Metalkol_Model1!AM$91</f>
        <v>10616.314841824464</v>
      </c>
      <c r="AN54" s="70">
        <f xml:space="preserve"> Metalkol_Model1!AN$91</f>
        <v>10834.981138660954</v>
      </c>
      <c r="AO54" s="70">
        <f xml:space="preserve"> Metalkol_Model1!AO$91</f>
        <v>11058.020761434174</v>
      </c>
      <c r="AP54" s="70">
        <f xml:space="preserve"> Metalkol_Model1!AP$91</f>
        <v>11285.521176662856</v>
      </c>
      <c r="AQ54" s="70">
        <f xml:space="preserve"> Metalkol_Model1!AQ$91</f>
        <v>11517.571600196114</v>
      </c>
      <c r="AR54" s="70">
        <f xml:space="preserve"> Metalkol_Model1!AR$91</f>
        <v>11754.263032200037</v>
      </c>
      <c r="AS54" s="70">
        <f xml:space="preserve"> Metalkol_Model1!AS$91</f>
        <v>11995.688292844037</v>
      </c>
      <c r="AT54" s="70">
        <f xml:space="preserve"> Metalkol_Model1!AT$91</f>
        <v>12241.942058700921</v>
      </c>
      <c r="AU54" s="70">
        <f xml:space="preserve"> Metalkol_Model1!AU$91</f>
        <v>12493.120899874939</v>
      </c>
      <c r="AV54" s="70">
        <f xml:space="preserve"> Metalkol_Model1!AV$91</f>
        <v>12749.323317872437</v>
      </c>
    </row>
    <row r="55" spans="1:48" ht="15" customHeight="1">
      <c r="E55" s="70" t="str">
        <f xml:space="preserve"> Metalkol_Model1!E$159 &amp; " (RHS)"</f>
        <v>Cobalt realized Price: SOM_Contract (RHS)</v>
      </c>
      <c r="F55" s="70">
        <f xml:space="preserve"> Metalkol_Model1!F$159</f>
        <v>0</v>
      </c>
      <c r="G55" s="70" t="str">
        <f xml:space="preserve"> Metalkol_Model1!G$159</f>
        <v>$ / tonne</v>
      </c>
      <c r="H55" s="70">
        <f xml:space="preserve"> Metalkol_Model1!H$159</f>
        <v>0</v>
      </c>
      <c r="I55" s="70">
        <f xml:space="preserve"> Metalkol_Model1!I$159</f>
        <v>0</v>
      </c>
      <c r="J55" s="70">
        <f xml:space="preserve"> Metalkol_Model1!J$159</f>
        <v>0</v>
      </c>
      <c r="K55" s="70" t="e">
        <f xml:space="preserve"> Metalkol_Model1!K$159</f>
        <v>#REF!</v>
      </c>
      <c r="L55" s="70">
        <f xml:space="preserve"> Metalkol_Model1!L$159</f>
        <v>19920.981581921755</v>
      </c>
      <c r="M55" s="70">
        <f xml:space="preserve"> Metalkol_Model1!M$159</f>
        <v>18302.370220466593</v>
      </c>
      <c r="N55" s="70">
        <f xml:space="preserve"> Metalkol_Model1!N$159</f>
        <v>16225.626703739015</v>
      </c>
      <c r="O55" s="70">
        <f xml:space="preserve"> Metalkol_Model1!O$159</f>
        <v>37330.729646172702</v>
      </c>
      <c r="P55" s="70">
        <f xml:space="preserve"> Metalkol_Model1!P$159</f>
        <v>49199.997296038942</v>
      </c>
      <c r="Q55" s="70">
        <f xml:space="preserve"> Metalkol_Model1!Q$159</f>
        <v>21586.73144835007</v>
      </c>
      <c r="R55" s="70">
        <f xml:space="preserve"> Metalkol_Model1!R$159</f>
        <v>20382.570501387789</v>
      </c>
      <c r="S55" s="70">
        <f xml:space="preserve"> Metalkol_Model1!S$159</f>
        <v>34136.239954648387</v>
      </c>
      <c r="T55" s="70">
        <f xml:space="preserve"> Metalkol_Model1!T$159</f>
        <v>42843.533428948969</v>
      </c>
      <c r="U55" s="70">
        <f xml:space="preserve"> Metalkol_Model1!U$159</f>
        <v>22349.386945380375</v>
      </c>
      <c r="V55" s="70">
        <f xml:space="preserve"> Metalkol_Model1!V$159</f>
        <v>16825.696182870786</v>
      </c>
      <c r="W55" s="70">
        <f xml:space="preserve"> Metalkol_Model1!W$159</f>
        <v>26328.004101395614</v>
      </c>
      <c r="X55" s="70">
        <f xml:space="preserve"> Metalkol_Model1!X$159</f>
        <v>26328.004101395614</v>
      </c>
      <c r="Y55" s="70">
        <f xml:space="preserve"> Metalkol_Model1!Y$159</f>
        <v>26328.004101395614</v>
      </c>
      <c r="Z55" s="70">
        <f xml:space="preserve"> Metalkol_Model1!Z$159</f>
        <v>26328.004101395614</v>
      </c>
      <c r="AA55" s="70">
        <f xml:space="preserve"> Metalkol_Model1!AA$159</f>
        <v>26328.004101395614</v>
      </c>
      <c r="AB55" s="70">
        <f xml:space="preserve"> Metalkol_Model1!AB$159</f>
        <v>26932.592924996727</v>
      </c>
      <c r="AC55" s="70">
        <f xml:space="preserve"> Metalkol_Model1!AC$159</f>
        <v>27500.652701468745</v>
      </c>
      <c r="AD55" s="70">
        <f xml:space="preserve"> Metalkol_Model1!AD$159</f>
        <v>28080.073673470208</v>
      </c>
      <c r="AE55" s="70">
        <f xml:space="preserve"> Metalkol_Model1!AE$159</f>
        <v>28671.083064911702</v>
      </c>
      <c r="AF55" s="70">
        <f xml:space="preserve"> Metalkol_Model1!AF$159</f>
        <v>29273.912644182019</v>
      </c>
      <c r="AG55" s="70">
        <f xml:space="preserve"> Metalkol_Model1!AG$159</f>
        <v>29888.798815037746</v>
      </c>
      <c r="AH55" s="70">
        <f xml:space="preserve"> Metalkol_Model1!AH$159</f>
        <v>30515.982709310592</v>
      </c>
      <c r="AI55" s="70">
        <f xml:space="preserve"> Metalkol_Model1!AI$159</f>
        <v>31155.710281468895</v>
      </c>
      <c r="AJ55" s="70">
        <f xml:space="preserve"> Metalkol_Model1!AJ$159</f>
        <v>31808.232405070368</v>
      </c>
      <c r="AK55" s="70">
        <f xml:space="preserve"> Metalkol_Model1!AK$159</f>
        <v>32473.804971143865</v>
      </c>
      <c r="AL55" s="70">
        <f xml:space="preserve"> Metalkol_Model1!AL$159</f>
        <v>33152.688988538823</v>
      </c>
      <c r="AM55" s="70">
        <f xml:space="preserve"> Metalkol_Model1!AM$159</f>
        <v>33845.150686281697</v>
      </c>
      <c r="AN55" s="70">
        <f xml:space="preserve"> Metalkol_Model1!AN$159</f>
        <v>34551.461617979425</v>
      </c>
      <c r="AO55" s="70">
        <f xml:space="preserve"> Metalkol_Model1!AO$159</f>
        <v>35271.898768311097</v>
      </c>
      <c r="AP55" s="70">
        <f xml:space="preserve"> Metalkol_Model1!AP$159</f>
        <v>36006.744661649413</v>
      </c>
      <c r="AQ55" s="70">
        <f xml:space="preserve"> Metalkol_Model1!AQ$159</f>
        <v>36756.287472854485</v>
      </c>
      <c r="AR55" s="70">
        <f xml:space="preserve"> Metalkol_Model1!AR$159</f>
        <v>37520.82114028366</v>
      </c>
      <c r="AS55" s="70">
        <f xml:space="preserve"> Metalkol_Model1!AS$159</f>
        <v>38300.64548106143</v>
      </c>
      <c r="AT55" s="70">
        <f xml:space="preserve"> Metalkol_Model1!AT$159</f>
        <v>39096.06630865475</v>
      </c>
      <c r="AU55" s="70">
        <f xml:space="preserve"> Metalkol_Model1!AU$159</f>
        <v>39907.395552799928</v>
      </c>
      <c r="AV55" s="70">
        <f xml:space="preserve"> Metalkol_Model1!AV$159</f>
        <v>40734.95138182801</v>
      </c>
    </row>
    <row r="85" spans="1:48" s="406" customFormat="1" ht="15" customHeight="1" collapsed="1">
      <c r="A85" s="403" t="s">
        <v>687</v>
      </c>
      <c r="B85" s="404"/>
      <c r="C85" s="405"/>
      <c r="D85" s="404"/>
      <c r="E85" s="404"/>
      <c r="F85" s="404"/>
      <c r="G85" s="404"/>
      <c r="H85" s="404"/>
      <c r="I85" s="404"/>
      <c r="J85" s="404"/>
      <c r="K85" s="404"/>
      <c r="L85" s="404"/>
      <c r="M85" s="404"/>
      <c r="N85" s="404"/>
      <c r="O85" s="404"/>
      <c r="P85" s="404"/>
      <c r="Q85" s="404"/>
      <c r="R85" s="404"/>
      <c r="S85" s="404"/>
      <c r="T85" s="404"/>
      <c r="U85" s="404"/>
      <c r="V85" s="404"/>
      <c r="W85" s="404"/>
      <c r="X85" s="404"/>
      <c r="Y85" s="404"/>
      <c r="Z85" s="404"/>
      <c r="AA85" s="404"/>
      <c r="AB85" s="404"/>
      <c r="AC85" s="404"/>
      <c r="AD85" s="404"/>
      <c r="AE85" s="404"/>
      <c r="AF85" s="404"/>
      <c r="AG85" s="404"/>
      <c r="AH85" s="404"/>
      <c r="AI85" s="404"/>
      <c r="AJ85" s="404"/>
      <c r="AK85" s="404"/>
      <c r="AL85" s="404"/>
      <c r="AM85" s="404"/>
      <c r="AN85" s="404"/>
      <c r="AO85" s="404"/>
      <c r="AP85" s="404"/>
      <c r="AQ85" s="404"/>
      <c r="AR85" s="404"/>
      <c r="AS85" s="404"/>
      <c r="AT85" s="404"/>
      <c r="AU85" s="404"/>
      <c r="AV85" s="404"/>
    </row>
    <row r="86" spans="1:48" ht="15" customHeight="1">
      <c r="D86" s="6"/>
      <c r="I86" s="3"/>
      <c r="K86" s="3"/>
    </row>
    <row r="87" spans="1:48" ht="15" customHeight="1">
      <c r="D87" s="6"/>
      <c r="E87" s="289" t="str">
        <f xml:space="preserve"> A85</f>
        <v>PROJECT CASHFLOWS</v>
      </c>
      <c r="F87" s="3" t="s">
        <v>682</v>
      </c>
      <c r="I87" s="3"/>
      <c r="K87" s="3"/>
    </row>
    <row r="88" spans="1:48" ht="15" customHeight="1">
      <c r="D88" s="6"/>
      <c r="E88" s="289" t="str">
        <f xml:space="preserve"> G92</f>
        <v>$ mn</v>
      </c>
      <c r="F88" s="3" t="s">
        <v>683</v>
      </c>
      <c r="I88" s="3"/>
      <c r="K88" s="3"/>
    </row>
    <row r="89" spans="1:48" ht="15" customHeight="1">
      <c r="D89" s="6"/>
      <c r="F89" s="3" t="s">
        <v>684</v>
      </c>
      <c r="I89" s="3"/>
      <c r="K89" s="3"/>
    </row>
    <row r="90" spans="1:48" ht="15" customHeight="1">
      <c r="D90" s="6"/>
      <c r="I90" s="3"/>
      <c r="K90" s="3"/>
    </row>
    <row r="91" spans="1:48" ht="15" customHeight="1">
      <c r="D91" s="6"/>
      <c r="E91" s="108" t="str">
        <f xml:space="preserve"> 'T&amp;E'!E$9</f>
        <v>Model calendar year</v>
      </c>
      <c r="F91" s="108">
        <f xml:space="preserve"> 'T&amp;E'!F$9</f>
        <v>0</v>
      </c>
      <c r="G91" s="108" t="str">
        <f xml:space="preserve"> 'T&amp;E'!G$9</f>
        <v>year</v>
      </c>
      <c r="H91" s="108">
        <f xml:space="preserve"> 'T&amp;E'!H$9</f>
        <v>0</v>
      </c>
      <c r="I91" s="108">
        <f xml:space="preserve"> 'T&amp;E'!I$9</f>
        <v>0</v>
      </c>
      <c r="J91" s="108">
        <f xml:space="preserve"> 'T&amp;E'!J$9</f>
        <v>0</v>
      </c>
      <c r="K91" s="108">
        <f xml:space="preserve"> 'T&amp;E'!K$9</f>
        <v>0</v>
      </c>
      <c r="L91" s="108">
        <f xml:space="preserve"> 'T&amp;E'!L$9</f>
        <v>2014</v>
      </c>
      <c r="M91" s="108">
        <f xml:space="preserve"> 'T&amp;E'!M$9</f>
        <v>2015</v>
      </c>
      <c r="N91" s="108">
        <f xml:space="preserve"> 'T&amp;E'!N$9</f>
        <v>2016</v>
      </c>
      <c r="O91" s="108">
        <f xml:space="preserve"> 'T&amp;E'!O$9</f>
        <v>2017</v>
      </c>
      <c r="P91" s="108">
        <f xml:space="preserve"> 'T&amp;E'!P$9</f>
        <v>2018</v>
      </c>
      <c r="Q91" s="108">
        <f xml:space="preserve"> 'T&amp;E'!Q$9</f>
        <v>2019</v>
      </c>
      <c r="R91" s="108">
        <f xml:space="preserve"> 'T&amp;E'!R$9</f>
        <v>2020</v>
      </c>
      <c r="S91" s="108">
        <f xml:space="preserve"> 'T&amp;E'!S$9</f>
        <v>2021</v>
      </c>
      <c r="T91" s="108">
        <f xml:space="preserve"> 'T&amp;E'!T$9</f>
        <v>2022</v>
      </c>
      <c r="U91" s="108">
        <f xml:space="preserve"> 'T&amp;E'!U$9</f>
        <v>2023</v>
      </c>
      <c r="V91" s="108">
        <f xml:space="preserve"> 'T&amp;E'!V$9</f>
        <v>2024</v>
      </c>
      <c r="W91" s="108">
        <f xml:space="preserve"> 'T&amp;E'!W$9</f>
        <v>2025</v>
      </c>
      <c r="X91" s="108">
        <f xml:space="preserve"> 'T&amp;E'!X$9</f>
        <v>2026</v>
      </c>
      <c r="Y91" s="108">
        <f xml:space="preserve"> 'T&amp;E'!Y$9</f>
        <v>2027</v>
      </c>
      <c r="Z91" s="108">
        <f xml:space="preserve"> 'T&amp;E'!Z$9</f>
        <v>2028</v>
      </c>
      <c r="AA91" s="108">
        <f xml:space="preserve"> 'T&amp;E'!AA$9</f>
        <v>2029</v>
      </c>
      <c r="AB91" s="108">
        <f xml:space="preserve"> 'T&amp;E'!AB$9</f>
        <v>2030</v>
      </c>
      <c r="AC91" s="108">
        <f xml:space="preserve"> 'T&amp;E'!AC$9</f>
        <v>2031</v>
      </c>
      <c r="AD91" s="108">
        <f xml:space="preserve"> 'T&amp;E'!AD$9</f>
        <v>2032</v>
      </c>
      <c r="AE91" s="108">
        <f xml:space="preserve"> 'T&amp;E'!AE$9</f>
        <v>2033</v>
      </c>
      <c r="AF91" s="108">
        <f xml:space="preserve"> 'T&amp;E'!AF$9</f>
        <v>2034</v>
      </c>
      <c r="AG91" s="108">
        <f xml:space="preserve"> 'T&amp;E'!AG$9</f>
        <v>2035</v>
      </c>
      <c r="AH91" s="108">
        <f xml:space="preserve"> 'T&amp;E'!AH$9</f>
        <v>2036</v>
      </c>
      <c r="AI91" s="108">
        <f xml:space="preserve"> 'T&amp;E'!AI$9</f>
        <v>2037</v>
      </c>
      <c r="AJ91" s="108">
        <f xml:space="preserve"> 'T&amp;E'!AJ$9</f>
        <v>2038</v>
      </c>
      <c r="AK91" s="108">
        <f xml:space="preserve"> 'T&amp;E'!AK$9</f>
        <v>2039</v>
      </c>
      <c r="AL91" s="108">
        <f xml:space="preserve"> 'T&amp;E'!AL$9</f>
        <v>2040</v>
      </c>
      <c r="AM91" s="108">
        <f xml:space="preserve"> 'T&amp;E'!AM$9</f>
        <v>2041</v>
      </c>
      <c r="AN91" s="108">
        <f xml:space="preserve"> 'T&amp;E'!AN$9</f>
        <v>2042</v>
      </c>
      <c r="AO91" s="108">
        <f xml:space="preserve"> 'T&amp;E'!AO$9</f>
        <v>2043</v>
      </c>
      <c r="AP91" s="108">
        <f xml:space="preserve"> 'T&amp;E'!AP$9</f>
        <v>2044</v>
      </c>
      <c r="AQ91" s="108">
        <f xml:space="preserve"> 'T&amp;E'!AQ$9</f>
        <v>2045</v>
      </c>
      <c r="AR91" s="108">
        <f xml:space="preserve"> 'T&amp;E'!AR$9</f>
        <v>2046</v>
      </c>
      <c r="AS91" s="108">
        <f xml:space="preserve"> 'T&amp;E'!AS$9</f>
        <v>2047</v>
      </c>
      <c r="AT91" s="108">
        <f xml:space="preserve"> 'T&amp;E'!AT$9</f>
        <v>2048</v>
      </c>
      <c r="AU91" s="108">
        <f xml:space="preserve"> 'T&amp;E'!AU$9</f>
        <v>2049</v>
      </c>
      <c r="AV91" s="108">
        <f xml:space="preserve"> 'T&amp;E'!AV$9</f>
        <v>2050</v>
      </c>
    </row>
    <row r="92" spans="1:48" s="70" customFormat="1" ht="15" customHeight="1">
      <c r="A92" s="195"/>
      <c r="B92" s="195"/>
      <c r="C92" s="196"/>
      <c r="E92" s="70" t="str">
        <f xml:space="preserve"> Metalkol_Model1!E$174</f>
        <v>Copper gross revenue (at realized prices)</v>
      </c>
      <c r="F92" s="70">
        <f xml:space="preserve"> Metalkol_Model1!F$174</f>
        <v>0</v>
      </c>
      <c r="G92" s="70" t="str">
        <f xml:space="preserve"> Metalkol_Model1!G$174</f>
        <v>$ mn</v>
      </c>
      <c r="H92" s="70">
        <f xml:space="preserve"> Metalkol_Model1!H$174</f>
        <v>0</v>
      </c>
      <c r="I92" s="70">
        <f xml:space="preserve"> Metalkol_Model1!I$174</f>
        <v>0</v>
      </c>
      <c r="J92" s="70">
        <f xml:space="preserve"> Metalkol_Model1!J$174</f>
        <v>11467.694807333486</v>
      </c>
      <c r="K92" s="70">
        <f xml:space="preserve"> Metalkol_Model1!K$174</f>
        <v>0</v>
      </c>
      <c r="L92" s="70">
        <f xml:space="preserve"> Metalkol_Model1!L$174</f>
        <v>0</v>
      </c>
      <c r="M92" s="70">
        <f xml:space="preserve"> Metalkol_Model1!M$174</f>
        <v>0</v>
      </c>
      <c r="N92" s="70">
        <f xml:space="preserve"> Metalkol_Model1!N$174</f>
        <v>0</v>
      </c>
      <c r="O92" s="70">
        <f xml:space="preserve"> Metalkol_Model1!O$174</f>
        <v>0</v>
      </c>
      <c r="P92" s="70">
        <f xml:space="preserve"> Metalkol_Model1!P$174</f>
        <v>56.882825869581119</v>
      </c>
      <c r="Q92" s="70">
        <f xml:space="preserve"> Metalkol_Model1!Q$174</f>
        <v>537.90040239011887</v>
      </c>
      <c r="R92" s="70">
        <f xml:space="preserve"> Metalkol_Model1!R$174</f>
        <v>466.86178216090872</v>
      </c>
      <c r="S92" s="70">
        <f xml:space="preserve"> Metalkol_Model1!S$174</f>
        <v>846.94161577854641</v>
      </c>
      <c r="T92" s="70">
        <f xml:space="preserve"> Metalkol_Model1!T$174</f>
        <v>827.43128123694396</v>
      </c>
      <c r="U92" s="70">
        <f xml:space="preserve"> Metalkol_Model1!U$174</f>
        <v>827.53678415828165</v>
      </c>
      <c r="V92" s="70">
        <f xml:space="preserve"> Metalkol_Model1!V$174</f>
        <v>855.37158418205354</v>
      </c>
      <c r="W92" s="70">
        <f xml:space="preserve"> Metalkol_Model1!W$174</f>
        <v>870.43262455927129</v>
      </c>
      <c r="X92" s="70">
        <f xml:space="preserve"> Metalkol_Model1!X$174</f>
        <v>871.18297689339511</v>
      </c>
      <c r="Y92" s="70">
        <f xml:space="preserve"> Metalkol_Model1!Y$174</f>
        <v>878.19958614320012</v>
      </c>
      <c r="Z92" s="70">
        <f xml:space="preserve"> Metalkol_Model1!Z$174</f>
        <v>869.03680141350003</v>
      </c>
      <c r="AA92" s="70">
        <f xml:space="preserve"> Metalkol_Model1!AA$174</f>
        <v>864.81700401760008</v>
      </c>
      <c r="AB92" s="70">
        <f xml:space="preserve"> Metalkol_Model1!AB$174</f>
        <v>890.0243598372424</v>
      </c>
      <c r="AC92" s="70">
        <f xml:space="preserve"> Metalkol_Model1!AC$174</f>
        <v>904.18180084522714</v>
      </c>
      <c r="AD92" s="70">
        <f xml:space="preserve"> Metalkol_Model1!AD$174</f>
        <v>900.89337784761744</v>
      </c>
      <c r="AE92" s="70">
        <f xml:space="preserve"> Metalkol_Model1!AE$174</f>
        <v>0</v>
      </c>
      <c r="AF92" s="70">
        <f xml:space="preserve"> Metalkol_Model1!AF$174</f>
        <v>0</v>
      </c>
      <c r="AG92" s="70">
        <f xml:space="preserve"> Metalkol_Model1!AG$174</f>
        <v>0</v>
      </c>
      <c r="AH92" s="70">
        <f xml:space="preserve"> Metalkol_Model1!AH$174</f>
        <v>0</v>
      </c>
      <c r="AI92" s="70">
        <f xml:space="preserve"> Metalkol_Model1!AI$174</f>
        <v>0</v>
      </c>
      <c r="AJ92" s="70">
        <f xml:space="preserve"> Metalkol_Model1!AJ$174</f>
        <v>0</v>
      </c>
      <c r="AK92" s="70">
        <f xml:space="preserve"> Metalkol_Model1!AK$174</f>
        <v>0</v>
      </c>
      <c r="AL92" s="70">
        <f xml:space="preserve"> Metalkol_Model1!AL$174</f>
        <v>0</v>
      </c>
      <c r="AM92" s="70">
        <f xml:space="preserve"> Metalkol_Model1!AM$174</f>
        <v>0</v>
      </c>
      <c r="AN92" s="70">
        <f xml:space="preserve"> Metalkol_Model1!AN$174</f>
        <v>0</v>
      </c>
      <c r="AO92" s="70">
        <f xml:space="preserve"> Metalkol_Model1!AO$174</f>
        <v>0</v>
      </c>
      <c r="AP92" s="70">
        <f xml:space="preserve"> Metalkol_Model1!AP$174</f>
        <v>0</v>
      </c>
      <c r="AQ92" s="70">
        <f xml:space="preserve"> Metalkol_Model1!AQ$174</f>
        <v>0</v>
      </c>
      <c r="AR92" s="70">
        <f xml:space="preserve"> Metalkol_Model1!AR$174</f>
        <v>0</v>
      </c>
      <c r="AS92" s="70">
        <f xml:space="preserve"> Metalkol_Model1!AS$174</f>
        <v>0</v>
      </c>
      <c r="AT92" s="70">
        <f xml:space="preserve"> Metalkol_Model1!AT$174</f>
        <v>0</v>
      </c>
      <c r="AU92" s="70">
        <f xml:space="preserve"> Metalkol_Model1!AU$174</f>
        <v>0</v>
      </c>
      <c r="AV92" s="70">
        <f xml:space="preserve"> Metalkol_Model1!AV$174</f>
        <v>0</v>
      </c>
    </row>
    <row r="93" spans="1:48" ht="15" customHeight="1">
      <c r="E93" s="70" t="str">
        <f xml:space="preserve"> Metalkol_Model1!E$184</f>
        <v>Cobalt gross revenue (at realized prices)</v>
      </c>
      <c r="F93" s="70">
        <f xml:space="preserve"> Metalkol_Model1!F$184</f>
        <v>0</v>
      </c>
      <c r="G93" s="70" t="str">
        <f xml:space="preserve"> Metalkol_Model1!G$184</f>
        <v>$ mn</v>
      </c>
      <c r="H93" s="70">
        <f xml:space="preserve"> Metalkol_Model1!H$184</f>
        <v>0</v>
      </c>
      <c r="I93" s="70">
        <f xml:space="preserve"> Metalkol_Model1!I$184</f>
        <v>0</v>
      </c>
      <c r="J93" s="70">
        <f xml:space="preserve"> Metalkol_Model1!J$184</f>
        <v>7544.2272910711363</v>
      </c>
      <c r="K93" s="70">
        <f xml:space="preserve"> Metalkol_Model1!K$184</f>
        <v>0</v>
      </c>
      <c r="L93" s="70">
        <f xml:space="preserve"> Metalkol_Model1!L$184</f>
        <v>0</v>
      </c>
      <c r="M93" s="70">
        <f xml:space="preserve"> Metalkol_Model1!M$184</f>
        <v>0</v>
      </c>
      <c r="N93" s="70">
        <f xml:space="preserve"> Metalkol_Model1!N$184</f>
        <v>0</v>
      </c>
      <c r="O93" s="70">
        <f xml:space="preserve"> Metalkol_Model1!O$184</f>
        <v>0</v>
      </c>
      <c r="P93" s="70">
        <f xml:space="preserve"> Metalkol_Model1!P$184</f>
        <v>10.253428059846346</v>
      </c>
      <c r="Q93" s="70">
        <f xml:space="preserve"> Metalkol_Model1!Q$184</f>
        <v>408.69518197966062</v>
      </c>
      <c r="R93" s="70">
        <f xml:space="preserve"> Metalkol_Model1!R$184</f>
        <v>334.11109565874864</v>
      </c>
      <c r="S93" s="70">
        <f xml:space="preserve"> Metalkol_Model1!S$184</f>
        <v>707.98561665940747</v>
      </c>
      <c r="T93" s="70">
        <f xml:space="preserve"> Metalkol_Model1!T$184</f>
        <v>962.82272674877015</v>
      </c>
      <c r="U93" s="70">
        <f xml:space="preserve"> Metalkol_Model1!U$184</f>
        <v>459.45869682312974</v>
      </c>
      <c r="V93" s="70">
        <f xml:space="preserve"> Metalkol_Model1!V$184</f>
        <v>342.2851374481404</v>
      </c>
      <c r="W93" s="70">
        <f xml:space="preserve"> Metalkol_Model1!W$184</f>
        <v>533.32637908197103</v>
      </c>
      <c r="X93" s="70">
        <f xml:space="preserve"> Metalkol_Model1!X$184</f>
        <v>519.95175299846198</v>
      </c>
      <c r="Y93" s="70">
        <f xml:space="preserve"> Metalkol_Model1!Y$184</f>
        <v>491.01727649102816</v>
      </c>
      <c r="Z93" s="70">
        <f xml:space="preserve"> Metalkol_Model1!Z$184</f>
        <v>529.29819445445742</v>
      </c>
      <c r="AA93" s="70">
        <f xml:space="preserve"> Metalkol_Model1!AA$184</f>
        <v>528.53468233551689</v>
      </c>
      <c r="AB93" s="70">
        <f xml:space="preserve"> Metalkol_Model1!AB$184</f>
        <v>510.64196185793799</v>
      </c>
      <c r="AC93" s="70">
        <f xml:space="preserve"> Metalkol_Model1!AC$184</f>
        <v>586.28641494261217</v>
      </c>
      <c r="AD93" s="70">
        <f xml:space="preserve"> Metalkol_Model1!AD$184</f>
        <v>619.55874553144668</v>
      </c>
      <c r="AE93" s="70">
        <f xml:space="preserve"> Metalkol_Model1!AE$184</f>
        <v>0</v>
      </c>
      <c r="AF93" s="70">
        <f xml:space="preserve"> Metalkol_Model1!AF$184</f>
        <v>0</v>
      </c>
      <c r="AG93" s="70">
        <f xml:space="preserve"> Metalkol_Model1!AG$184</f>
        <v>0</v>
      </c>
      <c r="AH93" s="70">
        <f xml:space="preserve"> Metalkol_Model1!AH$184</f>
        <v>0</v>
      </c>
      <c r="AI93" s="70">
        <f xml:space="preserve"> Metalkol_Model1!AI$184</f>
        <v>0</v>
      </c>
      <c r="AJ93" s="70">
        <f xml:space="preserve"> Metalkol_Model1!AJ$184</f>
        <v>0</v>
      </c>
      <c r="AK93" s="70">
        <f xml:space="preserve"> Metalkol_Model1!AK$184</f>
        <v>0</v>
      </c>
      <c r="AL93" s="70">
        <f xml:space="preserve"> Metalkol_Model1!AL$184</f>
        <v>0</v>
      </c>
      <c r="AM93" s="70">
        <f xml:space="preserve"> Metalkol_Model1!AM$184</f>
        <v>0</v>
      </c>
      <c r="AN93" s="70">
        <f xml:space="preserve"> Metalkol_Model1!AN$184</f>
        <v>0</v>
      </c>
      <c r="AO93" s="70">
        <f xml:space="preserve"> Metalkol_Model1!AO$184</f>
        <v>0</v>
      </c>
      <c r="AP93" s="70">
        <f xml:space="preserve"> Metalkol_Model1!AP$184</f>
        <v>0</v>
      </c>
      <c r="AQ93" s="70">
        <f xml:space="preserve"> Metalkol_Model1!AQ$184</f>
        <v>0</v>
      </c>
      <c r="AR93" s="70">
        <f xml:space="preserve"> Metalkol_Model1!AR$184</f>
        <v>0</v>
      </c>
      <c r="AS93" s="70">
        <f xml:space="preserve"> Metalkol_Model1!AS$184</f>
        <v>0</v>
      </c>
      <c r="AT93" s="70">
        <f xml:space="preserve"> Metalkol_Model1!AT$184</f>
        <v>0</v>
      </c>
      <c r="AU93" s="70">
        <f xml:space="preserve"> Metalkol_Model1!AU$184</f>
        <v>0</v>
      </c>
      <c r="AV93" s="70">
        <f xml:space="preserve"> Metalkol_Model1!AV$184</f>
        <v>0</v>
      </c>
    </row>
    <row r="95" spans="1:48" s="70" customFormat="1" ht="15" customHeight="1">
      <c r="A95" s="195"/>
      <c r="B95" s="195"/>
      <c r="C95" s="196"/>
      <c r="E95" s="70" t="str">
        <f xml:space="preserve"> Metalkol_Model1!E$211</f>
        <v>Realization costs Cu and Co</v>
      </c>
      <c r="F95" s="70">
        <f xml:space="preserve"> Metalkol_Model1!F$211</f>
        <v>0</v>
      </c>
      <c r="G95" s="70" t="str">
        <f xml:space="preserve"> Metalkol_Model1!G$211</f>
        <v>$ mn</v>
      </c>
      <c r="H95" s="70">
        <f xml:space="preserve"> Metalkol_Model1!H$211</f>
        <v>0</v>
      </c>
      <c r="I95" s="70">
        <f xml:space="preserve"> Metalkol_Model1!I$211</f>
        <v>0</v>
      </c>
      <c r="J95" s="70">
        <f xml:space="preserve"> Metalkol_Model1!J$211</f>
        <v>0</v>
      </c>
      <c r="K95" s="70">
        <f xml:space="preserve"> Metalkol_Model1!K$211</f>
        <v>0</v>
      </c>
      <c r="L95" s="70">
        <f xml:space="preserve"> Metalkol_Model1!L$211</f>
        <v>0</v>
      </c>
      <c r="M95" s="70">
        <f xml:space="preserve"> Metalkol_Model1!M$211</f>
        <v>0</v>
      </c>
      <c r="N95" s="70">
        <f xml:space="preserve"> Metalkol_Model1!N$211</f>
        <v>0</v>
      </c>
      <c r="O95" s="70">
        <f xml:space="preserve"> Metalkol_Model1!O$211</f>
        <v>0</v>
      </c>
      <c r="P95" s="70">
        <f xml:space="preserve"> Metalkol_Model1!P$211</f>
        <v>0</v>
      </c>
      <c r="Q95" s="70">
        <f xml:space="preserve"> Metalkol_Model1!Q$211</f>
        <v>0</v>
      </c>
      <c r="R95" s="70">
        <f xml:space="preserve"> Metalkol_Model1!R$211</f>
        <v>0</v>
      </c>
      <c r="S95" s="70">
        <f xml:space="preserve"> Metalkol_Model1!S$211</f>
        <v>0</v>
      </c>
      <c r="T95" s="70">
        <f xml:space="preserve"> Metalkol_Model1!T$211</f>
        <v>0</v>
      </c>
      <c r="U95" s="70">
        <f xml:space="preserve"> Metalkol_Model1!U$211</f>
        <v>0</v>
      </c>
      <c r="V95" s="70">
        <f xml:space="preserve"> Metalkol_Model1!V$211</f>
        <v>0</v>
      </c>
      <c r="W95" s="70">
        <f xml:space="preserve"> Metalkol_Model1!W$211</f>
        <v>0</v>
      </c>
      <c r="X95" s="70">
        <f xml:space="preserve"> Metalkol_Model1!X$211</f>
        <v>0</v>
      </c>
      <c r="Y95" s="70">
        <f xml:space="preserve"> Metalkol_Model1!Y$211</f>
        <v>0</v>
      </c>
      <c r="Z95" s="70">
        <f xml:space="preserve"> Metalkol_Model1!Z$211</f>
        <v>0</v>
      </c>
      <c r="AA95" s="70">
        <f xml:space="preserve"> Metalkol_Model1!AA$211</f>
        <v>0</v>
      </c>
      <c r="AB95" s="70">
        <f xml:space="preserve"> Metalkol_Model1!AB$211</f>
        <v>0</v>
      </c>
      <c r="AC95" s="70">
        <f xml:space="preserve"> Metalkol_Model1!AC$211</f>
        <v>0</v>
      </c>
      <c r="AD95" s="70">
        <f xml:space="preserve"> Metalkol_Model1!AD$211</f>
        <v>0</v>
      </c>
      <c r="AE95" s="70">
        <f xml:space="preserve"> Metalkol_Model1!AE$211</f>
        <v>0</v>
      </c>
      <c r="AF95" s="70">
        <f xml:space="preserve"> Metalkol_Model1!AF$211</f>
        <v>0</v>
      </c>
      <c r="AG95" s="70">
        <f xml:space="preserve"> Metalkol_Model1!AG$211</f>
        <v>0</v>
      </c>
      <c r="AH95" s="70">
        <f xml:space="preserve"> Metalkol_Model1!AH$211</f>
        <v>0</v>
      </c>
      <c r="AI95" s="70">
        <f xml:space="preserve"> Metalkol_Model1!AI$211</f>
        <v>0</v>
      </c>
      <c r="AJ95" s="70">
        <f xml:space="preserve"> Metalkol_Model1!AJ$211</f>
        <v>0</v>
      </c>
      <c r="AK95" s="70">
        <f xml:space="preserve"> Metalkol_Model1!AK$211</f>
        <v>0</v>
      </c>
      <c r="AL95" s="70">
        <f xml:space="preserve"> Metalkol_Model1!AL$211</f>
        <v>0</v>
      </c>
      <c r="AM95" s="70">
        <f xml:space="preserve"> Metalkol_Model1!AM$211</f>
        <v>0</v>
      </c>
      <c r="AN95" s="70">
        <f xml:space="preserve"> Metalkol_Model1!AN$211</f>
        <v>0</v>
      </c>
      <c r="AO95" s="70">
        <f xml:space="preserve"> Metalkol_Model1!AO$211</f>
        <v>0</v>
      </c>
      <c r="AP95" s="70">
        <f xml:space="preserve"> Metalkol_Model1!AP$211</f>
        <v>0</v>
      </c>
      <c r="AQ95" s="70">
        <f xml:space="preserve"> Metalkol_Model1!AQ$211</f>
        <v>0</v>
      </c>
      <c r="AR95" s="70">
        <f xml:space="preserve"> Metalkol_Model1!AR$211</f>
        <v>0</v>
      </c>
      <c r="AS95" s="70">
        <f xml:space="preserve"> Metalkol_Model1!AS$211</f>
        <v>0</v>
      </c>
      <c r="AT95" s="70">
        <f xml:space="preserve"> Metalkol_Model1!AT$211</f>
        <v>0</v>
      </c>
      <c r="AU95" s="70">
        <f xml:space="preserve"> Metalkol_Model1!AU$211</f>
        <v>0</v>
      </c>
      <c r="AV95" s="70">
        <f xml:space="preserve"> Metalkol_Model1!AV$211</f>
        <v>0</v>
      </c>
    </row>
    <row r="96" spans="1:48" s="70" customFormat="1" ht="15" customHeight="1">
      <c r="A96" s="195"/>
      <c r="B96" s="195"/>
      <c r="C96" s="196"/>
      <c r="E96" s="70" t="str">
        <f xml:space="preserve"> Metalkol_Model1!E$365</f>
        <v>Operating costs, including Sens.</v>
      </c>
      <c r="F96" s="70">
        <f xml:space="preserve"> Metalkol_Model1!F$365</f>
        <v>0</v>
      </c>
      <c r="G96" s="70" t="str">
        <f xml:space="preserve"> Metalkol_Model1!G$365</f>
        <v>$ mn</v>
      </c>
      <c r="H96" s="70">
        <f xml:space="preserve"> Metalkol_Model1!H$365</f>
        <v>0</v>
      </c>
      <c r="I96" s="70">
        <f xml:space="preserve"> Metalkol_Model1!I$365</f>
        <v>0</v>
      </c>
      <c r="J96" s="70">
        <f xml:space="preserve"> Metalkol_Model1!J$365</f>
        <v>14098.626908392755</v>
      </c>
      <c r="K96" s="70">
        <f xml:space="preserve"> Metalkol_Model1!K$365</f>
        <v>0</v>
      </c>
      <c r="L96" s="70">
        <f xml:space="preserve"> Metalkol_Model1!L$365</f>
        <v>0</v>
      </c>
      <c r="M96" s="70">
        <f xml:space="preserve"> Metalkol_Model1!M$365</f>
        <v>0</v>
      </c>
      <c r="N96" s="70">
        <f xml:space="preserve"> Metalkol_Model1!N$365</f>
        <v>0</v>
      </c>
      <c r="O96" s="70">
        <f xml:space="preserve"> Metalkol_Model1!O$365</f>
        <v>0</v>
      </c>
      <c r="P96" s="70">
        <f xml:space="preserve"> Metalkol_Model1!P$365</f>
        <v>46.775406120166977</v>
      </c>
      <c r="Q96" s="70">
        <f xml:space="preserve"> Metalkol_Model1!Q$365</f>
        <v>565.92033188147025</v>
      </c>
      <c r="R96" s="70">
        <f xml:space="preserve"> Metalkol_Model1!R$365</f>
        <v>432.34975533242329</v>
      </c>
      <c r="S96" s="70">
        <f xml:space="preserve"> Metalkol_Model1!S$365</f>
        <v>563.86968273401851</v>
      </c>
      <c r="T96" s="70">
        <f xml:space="preserve"> Metalkol_Model1!T$365</f>
        <v>806.95561953116135</v>
      </c>
      <c r="U96" s="70">
        <f xml:space="preserve"> Metalkol_Model1!U$365</f>
        <v>980.90533653037528</v>
      </c>
      <c r="V96" s="70">
        <f xml:space="preserve"> Metalkol_Model1!V$365</f>
        <v>1045.4432218671402</v>
      </c>
      <c r="W96" s="70">
        <f xml:space="preserve"> Metalkol_Model1!W$365</f>
        <v>1199.2561401587307</v>
      </c>
      <c r="X96" s="70">
        <f xml:space="preserve"> Metalkol_Model1!X$365</f>
        <v>1235.2970237000936</v>
      </c>
      <c r="Y96" s="70">
        <f xml:space="preserve"> Metalkol_Model1!Y$365</f>
        <v>1125.1808936331668</v>
      </c>
      <c r="Z96" s="70">
        <f xml:space="preserve"> Metalkol_Model1!Z$365</f>
        <v>1134.5764767086639</v>
      </c>
      <c r="AA96" s="70">
        <f xml:space="preserve"> Metalkol_Model1!AA$365</f>
        <v>1178.5061704732586</v>
      </c>
      <c r="AB96" s="70">
        <f xml:space="preserve"> Metalkol_Model1!AB$365</f>
        <v>1177.3476157134869</v>
      </c>
      <c r="AC96" s="70">
        <f xml:space="preserve"> Metalkol_Model1!AC$365</f>
        <v>1274.2426194881346</v>
      </c>
      <c r="AD96" s="70">
        <f xml:space="preserve"> Metalkol_Model1!AD$365</f>
        <v>1332.0006145204636</v>
      </c>
      <c r="AE96" s="70">
        <f xml:space="preserve"> Metalkol_Model1!AE$365</f>
        <v>0</v>
      </c>
      <c r="AF96" s="70">
        <f xml:space="preserve"> Metalkol_Model1!AF$365</f>
        <v>0</v>
      </c>
      <c r="AG96" s="70">
        <f xml:space="preserve"> Metalkol_Model1!AG$365</f>
        <v>0</v>
      </c>
      <c r="AH96" s="70">
        <f xml:space="preserve"> Metalkol_Model1!AH$365</f>
        <v>0</v>
      </c>
      <c r="AI96" s="70">
        <f xml:space="preserve"> Metalkol_Model1!AI$365</f>
        <v>0</v>
      </c>
      <c r="AJ96" s="70">
        <f xml:space="preserve"> Metalkol_Model1!AJ$365</f>
        <v>0</v>
      </c>
      <c r="AK96" s="70">
        <f xml:space="preserve"> Metalkol_Model1!AK$365</f>
        <v>0</v>
      </c>
      <c r="AL96" s="70">
        <f xml:space="preserve"> Metalkol_Model1!AL$365</f>
        <v>0</v>
      </c>
      <c r="AM96" s="70">
        <f xml:space="preserve"> Metalkol_Model1!AM$365</f>
        <v>0</v>
      </c>
      <c r="AN96" s="70">
        <f xml:space="preserve"> Metalkol_Model1!AN$365</f>
        <v>0</v>
      </c>
      <c r="AO96" s="70">
        <f xml:space="preserve"> Metalkol_Model1!AO$365</f>
        <v>0</v>
      </c>
      <c r="AP96" s="70">
        <f xml:space="preserve"> Metalkol_Model1!AP$365</f>
        <v>0</v>
      </c>
      <c r="AQ96" s="70">
        <f xml:space="preserve"> Metalkol_Model1!AQ$365</f>
        <v>0</v>
      </c>
      <c r="AR96" s="70">
        <f xml:space="preserve"> Metalkol_Model1!AR$365</f>
        <v>0</v>
      </c>
      <c r="AS96" s="70">
        <f xml:space="preserve"> Metalkol_Model1!AS$365</f>
        <v>0</v>
      </c>
      <c r="AT96" s="70">
        <f xml:space="preserve"> Metalkol_Model1!AT$365</f>
        <v>0</v>
      </c>
      <c r="AU96" s="70">
        <f xml:space="preserve"> Metalkol_Model1!AU$365</f>
        <v>0</v>
      </c>
      <c r="AV96" s="70">
        <f xml:space="preserve"> Metalkol_Model1!AV$365</f>
        <v>0</v>
      </c>
    </row>
    <row r="97" spans="1:48" s="70" customFormat="1" ht="15" customHeight="1">
      <c r="A97" s="195"/>
      <c r="B97" s="195"/>
      <c r="C97" s="196"/>
      <c r="E97" s="70" t="str">
        <f xml:space="preserve"> Metalkol_Model1!E$410</f>
        <v>Capital Costs inc. Sens.</v>
      </c>
      <c r="F97" s="70">
        <f xml:space="preserve"> Metalkol_Model1!F$410</f>
        <v>0</v>
      </c>
      <c r="G97" s="70" t="str">
        <f xml:space="preserve"> Metalkol_Model1!G$410</f>
        <v>$ mn</v>
      </c>
      <c r="H97" s="70">
        <f xml:space="preserve"> Metalkol_Model1!H$410</f>
        <v>0</v>
      </c>
      <c r="I97" s="70">
        <f xml:space="preserve"> Metalkol_Model1!I$410</f>
        <v>0</v>
      </c>
      <c r="J97" s="70">
        <f xml:space="preserve"> Metalkol_Model1!J$410</f>
        <v>1501.9969697316285</v>
      </c>
      <c r="K97" s="70">
        <f xml:space="preserve"> Metalkol_Model1!K$410</f>
        <v>0</v>
      </c>
      <c r="L97" s="70">
        <f xml:space="preserve"> Metalkol_Model1!L$410</f>
        <v>0</v>
      </c>
      <c r="M97" s="70">
        <f xml:space="preserve"> Metalkol_Model1!M$410</f>
        <v>0</v>
      </c>
      <c r="N97" s="70">
        <f xml:space="preserve"> Metalkol_Model1!N$410</f>
        <v>0</v>
      </c>
      <c r="O97" s="70">
        <f xml:space="preserve"> Metalkol_Model1!O$410</f>
        <v>0</v>
      </c>
      <c r="P97" s="70">
        <f xml:space="preserve"> Metalkol_Model1!P$410</f>
        <v>1010.1999999999999</v>
      </c>
      <c r="Q97" s="70">
        <f xml:space="preserve"> Metalkol_Model1!Q$410</f>
        <v>175.6</v>
      </c>
      <c r="R97" s="70">
        <f xml:space="preserve"> Metalkol_Model1!R$410</f>
        <v>59.637940489648081</v>
      </c>
      <c r="S97" s="70">
        <f xml:space="preserve"> Metalkol_Model1!S$410</f>
        <v>19.714240787317188</v>
      </c>
      <c r="T97" s="70">
        <f xml:space="preserve"> Metalkol_Model1!T$410</f>
        <v>22.205587260857488</v>
      </c>
      <c r="U97" s="70">
        <f xml:space="preserve"> Metalkol_Model1!U$410</f>
        <v>7.270379772582368</v>
      </c>
      <c r="V97" s="70">
        <f xml:space="preserve"> Metalkol_Model1!V$410</f>
        <v>32.762129135977283</v>
      </c>
      <c r="W97" s="70">
        <f xml:space="preserve"> Metalkol_Model1!W$410</f>
        <v>14.785349673189831</v>
      </c>
      <c r="X97" s="70">
        <f xml:space="preserve"> Metalkol_Model1!X$410</f>
        <v>37.291985621134906</v>
      </c>
      <c r="Y97" s="70">
        <f xml:space="preserve"> Metalkol_Model1!Y$410</f>
        <v>11.106368397789192</v>
      </c>
      <c r="Z97" s="70">
        <f xml:space="preserve"> Metalkol_Model1!Z$410</f>
        <v>24.717558956867318</v>
      </c>
      <c r="AA97" s="70">
        <f xml:space="preserve"> Metalkol_Model1!AA$410</f>
        <v>10.625875307545776</v>
      </c>
      <c r="AB97" s="70">
        <f xml:space="preserve"> Metalkol_Model1!AB$410</f>
        <v>47.657903486366287</v>
      </c>
      <c r="AC97" s="70">
        <f xml:space="preserve"> Metalkol_Model1!AC$410</f>
        <v>9.2044613597337044</v>
      </c>
      <c r="AD97" s="70">
        <f xml:space="preserve"> Metalkol_Model1!AD$410</f>
        <v>19.217189482619023</v>
      </c>
      <c r="AE97" s="70">
        <f xml:space="preserve"> Metalkol_Model1!AE$410</f>
        <v>0</v>
      </c>
      <c r="AF97" s="70">
        <f xml:space="preserve"> Metalkol_Model1!AF$410</f>
        <v>0</v>
      </c>
      <c r="AG97" s="70">
        <f xml:space="preserve"> Metalkol_Model1!AG$410</f>
        <v>0</v>
      </c>
      <c r="AH97" s="70">
        <f xml:space="preserve"> Metalkol_Model1!AH$410</f>
        <v>0</v>
      </c>
      <c r="AI97" s="70">
        <f xml:space="preserve"> Metalkol_Model1!AI$410</f>
        <v>0</v>
      </c>
      <c r="AJ97" s="70">
        <f xml:space="preserve"> Metalkol_Model1!AJ$410</f>
        <v>0</v>
      </c>
      <c r="AK97" s="70">
        <f xml:space="preserve"> Metalkol_Model1!AK$410</f>
        <v>0</v>
      </c>
      <c r="AL97" s="70">
        <f xml:space="preserve"> Metalkol_Model1!AL$410</f>
        <v>0</v>
      </c>
      <c r="AM97" s="70">
        <f xml:space="preserve"> Metalkol_Model1!AM$410</f>
        <v>0</v>
      </c>
      <c r="AN97" s="70">
        <f xml:space="preserve"> Metalkol_Model1!AN$410</f>
        <v>0</v>
      </c>
      <c r="AO97" s="70">
        <f xml:space="preserve"> Metalkol_Model1!AO$410</f>
        <v>0</v>
      </c>
      <c r="AP97" s="70">
        <f xml:space="preserve"> Metalkol_Model1!AP$410</f>
        <v>0</v>
      </c>
      <c r="AQ97" s="70">
        <f xml:space="preserve"> Metalkol_Model1!AQ$410</f>
        <v>0</v>
      </c>
      <c r="AR97" s="70">
        <f xml:space="preserve"> Metalkol_Model1!AR$410</f>
        <v>0</v>
      </c>
      <c r="AS97" s="70">
        <f xml:space="preserve"> Metalkol_Model1!AS$410</f>
        <v>0</v>
      </c>
      <c r="AT97" s="70">
        <f xml:space="preserve"> Metalkol_Model1!AT$410</f>
        <v>0</v>
      </c>
      <c r="AU97" s="70">
        <f xml:space="preserve"> Metalkol_Model1!AU$410</f>
        <v>0</v>
      </c>
      <c r="AV97" s="70">
        <f xml:space="preserve"> Metalkol_Model1!AV$410</f>
        <v>0</v>
      </c>
    </row>
    <row r="98" spans="1:48" s="70" customFormat="1" ht="15" customHeight="1">
      <c r="A98" s="195"/>
      <c r="B98" s="195"/>
      <c r="C98" s="196"/>
    </row>
    <row r="99" spans="1:48" ht="15" customHeight="1">
      <c r="E99" s="70" t="str">
        <f xml:space="preserve"> Metalkol_Model1!E$800</f>
        <v>Project cashflows before tax</v>
      </c>
      <c r="F99" s="70">
        <f xml:space="preserve"> Metalkol_Model1!F$800</f>
        <v>0</v>
      </c>
      <c r="G99" s="70" t="str">
        <f xml:space="preserve"> Metalkol_Model1!G$800</f>
        <v>$ mn</v>
      </c>
      <c r="H99" s="70">
        <f xml:space="preserve"> Metalkol_Model1!H$800</f>
        <v>0</v>
      </c>
      <c r="I99" s="70">
        <f xml:space="preserve"> Metalkol_Model1!I$800</f>
        <v>0</v>
      </c>
      <c r="J99" s="70">
        <f xml:space="preserve"> Metalkol_Model1!J$800</f>
        <v>7602.4719981898188</v>
      </c>
      <c r="K99" s="70">
        <f xml:space="preserve"> Metalkol_Model1!K$800</f>
        <v>0</v>
      </c>
      <c r="L99" s="70">
        <f xml:space="preserve"> Metalkol_Model1!L$800</f>
        <v>0</v>
      </c>
      <c r="M99" s="70">
        <f xml:space="preserve"> Metalkol_Model1!M$800</f>
        <v>0</v>
      </c>
      <c r="N99" s="70">
        <f xml:space="preserve"> Metalkol_Model1!N$800</f>
        <v>0</v>
      </c>
      <c r="O99" s="70">
        <f xml:space="preserve"> Metalkol_Model1!O$800</f>
        <v>0</v>
      </c>
      <c r="P99" s="70">
        <f xml:space="preserve"> Metalkol_Model1!P$800</f>
        <v>-943.06374607057251</v>
      </c>
      <c r="Q99" s="70">
        <f xml:space="preserve"> Metalkol_Model1!Q$800</f>
        <v>770.99558436977952</v>
      </c>
      <c r="R99" s="70">
        <f xml:space="preserve"> Metalkol_Model1!R$800</f>
        <v>314.33493733000921</v>
      </c>
      <c r="S99" s="70">
        <f xml:space="preserve"> Metalkol_Model1!S$800</f>
        <v>1003.2129916506368</v>
      </c>
      <c r="T99" s="70">
        <f xml:space="preserve"> Metalkol_Model1!T$800</f>
        <v>1063.0484207248564</v>
      </c>
      <c r="U99" s="70">
        <f xml:space="preserve"> Metalkol_Model1!U$800</f>
        <v>555.43352993011024</v>
      </c>
      <c r="V99" s="70">
        <f xml:space="preserve"> Metalkol_Model1!V$800</f>
        <v>404.33052632425427</v>
      </c>
      <c r="W99" s="70">
        <f xml:space="preserve"> Metalkol_Model1!W$800</f>
        <v>603.51914712237158</v>
      </c>
      <c r="X99" s="70">
        <f xml:space="preserve"> Metalkol_Model1!X$800</f>
        <v>552.92060449538792</v>
      </c>
      <c r="Y99" s="70">
        <f xml:space="preserve"> Metalkol_Model1!Y$800</f>
        <v>541.23665696978128</v>
      </c>
      <c r="Z99" s="70">
        <f xml:space="preserve"> Metalkol_Model1!Z$800</f>
        <v>535.78080999474901</v>
      </c>
      <c r="AA99" s="70">
        <f xml:space="preserve"> Metalkol_Model1!AA$800</f>
        <v>531.50535740522753</v>
      </c>
      <c r="AB99" s="70">
        <f xml:space="preserve"> Metalkol_Model1!AB$800</f>
        <v>486.3857379523771</v>
      </c>
      <c r="AC99" s="70">
        <f xml:space="preserve"> Metalkol_Model1!AC$800</f>
        <v>584.03809811517249</v>
      </c>
      <c r="AD99" s="70">
        <f xml:space="preserve"> Metalkol_Model1!AD$800</f>
        <v>598.7933418756794</v>
      </c>
      <c r="AE99" s="70">
        <f xml:space="preserve"> Metalkol_Model1!AE$800</f>
        <v>0</v>
      </c>
      <c r="AF99" s="70">
        <f xml:space="preserve"> Metalkol_Model1!AF$800</f>
        <v>0</v>
      </c>
      <c r="AG99" s="70">
        <f xml:space="preserve"> Metalkol_Model1!AG$800</f>
        <v>0</v>
      </c>
      <c r="AH99" s="70">
        <f xml:space="preserve"> Metalkol_Model1!AH$800</f>
        <v>0</v>
      </c>
      <c r="AI99" s="70">
        <f xml:space="preserve"> Metalkol_Model1!AI$800</f>
        <v>0</v>
      </c>
      <c r="AJ99" s="70">
        <f xml:space="preserve"> Metalkol_Model1!AJ$800</f>
        <v>0</v>
      </c>
      <c r="AK99" s="70">
        <f xml:space="preserve"> Metalkol_Model1!AK$800</f>
        <v>0</v>
      </c>
      <c r="AL99" s="70">
        <f xml:space="preserve"> Metalkol_Model1!AL$800</f>
        <v>0</v>
      </c>
      <c r="AM99" s="70">
        <f xml:space="preserve"> Metalkol_Model1!AM$800</f>
        <v>0</v>
      </c>
      <c r="AN99" s="70">
        <f xml:space="preserve"> Metalkol_Model1!AN$800</f>
        <v>0</v>
      </c>
      <c r="AO99" s="70">
        <f xml:space="preserve"> Metalkol_Model1!AO$800</f>
        <v>0</v>
      </c>
      <c r="AP99" s="70">
        <f xml:space="preserve"> Metalkol_Model1!AP$800</f>
        <v>0</v>
      </c>
      <c r="AQ99" s="70">
        <f xml:space="preserve"> Metalkol_Model1!AQ$800</f>
        <v>0</v>
      </c>
      <c r="AR99" s="70">
        <f xml:space="preserve"> Metalkol_Model1!AR$800</f>
        <v>0</v>
      </c>
      <c r="AS99" s="70">
        <f xml:space="preserve"> Metalkol_Model1!AS$800</f>
        <v>0</v>
      </c>
      <c r="AT99" s="70">
        <f xml:space="preserve"> Metalkol_Model1!AT$800</f>
        <v>0</v>
      </c>
      <c r="AU99" s="70">
        <f xml:space="preserve"> Metalkol_Model1!AU$800</f>
        <v>0</v>
      </c>
      <c r="AV99" s="70">
        <f xml:space="preserve"> Metalkol_Model1!AV$800</f>
        <v>0</v>
      </c>
    </row>
    <row r="101" spans="1:48" ht="15" customHeight="1">
      <c r="E101" s="3" t="str">
        <f xml:space="preserve"> E95</f>
        <v>Realization costs Cu and Co</v>
      </c>
      <c r="G101" s="3" t="str">
        <f xml:space="preserve"> G95</f>
        <v>$ mn</v>
      </c>
      <c r="J101" s="3">
        <f xml:space="preserve"> SUM(L101:AV101)</f>
        <v>0</v>
      </c>
      <c r="L101" s="3">
        <f t="shared" ref="L101:AV101" si="0" xml:space="preserve"> L95 * -1</f>
        <v>0</v>
      </c>
      <c r="M101" s="3">
        <f t="shared" si="0"/>
        <v>0</v>
      </c>
      <c r="N101" s="3">
        <f t="shared" si="0"/>
        <v>0</v>
      </c>
      <c r="O101" s="3">
        <f t="shared" si="0"/>
        <v>0</v>
      </c>
      <c r="P101" s="3">
        <f t="shared" si="0"/>
        <v>0</v>
      </c>
      <c r="Q101" s="3">
        <f t="shared" si="0"/>
        <v>0</v>
      </c>
      <c r="R101" s="3">
        <f t="shared" si="0"/>
        <v>0</v>
      </c>
      <c r="S101" s="3">
        <f t="shared" si="0"/>
        <v>0</v>
      </c>
      <c r="T101" s="3">
        <f t="shared" si="0"/>
        <v>0</v>
      </c>
      <c r="U101" s="3">
        <f t="shared" si="0"/>
        <v>0</v>
      </c>
      <c r="V101" s="3">
        <f t="shared" si="0"/>
        <v>0</v>
      </c>
      <c r="W101" s="3">
        <f t="shared" si="0"/>
        <v>0</v>
      </c>
      <c r="X101" s="3">
        <f t="shared" si="0"/>
        <v>0</v>
      </c>
      <c r="Y101" s="3">
        <f t="shared" si="0"/>
        <v>0</v>
      </c>
      <c r="Z101" s="3">
        <f t="shared" si="0"/>
        <v>0</v>
      </c>
      <c r="AA101" s="3">
        <f t="shared" si="0"/>
        <v>0</v>
      </c>
      <c r="AB101" s="3">
        <f t="shared" si="0"/>
        <v>0</v>
      </c>
      <c r="AC101" s="3">
        <f t="shared" si="0"/>
        <v>0</v>
      </c>
      <c r="AD101" s="3">
        <f t="shared" si="0"/>
        <v>0</v>
      </c>
      <c r="AE101" s="3">
        <f t="shared" si="0"/>
        <v>0</v>
      </c>
      <c r="AF101" s="3">
        <f t="shared" si="0"/>
        <v>0</v>
      </c>
      <c r="AG101" s="3">
        <f t="shared" si="0"/>
        <v>0</v>
      </c>
      <c r="AH101" s="3">
        <f t="shared" si="0"/>
        <v>0</v>
      </c>
      <c r="AI101" s="3">
        <f t="shared" si="0"/>
        <v>0</v>
      </c>
      <c r="AJ101" s="3">
        <f t="shared" si="0"/>
        <v>0</v>
      </c>
      <c r="AK101" s="3">
        <f t="shared" si="0"/>
        <v>0</v>
      </c>
      <c r="AL101" s="3">
        <f t="shared" si="0"/>
        <v>0</v>
      </c>
      <c r="AM101" s="3">
        <f t="shared" si="0"/>
        <v>0</v>
      </c>
      <c r="AN101" s="3">
        <f t="shared" si="0"/>
        <v>0</v>
      </c>
      <c r="AO101" s="3">
        <f t="shared" si="0"/>
        <v>0</v>
      </c>
      <c r="AP101" s="3">
        <f t="shared" si="0"/>
        <v>0</v>
      </c>
      <c r="AQ101" s="3">
        <f t="shared" si="0"/>
        <v>0</v>
      </c>
      <c r="AR101" s="3">
        <f t="shared" si="0"/>
        <v>0</v>
      </c>
      <c r="AS101" s="3">
        <f t="shared" si="0"/>
        <v>0</v>
      </c>
      <c r="AT101" s="3">
        <f t="shared" si="0"/>
        <v>0</v>
      </c>
      <c r="AU101" s="3">
        <f t="shared" si="0"/>
        <v>0</v>
      </c>
      <c r="AV101" s="3">
        <f t="shared" si="0"/>
        <v>0</v>
      </c>
    </row>
    <row r="102" spans="1:48" ht="15" customHeight="1">
      <c r="E102" s="3" t="str">
        <f xml:space="preserve"> E96</f>
        <v>Operating costs, including Sens.</v>
      </c>
      <c r="G102" s="3" t="str">
        <f t="shared" ref="G102:G103" si="1" xml:space="preserve"> G96</f>
        <v>$ mn</v>
      </c>
      <c r="J102" s="3">
        <f t="shared" ref="J102:J103" si="2" xml:space="preserve"> SUM(L102:AV102)</f>
        <v>-14098.626908392755</v>
      </c>
      <c r="L102" s="3">
        <f t="shared" ref="L102:AV102" si="3" xml:space="preserve"> L96 * -1</f>
        <v>0</v>
      </c>
      <c r="M102" s="3">
        <f t="shared" si="3"/>
        <v>0</v>
      </c>
      <c r="N102" s="3">
        <f t="shared" si="3"/>
        <v>0</v>
      </c>
      <c r="O102" s="3">
        <f t="shared" si="3"/>
        <v>0</v>
      </c>
      <c r="P102" s="3">
        <f t="shared" si="3"/>
        <v>-46.775406120166977</v>
      </c>
      <c r="Q102" s="3">
        <f t="shared" si="3"/>
        <v>-565.92033188147025</v>
      </c>
      <c r="R102" s="3">
        <f t="shared" si="3"/>
        <v>-432.34975533242329</v>
      </c>
      <c r="S102" s="3">
        <f t="shared" si="3"/>
        <v>-563.86968273401851</v>
      </c>
      <c r="T102" s="3">
        <f t="shared" si="3"/>
        <v>-806.95561953116135</v>
      </c>
      <c r="U102" s="3">
        <f t="shared" si="3"/>
        <v>-980.90533653037528</v>
      </c>
      <c r="V102" s="3">
        <f t="shared" si="3"/>
        <v>-1045.4432218671402</v>
      </c>
      <c r="W102" s="3">
        <f t="shared" si="3"/>
        <v>-1199.2561401587307</v>
      </c>
      <c r="X102" s="3">
        <f t="shared" si="3"/>
        <v>-1235.2970237000936</v>
      </c>
      <c r="Y102" s="3">
        <f t="shared" si="3"/>
        <v>-1125.1808936331668</v>
      </c>
      <c r="Z102" s="3">
        <f t="shared" si="3"/>
        <v>-1134.5764767086639</v>
      </c>
      <c r="AA102" s="3">
        <f t="shared" si="3"/>
        <v>-1178.5061704732586</v>
      </c>
      <c r="AB102" s="3">
        <f t="shared" si="3"/>
        <v>-1177.3476157134869</v>
      </c>
      <c r="AC102" s="3">
        <f t="shared" si="3"/>
        <v>-1274.2426194881346</v>
      </c>
      <c r="AD102" s="3">
        <f t="shared" si="3"/>
        <v>-1332.0006145204636</v>
      </c>
      <c r="AE102" s="3">
        <f t="shared" si="3"/>
        <v>0</v>
      </c>
      <c r="AF102" s="3">
        <f t="shared" si="3"/>
        <v>0</v>
      </c>
      <c r="AG102" s="3">
        <f t="shared" si="3"/>
        <v>0</v>
      </c>
      <c r="AH102" s="3">
        <f t="shared" si="3"/>
        <v>0</v>
      </c>
      <c r="AI102" s="3">
        <f t="shared" si="3"/>
        <v>0</v>
      </c>
      <c r="AJ102" s="3">
        <f t="shared" si="3"/>
        <v>0</v>
      </c>
      <c r="AK102" s="3">
        <f t="shared" si="3"/>
        <v>0</v>
      </c>
      <c r="AL102" s="3">
        <f t="shared" si="3"/>
        <v>0</v>
      </c>
      <c r="AM102" s="3">
        <f t="shared" si="3"/>
        <v>0</v>
      </c>
      <c r="AN102" s="3">
        <f t="shared" si="3"/>
        <v>0</v>
      </c>
      <c r="AO102" s="3">
        <f t="shared" si="3"/>
        <v>0</v>
      </c>
      <c r="AP102" s="3">
        <f t="shared" si="3"/>
        <v>0</v>
      </c>
      <c r="AQ102" s="3">
        <f t="shared" si="3"/>
        <v>0</v>
      </c>
      <c r="AR102" s="3">
        <f t="shared" si="3"/>
        <v>0</v>
      </c>
      <c r="AS102" s="3">
        <f t="shared" si="3"/>
        <v>0</v>
      </c>
      <c r="AT102" s="3">
        <f t="shared" si="3"/>
        <v>0</v>
      </c>
      <c r="AU102" s="3">
        <f t="shared" si="3"/>
        <v>0</v>
      </c>
      <c r="AV102" s="3">
        <f t="shared" si="3"/>
        <v>0</v>
      </c>
    </row>
    <row r="103" spans="1:48" ht="15" customHeight="1">
      <c r="E103" s="3" t="str">
        <f>E97</f>
        <v>Capital Costs inc. Sens.</v>
      </c>
      <c r="G103" s="3" t="str">
        <f t="shared" si="1"/>
        <v>$ mn</v>
      </c>
      <c r="J103" s="3">
        <f t="shared" si="2"/>
        <v>-1501.9969697316285</v>
      </c>
      <c r="L103" s="3">
        <f t="shared" ref="L103:AV103" si="4" xml:space="preserve"> L97 * -1</f>
        <v>0</v>
      </c>
      <c r="M103" s="3">
        <f t="shared" si="4"/>
        <v>0</v>
      </c>
      <c r="N103" s="3">
        <f t="shared" si="4"/>
        <v>0</v>
      </c>
      <c r="O103" s="3">
        <f t="shared" si="4"/>
        <v>0</v>
      </c>
      <c r="P103" s="3">
        <f t="shared" si="4"/>
        <v>-1010.1999999999999</v>
      </c>
      <c r="Q103" s="3">
        <f t="shared" si="4"/>
        <v>-175.6</v>
      </c>
      <c r="R103" s="3">
        <f t="shared" si="4"/>
        <v>-59.637940489648081</v>
      </c>
      <c r="S103" s="3">
        <f t="shared" si="4"/>
        <v>-19.714240787317188</v>
      </c>
      <c r="T103" s="3">
        <f t="shared" si="4"/>
        <v>-22.205587260857488</v>
      </c>
      <c r="U103" s="3">
        <f t="shared" si="4"/>
        <v>-7.270379772582368</v>
      </c>
      <c r="V103" s="3">
        <f t="shared" si="4"/>
        <v>-32.762129135977283</v>
      </c>
      <c r="W103" s="3">
        <f t="shared" si="4"/>
        <v>-14.785349673189831</v>
      </c>
      <c r="X103" s="3">
        <f t="shared" si="4"/>
        <v>-37.291985621134906</v>
      </c>
      <c r="Y103" s="3">
        <f t="shared" si="4"/>
        <v>-11.106368397789192</v>
      </c>
      <c r="Z103" s="3">
        <f t="shared" si="4"/>
        <v>-24.717558956867318</v>
      </c>
      <c r="AA103" s="3">
        <f t="shared" si="4"/>
        <v>-10.625875307545776</v>
      </c>
      <c r="AB103" s="3">
        <f t="shared" si="4"/>
        <v>-47.657903486366287</v>
      </c>
      <c r="AC103" s="3">
        <f t="shared" si="4"/>
        <v>-9.2044613597337044</v>
      </c>
      <c r="AD103" s="3">
        <f t="shared" si="4"/>
        <v>-19.217189482619023</v>
      </c>
      <c r="AE103" s="3">
        <f t="shared" si="4"/>
        <v>0</v>
      </c>
      <c r="AF103" s="3">
        <f t="shared" si="4"/>
        <v>0</v>
      </c>
      <c r="AG103" s="3">
        <f t="shared" si="4"/>
        <v>0</v>
      </c>
      <c r="AH103" s="3">
        <f t="shared" si="4"/>
        <v>0</v>
      </c>
      <c r="AI103" s="3">
        <f t="shared" si="4"/>
        <v>0</v>
      </c>
      <c r="AJ103" s="3">
        <f t="shared" si="4"/>
        <v>0</v>
      </c>
      <c r="AK103" s="3">
        <f t="shared" si="4"/>
        <v>0</v>
      </c>
      <c r="AL103" s="3">
        <f t="shared" si="4"/>
        <v>0</v>
      </c>
      <c r="AM103" s="3">
        <f t="shared" si="4"/>
        <v>0</v>
      </c>
      <c r="AN103" s="3">
        <f t="shared" si="4"/>
        <v>0</v>
      </c>
      <c r="AO103" s="3">
        <f t="shared" si="4"/>
        <v>0</v>
      </c>
      <c r="AP103" s="3">
        <f t="shared" si="4"/>
        <v>0</v>
      </c>
      <c r="AQ103" s="3">
        <f t="shared" si="4"/>
        <v>0</v>
      </c>
      <c r="AR103" s="3">
        <f t="shared" si="4"/>
        <v>0</v>
      </c>
      <c r="AS103" s="3">
        <f t="shared" si="4"/>
        <v>0</v>
      </c>
      <c r="AT103" s="3">
        <f t="shared" si="4"/>
        <v>0</v>
      </c>
      <c r="AU103" s="3">
        <f t="shared" si="4"/>
        <v>0</v>
      </c>
      <c r="AV103" s="3">
        <f t="shared" si="4"/>
        <v>0</v>
      </c>
    </row>
    <row r="125" spans="1:1" ht="15" customHeight="1">
      <c r="A125" s="407"/>
    </row>
    <row r="131" spans="1:48" s="406" customFormat="1" ht="15" customHeight="1" collapsed="1">
      <c r="A131" s="403" t="s">
        <v>693</v>
      </c>
      <c r="B131" s="404"/>
      <c r="C131" s="405"/>
      <c r="D131" s="404"/>
      <c r="E131" s="404"/>
      <c r="F131" s="404"/>
      <c r="G131" s="404"/>
      <c r="H131" s="404"/>
      <c r="I131" s="404"/>
      <c r="J131" s="404"/>
      <c r="K131" s="404"/>
      <c r="L131" s="404"/>
      <c r="M131" s="404"/>
      <c r="N131" s="404"/>
      <c r="O131" s="404"/>
      <c r="P131" s="404"/>
      <c r="Q131" s="404"/>
      <c r="R131" s="404"/>
      <c r="S131" s="404"/>
      <c r="T131" s="404"/>
      <c r="U131" s="404"/>
      <c r="V131" s="404"/>
      <c r="W131" s="404"/>
      <c r="X131" s="404"/>
      <c r="Y131" s="404"/>
      <c r="Z131" s="404"/>
      <c r="AA131" s="404"/>
      <c r="AB131" s="404"/>
      <c r="AC131" s="404"/>
      <c r="AD131" s="404"/>
      <c r="AE131" s="404"/>
      <c r="AF131" s="404"/>
      <c r="AG131" s="404"/>
      <c r="AH131" s="404"/>
      <c r="AI131" s="404"/>
      <c r="AJ131" s="404"/>
      <c r="AK131" s="404"/>
      <c r="AL131" s="404"/>
      <c r="AM131" s="404"/>
      <c r="AN131" s="404"/>
      <c r="AO131" s="404"/>
      <c r="AP131" s="404"/>
      <c r="AQ131" s="404"/>
      <c r="AR131" s="404"/>
      <c r="AS131" s="404"/>
      <c r="AT131" s="404"/>
      <c r="AU131" s="404"/>
      <c r="AV131" s="404"/>
    </row>
    <row r="132" spans="1:48" ht="15" customHeight="1">
      <c r="D132" s="6"/>
      <c r="I132" s="3"/>
      <c r="K132" s="3"/>
    </row>
    <row r="133" spans="1:48" ht="15" customHeight="1">
      <c r="D133" s="6"/>
      <c r="E133" s="289" t="str">
        <f xml:space="preserve"> A131</f>
        <v>GOVERNMENT REVENUES</v>
      </c>
      <c r="F133" s="3" t="s">
        <v>682</v>
      </c>
      <c r="I133" s="3"/>
      <c r="K133" s="3"/>
    </row>
    <row r="134" spans="1:48" ht="15" customHeight="1">
      <c r="D134" s="6"/>
      <c r="E134" s="289" t="str">
        <f xml:space="preserve"> G138</f>
        <v>$ mn</v>
      </c>
      <c r="F134" s="3" t="s">
        <v>683</v>
      </c>
      <c r="I134" s="3"/>
      <c r="K134" s="3"/>
    </row>
    <row r="135" spans="1:48" ht="15" customHeight="1">
      <c r="D135" s="6"/>
      <c r="F135" s="3" t="s">
        <v>684</v>
      </c>
      <c r="I135" s="3"/>
      <c r="K135" s="3"/>
    </row>
    <row r="136" spans="1:48" ht="15" customHeight="1">
      <c r="D136" s="6"/>
      <c r="I136" s="3"/>
      <c r="K136" s="3"/>
    </row>
    <row r="137" spans="1:48" ht="15" customHeight="1">
      <c r="D137" s="6"/>
      <c r="E137" s="108" t="str">
        <f xml:space="preserve"> 'T&amp;E'!E$9</f>
        <v>Model calendar year</v>
      </c>
      <c r="F137" s="108">
        <f xml:space="preserve"> 'T&amp;E'!F$9</f>
        <v>0</v>
      </c>
      <c r="G137" s="108" t="str">
        <f xml:space="preserve"> 'T&amp;E'!G$9</f>
        <v>year</v>
      </c>
      <c r="H137" s="108">
        <f xml:space="preserve"> 'T&amp;E'!H$9</f>
        <v>0</v>
      </c>
      <c r="I137" s="108">
        <f xml:space="preserve"> 'T&amp;E'!I$9</f>
        <v>0</v>
      </c>
      <c r="J137" s="108">
        <f xml:space="preserve"> 'T&amp;E'!J$9</f>
        <v>0</v>
      </c>
      <c r="K137" s="108">
        <f xml:space="preserve"> 'T&amp;E'!K$9</f>
        <v>0</v>
      </c>
      <c r="L137" s="108">
        <f xml:space="preserve"> 'T&amp;E'!L$9</f>
        <v>2014</v>
      </c>
      <c r="M137" s="108">
        <f xml:space="preserve"> 'T&amp;E'!M$9</f>
        <v>2015</v>
      </c>
      <c r="N137" s="108">
        <f xml:space="preserve"> 'T&amp;E'!N$9</f>
        <v>2016</v>
      </c>
      <c r="O137" s="108">
        <f xml:space="preserve"> 'T&amp;E'!O$9</f>
        <v>2017</v>
      </c>
      <c r="P137" s="108">
        <f xml:space="preserve"> 'T&amp;E'!P$9</f>
        <v>2018</v>
      </c>
      <c r="Q137" s="108">
        <f xml:space="preserve"> 'T&amp;E'!Q$9</f>
        <v>2019</v>
      </c>
      <c r="R137" s="108">
        <f xml:space="preserve"> 'T&amp;E'!R$9</f>
        <v>2020</v>
      </c>
      <c r="S137" s="108">
        <f xml:space="preserve"> 'T&amp;E'!S$9</f>
        <v>2021</v>
      </c>
      <c r="T137" s="108">
        <f xml:space="preserve"> 'T&amp;E'!T$9</f>
        <v>2022</v>
      </c>
      <c r="U137" s="108">
        <f xml:space="preserve"> 'T&amp;E'!U$9</f>
        <v>2023</v>
      </c>
      <c r="V137" s="108">
        <f xml:space="preserve"> 'T&amp;E'!V$9</f>
        <v>2024</v>
      </c>
      <c r="W137" s="108">
        <f xml:space="preserve"> 'T&amp;E'!W$9</f>
        <v>2025</v>
      </c>
      <c r="X137" s="108">
        <f xml:space="preserve"> 'T&amp;E'!X$9</f>
        <v>2026</v>
      </c>
      <c r="Y137" s="108">
        <f xml:space="preserve"> 'T&amp;E'!Y$9</f>
        <v>2027</v>
      </c>
      <c r="Z137" s="108">
        <f xml:space="preserve"> 'T&amp;E'!Z$9</f>
        <v>2028</v>
      </c>
      <c r="AA137" s="108">
        <f xml:space="preserve"> 'T&amp;E'!AA$9</f>
        <v>2029</v>
      </c>
      <c r="AB137" s="108">
        <f xml:space="preserve"> 'T&amp;E'!AB$9</f>
        <v>2030</v>
      </c>
      <c r="AC137" s="108">
        <f xml:space="preserve"> 'T&amp;E'!AC$9</f>
        <v>2031</v>
      </c>
      <c r="AD137" s="108">
        <f xml:space="preserve"> 'T&amp;E'!AD$9</f>
        <v>2032</v>
      </c>
      <c r="AE137" s="108">
        <f xml:space="preserve"> 'T&amp;E'!AE$9</f>
        <v>2033</v>
      </c>
      <c r="AF137" s="108">
        <f xml:space="preserve"> 'T&amp;E'!AF$9</f>
        <v>2034</v>
      </c>
      <c r="AG137" s="108">
        <f xml:space="preserve"> 'T&amp;E'!AG$9</f>
        <v>2035</v>
      </c>
      <c r="AH137" s="108">
        <f xml:space="preserve"> 'T&amp;E'!AH$9</f>
        <v>2036</v>
      </c>
      <c r="AI137" s="108">
        <f xml:space="preserve"> 'T&amp;E'!AI$9</f>
        <v>2037</v>
      </c>
      <c r="AJ137" s="108">
        <f xml:space="preserve"> 'T&amp;E'!AJ$9</f>
        <v>2038</v>
      </c>
      <c r="AK137" s="108">
        <f xml:space="preserve"> 'T&amp;E'!AK$9</f>
        <v>2039</v>
      </c>
      <c r="AL137" s="108">
        <f xml:space="preserve"> 'T&amp;E'!AL$9</f>
        <v>2040</v>
      </c>
      <c r="AM137" s="108">
        <f xml:space="preserve"> 'T&amp;E'!AM$9</f>
        <v>2041</v>
      </c>
      <c r="AN137" s="108">
        <f xml:space="preserve"> 'T&amp;E'!AN$9</f>
        <v>2042</v>
      </c>
      <c r="AO137" s="108">
        <f xml:space="preserve"> 'T&amp;E'!AO$9</f>
        <v>2043</v>
      </c>
      <c r="AP137" s="108">
        <f xml:space="preserve"> 'T&amp;E'!AP$9</f>
        <v>2044</v>
      </c>
      <c r="AQ137" s="108">
        <f xml:space="preserve"> 'T&amp;E'!AQ$9</f>
        <v>2045</v>
      </c>
      <c r="AR137" s="108">
        <f xml:space="preserve"> 'T&amp;E'!AR$9</f>
        <v>2046</v>
      </c>
      <c r="AS137" s="108">
        <f xml:space="preserve"> 'T&amp;E'!AS$9</f>
        <v>2047</v>
      </c>
      <c r="AT137" s="108">
        <f xml:space="preserve"> 'T&amp;E'!AT$9</f>
        <v>2048</v>
      </c>
      <c r="AU137" s="108">
        <f xml:space="preserve"> 'T&amp;E'!AU$9</f>
        <v>2049</v>
      </c>
      <c r="AV137" s="108">
        <f xml:space="preserve"> 'T&amp;E'!AV$9</f>
        <v>2050</v>
      </c>
    </row>
    <row r="138" spans="1:48" s="70" customFormat="1" ht="15" customHeight="1">
      <c r="A138" s="195"/>
      <c r="B138" s="195"/>
      <c r="C138" s="196"/>
      <c r="E138" s="70" t="str">
        <f xml:space="preserve"> Metalkol_Model1!E$174</f>
        <v>Copper gross revenue (at realized prices)</v>
      </c>
      <c r="F138" s="70">
        <f xml:space="preserve"> Metalkol_Model1!F$174</f>
        <v>0</v>
      </c>
      <c r="G138" s="70" t="str">
        <f xml:space="preserve"> Metalkol_Model1!G$174</f>
        <v>$ mn</v>
      </c>
      <c r="H138" s="70">
        <f xml:space="preserve"> Metalkol_Model1!H$174</f>
        <v>0</v>
      </c>
      <c r="I138" s="70">
        <f xml:space="preserve"> Metalkol_Model1!I$174</f>
        <v>0</v>
      </c>
      <c r="J138" s="70">
        <f xml:space="preserve"> Metalkol_Model1!J$174</f>
        <v>11467.694807333486</v>
      </c>
      <c r="K138" s="70">
        <f xml:space="preserve"> Metalkol_Model1!K$174</f>
        <v>0</v>
      </c>
      <c r="L138" s="70">
        <f xml:space="preserve"> Metalkol_Model1!L$174</f>
        <v>0</v>
      </c>
      <c r="M138" s="70">
        <f xml:space="preserve"> Metalkol_Model1!M$174</f>
        <v>0</v>
      </c>
      <c r="N138" s="70">
        <f xml:space="preserve"> Metalkol_Model1!N$174</f>
        <v>0</v>
      </c>
      <c r="O138" s="70">
        <f xml:space="preserve"> Metalkol_Model1!O$174</f>
        <v>0</v>
      </c>
      <c r="P138" s="70">
        <f xml:space="preserve"> Metalkol_Model1!P$174</f>
        <v>56.882825869581119</v>
      </c>
      <c r="Q138" s="70">
        <f xml:space="preserve"> Metalkol_Model1!Q$174</f>
        <v>537.90040239011887</v>
      </c>
      <c r="R138" s="70">
        <f xml:space="preserve"> Metalkol_Model1!R$174</f>
        <v>466.86178216090872</v>
      </c>
      <c r="S138" s="70">
        <f xml:space="preserve"> Metalkol_Model1!S$174</f>
        <v>846.94161577854641</v>
      </c>
      <c r="T138" s="70">
        <f xml:space="preserve"> Metalkol_Model1!T$174</f>
        <v>827.43128123694396</v>
      </c>
      <c r="U138" s="70">
        <f xml:space="preserve"> Metalkol_Model1!U$174</f>
        <v>827.53678415828165</v>
      </c>
      <c r="V138" s="70">
        <f xml:space="preserve"> Metalkol_Model1!V$174</f>
        <v>855.37158418205354</v>
      </c>
      <c r="W138" s="70">
        <f xml:space="preserve"> Metalkol_Model1!W$174</f>
        <v>870.43262455927129</v>
      </c>
      <c r="X138" s="70">
        <f xml:space="preserve"> Metalkol_Model1!X$174</f>
        <v>871.18297689339511</v>
      </c>
      <c r="Y138" s="70">
        <f xml:space="preserve"> Metalkol_Model1!Y$174</f>
        <v>878.19958614320012</v>
      </c>
      <c r="Z138" s="70">
        <f xml:space="preserve"> Metalkol_Model1!Z$174</f>
        <v>869.03680141350003</v>
      </c>
      <c r="AA138" s="70">
        <f xml:space="preserve"> Metalkol_Model1!AA$174</f>
        <v>864.81700401760008</v>
      </c>
      <c r="AB138" s="70">
        <f xml:space="preserve"> Metalkol_Model1!AB$174</f>
        <v>890.0243598372424</v>
      </c>
      <c r="AC138" s="70">
        <f xml:space="preserve"> Metalkol_Model1!AC$174</f>
        <v>904.18180084522714</v>
      </c>
      <c r="AD138" s="70">
        <f xml:space="preserve"> Metalkol_Model1!AD$174</f>
        <v>900.89337784761744</v>
      </c>
      <c r="AE138" s="70">
        <f xml:space="preserve"> Metalkol_Model1!AE$174</f>
        <v>0</v>
      </c>
      <c r="AF138" s="70">
        <f xml:space="preserve"> Metalkol_Model1!AF$174</f>
        <v>0</v>
      </c>
      <c r="AG138" s="70">
        <f xml:space="preserve"> Metalkol_Model1!AG$174</f>
        <v>0</v>
      </c>
      <c r="AH138" s="70">
        <f xml:space="preserve"> Metalkol_Model1!AH$174</f>
        <v>0</v>
      </c>
      <c r="AI138" s="70">
        <f xml:space="preserve"> Metalkol_Model1!AI$174</f>
        <v>0</v>
      </c>
      <c r="AJ138" s="70">
        <f xml:space="preserve"> Metalkol_Model1!AJ$174</f>
        <v>0</v>
      </c>
      <c r="AK138" s="70">
        <f xml:space="preserve"> Metalkol_Model1!AK$174</f>
        <v>0</v>
      </c>
      <c r="AL138" s="70">
        <f xml:space="preserve"> Metalkol_Model1!AL$174</f>
        <v>0</v>
      </c>
      <c r="AM138" s="70">
        <f xml:space="preserve"> Metalkol_Model1!AM$174</f>
        <v>0</v>
      </c>
      <c r="AN138" s="70">
        <f xml:space="preserve"> Metalkol_Model1!AN$174</f>
        <v>0</v>
      </c>
      <c r="AO138" s="70">
        <f xml:space="preserve"> Metalkol_Model1!AO$174</f>
        <v>0</v>
      </c>
      <c r="AP138" s="70">
        <f xml:space="preserve"> Metalkol_Model1!AP$174</f>
        <v>0</v>
      </c>
      <c r="AQ138" s="70">
        <f xml:space="preserve"> Metalkol_Model1!AQ$174</f>
        <v>0</v>
      </c>
      <c r="AR138" s="70">
        <f xml:space="preserve"> Metalkol_Model1!AR$174</f>
        <v>0</v>
      </c>
      <c r="AS138" s="70">
        <f xml:space="preserve"> Metalkol_Model1!AS$174</f>
        <v>0</v>
      </c>
      <c r="AT138" s="70">
        <f xml:space="preserve"> Metalkol_Model1!AT$174</f>
        <v>0</v>
      </c>
      <c r="AU138" s="70">
        <f xml:space="preserve"> Metalkol_Model1!AU$174</f>
        <v>0</v>
      </c>
      <c r="AV138" s="70">
        <f xml:space="preserve"> Metalkol_Model1!AV$174</f>
        <v>0</v>
      </c>
    </row>
    <row r="139" spans="1:48" ht="15" customHeight="1">
      <c r="E139" s="70" t="str">
        <f xml:space="preserve"> Metalkol_Model1!E$184</f>
        <v>Cobalt gross revenue (at realized prices)</v>
      </c>
      <c r="F139" s="70">
        <f xml:space="preserve"> Metalkol_Model1!F$184</f>
        <v>0</v>
      </c>
      <c r="G139" s="70" t="str">
        <f xml:space="preserve"> Metalkol_Model1!G$184</f>
        <v>$ mn</v>
      </c>
      <c r="H139" s="70">
        <f xml:space="preserve"> Metalkol_Model1!H$184</f>
        <v>0</v>
      </c>
      <c r="I139" s="70">
        <f xml:space="preserve"> Metalkol_Model1!I$184</f>
        <v>0</v>
      </c>
      <c r="J139" s="70">
        <f xml:space="preserve"> Metalkol_Model1!J$184</f>
        <v>7544.2272910711363</v>
      </c>
      <c r="K139" s="70">
        <f xml:space="preserve"> Metalkol_Model1!K$184</f>
        <v>0</v>
      </c>
      <c r="L139" s="70">
        <f xml:space="preserve"> Metalkol_Model1!L$184</f>
        <v>0</v>
      </c>
      <c r="M139" s="70">
        <f xml:space="preserve"> Metalkol_Model1!M$184</f>
        <v>0</v>
      </c>
      <c r="N139" s="70">
        <f xml:space="preserve"> Metalkol_Model1!N$184</f>
        <v>0</v>
      </c>
      <c r="O139" s="70">
        <f xml:space="preserve"> Metalkol_Model1!O$184</f>
        <v>0</v>
      </c>
      <c r="P139" s="70">
        <f xml:space="preserve"> Metalkol_Model1!P$184</f>
        <v>10.253428059846346</v>
      </c>
      <c r="Q139" s="70">
        <f xml:space="preserve"> Metalkol_Model1!Q$184</f>
        <v>408.69518197966062</v>
      </c>
      <c r="R139" s="70">
        <f xml:space="preserve"> Metalkol_Model1!R$184</f>
        <v>334.11109565874864</v>
      </c>
      <c r="S139" s="70">
        <f xml:space="preserve"> Metalkol_Model1!S$184</f>
        <v>707.98561665940747</v>
      </c>
      <c r="T139" s="70">
        <f xml:space="preserve"> Metalkol_Model1!T$184</f>
        <v>962.82272674877015</v>
      </c>
      <c r="U139" s="70">
        <f xml:space="preserve"> Metalkol_Model1!U$184</f>
        <v>459.45869682312974</v>
      </c>
      <c r="V139" s="70">
        <f xml:space="preserve"> Metalkol_Model1!V$184</f>
        <v>342.2851374481404</v>
      </c>
      <c r="W139" s="70">
        <f xml:space="preserve"> Metalkol_Model1!W$184</f>
        <v>533.32637908197103</v>
      </c>
      <c r="X139" s="70">
        <f xml:space="preserve"> Metalkol_Model1!X$184</f>
        <v>519.95175299846198</v>
      </c>
      <c r="Y139" s="70">
        <f xml:space="preserve"> Metalkol_Model1!Y$184</f>
        <v>491.01727649102816</v>
      </c>
      <c r="Z139" s="70">
        <f xml:space="preserve"> Metalkol_Model1!Z$184</f>
        <v>529.29819445445742</v>
      </c>
      <c r="AA139" s="70">
        <f xml:space="preserve"> Metalkol_Model1!AA$184</f>
        <v>528.53468233551689</v>
      </c>
      <c r="AB139" s="70">
        <f xml:space="preserve"> Metalkol_Model1!AB$184</f>
        <v>510.64196185793799</v>
      </c>
      <c r="AC139" s="70">
        <f xml:space="preserve"> Metalkol_Model1!AC$184</f>
        <v>586.28641494261217</v>
      </c>
      <c r="AD139" s="70">
        <f xml:space="preserve"> Metalkol_Model1!AD$184</f>
        <v>619.55874553144668</v>
      </c>
      <c r="AE139" s="70">
        <f xml:space="preserve"> Metalkol_Model1!AE$184</f>
        <v>0</v>
      </c>
      <c r="AF139" s="70">
        <f xml:space="preserve"> Metalkol_Model1!AF$184</f>
        <v>0</v>
      </c>
      <c r="AG139" s="70">
        <f xml:space="preserve"> Metalkol_Model1!AG$184</f>
        <v>0</v>
      </c>
      <c r="AH139" s="70">
        <f xml:space="preserve"> Metalkol_Model1!AH$184</f>
        <v>0</v>
      </c>
      <c r="AI139" s="70">
        <f xml:space="preserve"> Metalkol_Model1!AI$184</f>
        <v>0</v>
      </c>
      <c r="AJ139" s="70">
        <f xml:space="preserve"> Metalkol_Model1!AJ$184</f>
        <v>0</v>
      </c>
      <c r="AK139" s="70">
        <f xml:space="preserve"> Metalkol_Model1!AK$184</f>
        <v>0</v>
      </c>
      <c r="AL139" s="70">
        <f xml:space="preserve"> Metalkol_Model1!AL$184</f>
        <v>0</v>
      </c>
      <c r="AM139" s="70">
        <f xml:space="preserve"> Metalkol_Model1!AM$184</f>
        <v>0</v>
      </c>
      <c r="AN139" s="70">
        <f xml:space="preserve"> Metalkol_Model1!AN$184</f>
        <v>0</v>
      </c>
      <c r="AO139" s="70">
        <f xml:space="preserve"> Metalkol_Model1!AO$184</f>
        <v>0</v>
      </c>
      <c r="AP139" s="70">
        <f xml:space="preserve"> Metalkol_Model1!AP$184</f>
        <v>0</v>
      </c>
      <c r="AQ139" s="70">
        <f xml:space="preserve"> Metalkol_Model1!AQ$184</f>
        <v>0</v>
      </c>
      <c r="AR139" s="70">
        <f xml:space="preserve"> Metalkol_Model1!AR$184</f>
        <v>0</v>
      </c>
      <c r="AS139" s="70">
        <f xml:space="preserve"> Metalkol_Model1!AS$184</f>
        <v>0</v>
      </c>
      <c r="AT139" s="70">
        <f xml:space="preserve"> Metalkol_Model1!AT$184</f>
        <v>0</v>
      </c>
      <c r="AU139" s="70">
        <f xml:space="preserve"> Metalkol_Model1!AU$184</f>
        <v>0</v>
      </c>
      <c r="AV139" s="70">
        <f xml:space="preserve"> Metalkol_Model1!AV$184</f>
        <v>0</v>
      </c>
    </row>
    <row r="141" spans="1:48" ht="15" customHeight="1">
      <c r="E141" s="408">
        <f xml:space="preserve"> Metalkol_Model1!E782</f>
        <v>0</v>
      </c>
      <c r="F141" s="408" t="str">
        <f xml:space="preserve"> Metalkol_Model1!F782</f>
        <v>top</v>
      </c>
      <c r="G141" s="408">
        <f xml:space="preserve"> Metalkol_Model1!G782</f>
        <v>0</v>
      </c>
      <c r="H141" s="408">
        <f xml:space="preserve"> Metalkol_Model1!H782</f>
        <v>0</v>
      </c>
      <c r="I141" s="408">
        <f xml:space="preserve"> Metalkol_Model1!I782</f>
        <v>0</v>
      </c>
      <c r="J141" s="408">
        <f xml:space="preserve"> Metalkol_Model1!J782</f>
        <v>0</v>
      </c>
      <c r="K141" s="408">
        <f xml:space="preserve"> Metalkol_Model1!K782</f>
        <v>0</v>
      </c>
      <c r="L141" s="408">
        <f xml:space="preserve"> Metalkol_Model1!L782</f>
        <v>0</v>
      </c>
      <c r="M141" s="408">
        <f xml:space="preserve"> Metalkol_Model1!M782</f>
        <v>0</v>
      </c>
      <c r="N141" s="408">
        <f xml:space="preserve"> Metalkol_Model1!N782</f>
        <v>0</v>
      </c>
      <c r="O141" s="408">
        <f xml:space="preserve"> Metalkol_Model1!O782</f>
        <v>0</v>
      </c>
      <c r="P141" s="408">
        <f xml:space="preserve"> Metalkol_Model1!P782</f>
        <v>0</v>
      </c>
      <c r="Q141" s="408">
        <f xml:space="preserve"> Metalkol_Model1!Q782</f>
        <v>0</v>
      </c>
      <c r="R141" s="408">
        <f xml:space="preserve"> Metalkol_Model1!R782</f>
        <v>0</v>
      </c>
      <c r="S141" s="408">
        <f xml:space="preserve"> Metalkol_Model1!S782</f>
        <v>0</v>
      </c>
      <c r="T141" s="408">
        <f xml:space="preserve"> Metalkol_Model1!T782</f>
        <v>0</v>
      </c>
      <c r="U141" s="408">
        <f xml:space="preserve"> Metalkol_Model1!U782</f>
        <v>0</v>
      </c>
      <c r="V141" s="408">
        <f xml:space="preserve"> Metalkol_Model1!V782</f>
        <v>0</v>
      </c>
      <c r="W141" s="408">
        <f xml:space="preserve"> Metalkol_Model1!W782</f>
        <v>0</v>
      </c>
      <c r="X141" s="408">
        <f xml:space="preserve"> Metalkol_Model1!X782</f>
        <v>0</v>
      </c>
      <c r="Y141" s="408">
        <f xml:space="preserve"> Metalkol_Model1!Y782</f>
        <v>0</v>
      </c>
      <c r="Z141" s="408">
        <f xml:space="preserve"> Metalkol_Model1!Z782</f>
        <v>0</v>
      </c>
      <c r="AA141" s="408">
        <f xml:space="preserve"> Metalkol_Model1!AA782</f>
        <v>0</v>
      </c>
      <c r="AB141" s="408">
        <f xml:space="preserve"> Metalkol_Model1!AB782</f>
        <v>0</v>
      </c>
      <c r="AC141" s="408">
        <f xml:space="preserve"> Metalkol_Model1!AC782</f>
        <v>0</v>
      </c>
      <c r="AD141" s="408">
        <f xml:space="preserve"> Metalkol_Model1!AD782</f>
        <v>0</v>
      </c>
      <c r="AE141" s="408">
        <f xml:space="preserve"> Metalkol_Model1!AE782</f>
        <v>0</v>
      </c>
      <c r="AF141" s="408">
        <f xml:space="preserve"> Metalkol_Model1!AF782</f>
        <v>0</v>
      </c>
      <c r="AG141" s="408">
        <f xml:space="preserve"> Metalkol_Model1!AG782</f>
        <v>0</v>
      </c>
      <c r="AH141" s="408">
        <f xml:space="preserve"> Metalkol_Model1!AH782</f>
        <v>0</v>
      </c>
      <c r="AI141" s="408">
        <f xml:space="preserve"> Metalkol_Model1!AI782</f>
        <v>0</v>
      </c>
      <c r="AJ141" s="408">
        <f xml:space="preserve"> Metalkol_Model1!AJ782</f>
        <v>0</v>
      </c>
      <c r="AK141" s="408">
        <f xml:space="preserve"> Metalkol_Model1!AK782</f>
        <v>0</v>
      </c>
      <c r="AL141" s="408">
        <f xml:space="preserve"> Metalkol_Model1!AL782</f>
        <v>0</v>
      </c>
      <c r="AM141" s="408">
        <f xml:space="preserve"> Metalkol_Model1!AM782</f>
        <v>0</v>
      </c>
      <c r="AN141" s="408">
        <f xml:space="preserve"> Metalkol_Model1!AN782</f>
        <v>0</v>
      </c>
      <c r="AO141" s="408">
        <f xml:space="preserve"> Metalkol_Model1!AO782</f>
        <v>0</v>
      </c>
      <c r="AP141" s="408">
        <f xml:space="preserve"> Metalkol_Model1!AP782</f>
        <v>0</v>
      </c>
      <c r="AQ141" s="408">
        <f xml:space="preserve"> Metalkol_Model1!AQ782</f>
        <v>0</v>
      </c>
      <c r="AR141" s="408">
        <f xml:space="preserve"> Metalkol_Model1!AR782</f>
        <v>0</v>
      </c>
      <c r="AS141" s="408">
        <f xml:space="preserve"> Metalkol_Model1!AS782</f>
        <v>0</v>
      </c>
      <c r="AT141" s="408">
        <f xml:space="preserve"> Metalkol_Model1!AT782</f>
        <v>0</v>
      </c>
      <c r="AU141" s="408">
        <f xml:space="preserve"> Metalkol_Model1!AU782</f>
        <v>0</v>
      </c>
      <c r="AV141" s="408">
        <f xml:space="preserve"> Metalkol_Model1!AV782</f>
        <v>0</v>
      </c>
    </row>
    <row r="142" spans="1:48" ht="15" customHeight="1">
      <c r="E142" s="70" t="str">
        <f xml:space="preserve"> Metalkol_Model1!E783</f>
        <v>Cu + Co government royalty</v>
      </c>
      <c r="F142" s="70">
        <f xml:space="preserve"> Metalkol_Model1!F783</f>
        <v>0</v>
      </c>
      <c r="G142" s="70" t="str">
        <f xml:space="preserve"> Metalkol_Model1!G783</f>
        <v>$ mn</v>
      </c>
      <c r="H142" s="70">
        <f xml:space="preserve"> Metalkol_Model1!H783</f>
        <v>0</v>
      </c>
      <c r="I142" s="76">
        <f xml:space="preserve"> Metalkol_Model1!I783</f>
        <v>0</v>
      </c>
      <c r="J142" s="70">
        <f xml:space="preserve"> Metalkol_Model1!J783</f>
        <v>1154.1185307309543</v>
      </c>
      <c r="K142" s="76">
        <f xml:space="preserve"> Metalkol_Model1!K783</f>
        <v>0</v>
      </c>
      <c r="L142" s="70">
        <f xml:space="preserve"> Metalkol_Model1!L783</f>
        <v>0</v>
      </c>
      <c r="M142" s="70">
        <f xml:space="preserve"> Metalkol_Model1!M783</f>
        <v>0</v>
      </c>
      <c r="N142" s="70">
        <f xml:space="preserve"> Metalkol_Model1!N783</f>
        <v>0</v>
      </c>
      <c r="O142" s="70">
        <f xml:space="preserve"> Metalkol_Model1!O783</f>
        <v>0</v>
      </c>
      <c r="P142" s="70">
        <f xml:space="preserve"> Metalkol_Model1!P783</f>
        <v>1.3427250785885494</v>
      </c>
      <c r="Q142" s="70">
        <f xml:space="preserve"> Metalkol_Model1!Q783</f>
        <v>59.696032281620234</v>
      </c>
      <c r="R142" s="70">
        <f xml:space="preserve"> Metalkol_Model1!R783</f>
        <v>49.751271941506673</v>
      </c>
      <c r="S142" s="70">
        <f xml:space="preserve"> Metalkol_Model1!S783</f>
        <v>100.44151821818988</v>
      </c>
      <c r="T142" s="70">
        <f xml:space="preserve"> Metalkol_Model1!T783</f>
        <v>125.24236751817006</v>
      </c>
      <c r="U142" s="70">
        <f xml:space="preserve"> Metalkol_Model1!U783</f>
        <v>74.909657127852839</v>
      </c>
      <c r="V142" s="70">
        <f xml:space="preserve"> Metalkol_Model1!V783</f>
        <v>64.166519191185927</v>
      </c>
      <c r="W142" s="70">
        <f xml:space="preserve"> Metalkol_Model1!W783</f>
        <v>83.797779767771601</v>
      </c>
      <c r="X142" s="70">
        <f xml:space="preserve"> Metalkol_Model1!X783</f>
        <v>82.486579491115037</v>
      </c>
      <c r="Y142" s="70">
        <f xml:space="preserve"> Metalkol_Model1!Y783</f>
        <v>79.838713164114836</v>
      </c>
      <c r="Z142" s="70">
        <f xml:space="preserve"> Metalkol_Model1!Z783</f>
        <v>83.346107494918243</v>
      </c>
      <c r="AA142" s="70">
        <f xml:space="preserve"> Metalkol_Model1!AA783</f>
        <v>83.122063374167709</v>
      </c>
      <c r="AB142" s="70">
        <f xml:space="preserve"> Metalkol_Model1!AB783</f>
        <v>82.215048780097291</v>
      </c>
      <c r="AC142" s="70">
        <f xml:space="preserve"> Metalkol_Model1!AC783</f>
        <v>90.275004523844174</v>
      </c>
      <c r="AD142" s="70">
        <f xml:space="preserve"> Metalkol_Model1!AD783</f>
        <v>93.487142777811286</v>
      </c>
      <c r="AE142" s="70">
        <f xml:space="preserve"> Metalkol_Model1!AE783</f>
        <v>0</v>
      </c>
      <c r="AF142" s="70">
        <f xml:space="preserve"> Metalkol_Model1!AF783</f>
        <v>0</v>
      </c>
      <c r="AG142" s="70">
        <f xml:space="preserve"> Metalkol_Model1!AG783</f>
        <v>0</v>
      </c>
      <c r="AH142" s="70">
        <f xml:space="preserve"> Metalkol_Model1!AH783</f>
        <v>0</v>
      </c>
      <c r="AI142" s="70">
        <f xml:space="preserve"> Metalkol_Model1!AI783</f>
        <v>0</v>
      </c>
      <c r="AJ142" s="70">
        <f xml:space="preserve"> Metalkol_Model1!AJ783</f>
        <v>0</v>
      </c>
      <c r="AK142" s="70">
        <f xml:space="preserve"> Metalkol_Model1!AK783</f>
        <v>0</v>
      </c>
      <c r="AL142" s="70">
        <f xml:space="preserve"> Metalkol_Model1!AL783</f>
        <v>0</v>
      </c>
      <c r="AM142" s="70">
        <f xml:space="preserve"> Metalkol_Model1!AM783</f>
        <v>0</v>
      </c>
      <c r="AN142" s="70">
        <f xml:space="preserve"> Metalkol_Model1!AN783</f>
        <v>0</v>
      </c>
      <c r="AO142" s="70">
        <f xml:space="preserve"> Metalkol_Model1!AO783</f>
        <v>0</v>
      </c>
      <c r="AP142" s="70">
        <f xml:space="preserve"> Metalkol_Model1!AP783</f>
        <v>0</v>
      </c>
      <c r="AQ142" s="70">
        <f xml:space="preserve"> Metalkol_Model1!AQ783</f>
        <v>0</v>
      </c>
      <c r="AR142" s="70">
        <f xml:space="preserve"> Metalkol_Model1!AR783</f>
        <v>0</v>
      </c>
      <c r="AS142" s="70">
        <f xml:space="preserve"> Metalkol_Model1!AS783</f>
        <v>0</v>
      </c>
      <c r="AT142" s="70">
        <f xml:space="preserve"> Metalkol_Model1!AT783</f>
        <v>0</v>
      </c>
      <c r="AU142" s="70">
        <f xml:space="preserve"> Metalkol_Model1!AU783</f>
        <v>0</v>
      </c>
      <c r="AV142" s="70">
        <f xml:space="preserve"> Metalkol_Model1!AV783</f>
        <v>0</v>
      </c>
    </row>
    <row r="143" spans="1:48" ht="15" customHeight="1">
      <c r="E143" s="70" t="str">
        <f xml:space="preserve"> Metalkol_Model1!E784</f>
        <v>Turnover tax (Chiffre d'Affaires 0.3PC)</v>
      </c>
      <c r="F143" s="70">
        <f xml:space="preserve"> Metalkol_Model1!F784</f>
        <v>0</v>
      </c>
      <c r="G143" s="70" t="str">
        <f xml:space="preserve"> Metalkol_Model1!G784</f>
        <v>$ mn</v>
      </c>
      <c r="H143" s="70">
        <f xml:space="preserve"> Metalkol_Model1!H784</f>
        <v>0</v>
      </c>
      <c r="I143" s="76">
        <f xml:space="preserve"> Metalkol_Model1!I784</f>
        <v>0</v>
      </c>
      <c r="J143" s="70">
        <f xml:space="preserve"> Metalkol_Model1!J784</f>
        <v>57.035766295213875</v>
      </c>
      <c r="K143" s="76">
        <f xml:space="preserve"> Metalkol_Model1!K784</f>
        <v>0</v>
      </c>
      <c r="L143" s="70">
        <f xml:space="preserve"> Metalkol_Model1!L784</f>
        <v>0</v>
      </c>
      <c r="M143" s="70">
        <f xml:space="preserve"> Metalkol_Model1!M784</f>
        <v>0</v>
      </c>
      <c r="N143" s="70">
        <f xml:space="preserve"> Metalkol_Model1!N784</f>
        <v>0</v>
      </c>
      <c r="O143" s="70">
        <f xml:space="preserve"> Metalkol_Model1!O784</f>
        <v>0</v>
      </c>
      <c r="P143" s="70">
        <f xml:space="preserve"> Metalkol_Model1!P784</f>
        <v>0.2014087617882824</v>
      </c>
      <c r="Q143" s="70">
        <f xml:space="preserve"> Metalkol_Model1!Q784</f>
        <v>2.8397867531093386</v>
      </c>
      <c r="R143" s="70">
        <f xml:space="preserve"> Metalkol_Model1!R784</f>
        <v>2.4029186334589721</v>
      </c>
      <c r="S143" s="70">
        <f xml:space="preserve"> Metalkol_Model1!S784</f>
        <v>4.6647816973138623</v>
      </c>
      <c r="T143" s="70">
        <f xml:space="preserve"> Metalkol_Model1!T784</f>
        <v>5.3707620239571421</v>
      </c>
      <c r="U143" s="70">
        <f xml:space="preserve"> Metalkol_Model1!U784</f>
        <v>3.8609864429442342</v>
      </c>
      <c r="V143" s="70">
        <f xml:space="preserve"> Metalkol_Model1!V784</f>
        <v>3.5929701648905819</v>
      </c>
      <c r="W143" s="70">
        <f xml:space="preserve"> Metalkol_Model1!W784</f>
        <v>4.2112770109237267</v>
      </c>
      <c r="X143" s="70">
        <f xml:space="preserve"> Metalkol_Model1!X784</f>
        <v>4.1734041896755718</v>
      </c>
      <c r="Y143" s="70">
        <f xml:space="preserve"> Metalkol_Model1!Y784</f>
        <v>4.1076505879026843</v>
      </c>
      <c r="Z143" s="70">
        <f xml:space="preserve"> Metalkol_Model1!Z784</f>
        <v>4.1950049876038724</v>
      </c>
      <c r="AA143" s="70">
        <f xml:space="preserve"> Metalkol_Model1!AA784</f>
        <v>4.1800550590593506</v>
      </c>
      <c r="AB143" s="70">
        <f xml:space="preserve"> Metalkol_Model1!AB784</f>
        <v>4.2019989650855409</v>
      </c>
      <c r="AC143" s="70">
        <f xml:space="preserve"> Metalkol_Model1!AC784</f>
        <v>4.4714046473635181</v>
      </c>
      <c r="AD143" s="70">
        <f xml:space="preserve"> Metalkol_Model1!AD784</f>
        <v>4.5613563701371929</v>
      </c>
      <c r="AE143" s="70">
        <f xml:space="preserve"> Metalkol_Model1!AE784</f>
        <v>0</v>
      </c>
      <c r="AF143" s="70">
        <f xml:space="preserve"> Metalkol_Model1!AF784</f>
        <v>0</v>
      </c>
      <c r="AG143" s="70">
        <f xml:space="preserve"> Metalkol_Model1!AG784</f>
        <v>0</v>
      </c>
      <c r="AH143" s="70">
        <f xml:space="preserve"> Metalkol_Model1!AH784</f>
        <v>0</v>
      </c>
      <c r="AI143" s="70">
        <f xml:space="preserve"> Metalkol_Model1!AI784</f>
        <v>0</v>
      </c>
      <c r="AJ143" s="70">
        <f xml:space="preserve"> Metalkol_Model1!AJ784</f>
        <v>0</v>
      </c>
      <c r="AK143" s="70">
        <f xml:space="preserve"> Metalkol_Model1!AK784</f>
        <v>0</v>
      </c>
      <c r="AL143" s="70">
        <f xml:space="preserve"> Metalkol_Model1!AL784</f>
        <v>0</v>
      </c>
      <c r="AM143" s="70">
        <f xml:space="preserve"> Metalkol_Model1!AM784</f>
        <v>0</v>
      </c>
      <c r="AN143" s="70">
        <f xml:space="preserve"> Metalkol_Model1!AN784</f>
        <v>0</v>
      </c>
      <c r="AO143" s="70">
        <f xml:space="preserve"> Metalkol_Model1!AO784</f>
        <v>0</v>
      </c>
      <c r="AP143" s="70">
        <f xml:space="preserve"> Metalkol_Model1!AP784</f>
        <v>0</v>
      </c>
      <c r="AQ143" s="70">
        <f xml:space="preserve"> Metalkol_Model1!AQ784</f>
        <v>0</v>
      </c>
      <c r="AR143" s="70">
        <f xml:space="preserve"> Metalkol_Model1!AR784</f>
        <v>0</v>
      </c>
      <c r="AS143" s="70">
        <f xml:space="preserve"> Metalkol_Model1!AS784</f>
        <v>0</v>
      </c>
      <c r="AT143" s="70">
        <f xml:space="preserve"> Metalkol_Model1!AT784</f>
        <v>0</v>
      </c>
      <c r="AU143" s="70">
        <f xml:space="preserve"> Metalkol_Model1!AU784</f>
        <v>0</v>
      </c>
      <c r="AV143" s="70">
        <f xml:space="preserve"> Metalkol_Model1!AV784</f>
        <v>0</v>
      </c>
    </row>
    <row r="144" spans="1:48" ht="15" customHeight="1">
      <c r="E144" s="70" t="str">
        <f xml:space="preserve"> Metalkol_Model1!E785</f>
        <v>CIT payable</v>
      </c>
      <c r="F144" s="70">
        <f xml:space="preserve"> Metalkol_Model1!F785</f>
        <v>0</v>
      </c>
      <c r="G144" s="70" t="str">
        <f xml:space="preserve"> Metalkol_Model1!G785</f>
        <v>$ mn</v>
      </c>
      <c r="H144" s="70">
        <f xml:space="preserve"> Metalkol_Model1!H785</f>
        <v>0</v>
      </c>
      <c r="I144" s="76">
        <f xml:space="preserve"> Metalkol_Model1!I785</f>
        <v>0</v>
      </c>
      <c r="J144" s="70">
        <f xml:space="preserve"> Metalkol_Model1!J785</f>
        <v>1375.6952723039724</v>
      </c>
      <c r="K144" s="76">
        <f xml:space="preserve"> Metalkol_Model1!K785</f>
        <v>0</v>
      </c>
      <c r="L144" s="70">
        <f xml:space="preserve"> Metalkol_Model1!L785</f>
        <v>0</v>
      </c>
      <c r="M144" s="70">
        <f xml:space="preserve"> Metalkol_Model1!M785</f>
        <v>0</v>
      </c>
      <c r="N144" s="70">
        <f xml:space="preserve"> Metalkol_Model1!N785</f>
        <v>0</v>
      </c>
      <c r="O144" s="70">
        <f xml:space="preserve"> Metalkol_Model1!O785</f>
        <v>0</v>
      </c>
      <c r="P144" s="70">
        <f xml:space="preserve"> Metalkol_Model1!P785</f>
        <v>0.6713625392942747</v>
      </c>
      <c r="Q144" s="70">
        <f xml:space="preserve"> Metalkol_Model1!Q785</f>
        <v>183.17829112570044</v>
      </c>
      <c r="R144" s="70">
        <f xml:space="preserve"> Metalkol_Model1!R785</f>
        <v>37.162397854489413</v>
      </c>
      <c r="S144" s="70">
        <f xml:space="preserve"> Metalkol_Model1!S785</f>
        <v>171.7373177444376</v>
      </c>
      <c r="T144" s="70">
        <f xml:space="preserve"> Metalkol_Model1!T785</f>
        <v>175.18703567870509</v>
      </c>
      <c r="U144" s="70">
        <f xml:space="preserve"> Metalkol_Model1!U785</f>
        <v>34.153976633190744</v>
      </c>
      <c r="V144" s="70">
        <f xml:space="preserve"> Metalkol_Model1!V785</f>
        <v>11.976567216301939</v>
      </c>
      <c r="W144" s="70">
        <f xml:space="preserve"> Metalkol_Model1!W785</f>
        <v>85.016741604265363</v>
      </c>
      <c r="X144" s="70">
        <f xml:space="preserve"> Metalkol_Model1!X785</f>
        <v>85.767391044424485</v>
      </c>
      <c r="Y144" s="70">
        <f xml:space="preserve"> Metalkol_Model1!Y785</f>
        <v>80.116120896881185</v>
      </c>
      <c r="Z144" s="70">
        <f xml:space="preserve"> Metalkol_Model1!Z785</f>
        <v>85.114435537737563</v>
      </c>
      <c r="AA144" s="70">
        <f xml:space="preserve"> Metalkol_Model1!AA785</f>
        <v>87.686432998471005</v>
      </c>
      <c r="AB144" s="70">
        <f xml:space="preserve"> Metalkol_Model1!AB785</f>
        <v>94.242093101167413</v>
      </c>
      <c r="AC144" s="70">
        <f xml:space="preserve"> Metalkol_Model1!AC785</f>
        <v>124.99406869768933</v>
      </c>
      <c r="AD144" s="70">
        <f xml:space="preserve"> Metalkol_Model1!AD785</f>
        <v>118.69103963121651</v>
      </c>
      <c r="AE144" s="70">
        <f xml:space="preserve"> Metalkol_Model1!AE785</f>
        <v>0</v>
      </c>
      <c r="AF144" s="70">
        <f xml:space="preserve"> Metalkol_Model1!AF785</f>
        <v>0</v>
      </c>
      <c r="AG144" s="70">
        <f xml:space="preserve"> Metalkol_Model1!AG785</f>
        <v>0</v>
      </c>
      <c r="AH144" s="70">
        <f xml:space="preserve"> Metalkol_Model1!AH785</f>
        <v>0</v>
      </c>
      <c r="AI144" s="70">
        <f xml:space="preserve"> Metalkol_Model1!AI785</f>
        <v>0</v>
      </c>
      <c r="AJ144" s="70">
        <f xml:space="preserve"> Metalkol_Model1!AJ785</f>
        <v>0</v>
      </c>
      <c r="AK144" s="70">
        <f xml:space="preserve"> Metalkol_Model1!AK785</f>
        <v>0</v>
      </c>
      <c r="AL144" s="70">
        <f xml:space="preserve"> Metalkol_Model1!AL785</f>
        <v>0</v>
      </c>
      <c r="AM144" s="70">
        <f xml:space="preserve"> Metalkol_Model1!AM785</f>
        <v>0</v>
      </c>
      <c r="AN144" s="70">
        <f xml:space="preserve"> Metalkol_Model1!AN785</f>
        <v>0</v>
      </c>
      <c r="AO144" s="70">
        <f xml:space="preserve"> Metalkol_Model1!AO785</f>
        <v>0</v>
      </c>
      <c r="AP144" s="70">
        <f xml:space="preserve"> Metalkol_Model1!AP785</f>
        <v>0</v>
      </c>
      <c r="AQ144" s="70">
        <f xml:space="preserve"> Metalkol_Model1!AQ785</f>
        <v>0</v>
      </c>
      <c r="AR144" s="70">
        <f xml:space="preserve"> Metalkol_Model1!AR785</f>
        <v>0</v>
      </c>
      <c r="AS144" s="70">
        <f xml:space="preserve"> Metalkol_Model1!AS785</f>
        <v>0</v>
      </c>
      <c r="AT144" s="70">
        <f xml:space="preserve"> Metalkol_Model1!AT785</f>
        <v>0</v>
      </c>
      <c r="AU144" s="70">
        <f xml:space="preserve"> Metalkol_Model1!AU785</f>
        <v>0</v>
      </c>
      <c r="AV144" s="70">
        <f xml:space="preserve"> Metalkol_Model1!AV785</f>
        <v>0</v>
      </c>
    </row>
    <row r="145" spans="5:48" ht="15" customHeight="1">
      <c r="E145" s="70" t="str">
        <f xml:space="preserve"> Metalkol_Model1!E786</f>
        <v>Special Tax On Excess Profits</v>
      </c>
      <c r="F145" s="70">
        <f xml:space="preserve"> Metalkol_Model1!F786</f>
        <v>0</v>
      </c>
      <c r="G145" s="70" t="str">
        <f xml:space="preserve"> Metalkol_Model1!G786</f>
        <v>$ mn</v>
      </c>
      <c r="H145" s="70">
        <f xml:space="preserve"> Metalkol_Model1!H786</f>
        <v>0</v>
      </c>
      <c r="I145" s="76">
        <f xml:space="preserve"> Metalkol_Model1!I786</f>
        <v>0</v>
      </c>
      <c r="J145" s="70">
        <f xml:space="preserve"> Metalkol_Model1!J786</f>
        <v>0</v>
      </c>
      <c r="K145" s="76">
        <f xml:space="preserve"> Metalkol_Model1!K786</f>
        <v>0</v>
      </c>
      <c r="L145" s="70">
        <f xml:space="preserve"> Metalkol_Model1!L786</f>
        <v>0</v>
      </c>
      <c r="M145" s="70">
        <f xml:space="preserve"> Metalkol_Model1!M786</f>
        <v>0</v>
      </c>
      <c r="N145" s="70">
        <f xml:space="preserve"> Metalkol_Model1!N786</f>
        <v>0</v>
      </c>
      <c r="O145" s="70">
        <f xml:space="preserve"> Metalkol_Model1!O786</f>
        <v>0</v>
      </c>
      <c r="P145" s="70">
        <f xml:space="preserve"> Metalkol_Model1!P786</f>
        <v>0</v>
      </c>
      <c r="Q145" s="70">
        <f xml:space="preserve"> Metalkol_Model1!Q786</f>
        <v>0</v>
      </c>
      <c r="R145" s="70">
        <f xml:space="preserve"> Metalkol_Model1!R786</f>
        <v>0</v>
      </c>
      <c r="S145" s="70">
        <f xml:space="preserve"> Metalkol_Model1!S786</f>
        <v>0</v>
      </c>
      <c r="T145" s="70">
        <f xml:space="preserve"> Metalkol_Model1!T786</f>
        <v>0</v>
      </c>
      <c r="U145" s="70">
        <f xml:space="preserve"> Metalkol_Model1!U786</f>
        <v>0</v>
      </c>
      <c r="V145" s="70">
        <f xml:space="preserve"> Metalkol_Model1!V786</f>
        <v>0</v>
      </c>
      <c r="W145" s="70">
        <f xml:space="preserve"> Metalkol_Model1!W786</f>
        <v>0</v>
      </c>
      <c r="X145" s="70">
        <f xml:space="preserve"> Metalkol_Model1!X786</f>
        <v>0</v>
      </c>
      <c r="Y145" s="70">
        <f xml:space="preserve"> Metalkol_Model1!Y786</f>
        <v>0</v>
      </c>
      <c r="Z145" s="70">
        <f xml:space="preserve"> Metalkol_Model1!Z786</f>
        <v>0</v>
      </c>
      <c r="AA145" s="70">
        <f xml:space="preserve"> Metalkol_Model1!AA786</f>
        <v>0</v>
      </c>
      <c r="AB145" s="70">
        <f xml:space="preserve"> Metalkol_Model1!AB786</f>
        <v>0</v>
      </c>
      <c r="AC145" s="70">
        <f xml:space="preserve"> Metalkol_Model1!AC786</f>
        <v>0</v>
      </c>
      <c r="AD145" s="70">
        <f xml:space="preserve"> Metalkol_Model1!AD786</f>
        <v>0</v>
      </c>
      <c r="AE145" s="70">
        <f xml:space="preserve"> Metalkol_Model1!AE786</f>
        <v>0</v>
      </c>
      <c r="AF145" s="70">
        <f xml:space="preserve"> Metalkol_Model1!AF786</f>
        <v>0</v>
      </c>
      <c r="AG145" s="70">
        <f xml:space="preserve"> Metalkol_Model1!AG786</f>
        <v>0</v>
      </c>
      <c r="AH145" s="70">
        <f xml:space="preserve"> Metalkol_Model1!AH786</f>
        <v>0</v>
      </c>
      <c r="AI145" s="70">
        <f xml:space="preserve"> Metalkol_Model1!AI786</f>
        <v>0</v>
      </c>
      <c r="AJ145" s="70">
        <f xml:space="preserve"> Metalkol_Model1!AJ786</f>
        <v>0</v>
      </c>
      <c r="AK145" s="70">
        <f xml:space="preserve"> Metalkol_Model1!AK786</f>
        <v>0</v>
      </c>
      <c r="AL145" s="70">
        <f xml:space="preserve"> Metalkol_Model1!AL786</f>
        <v>0</v>
      </c>
      <c r="AM145" s="70">
        <f xml:space="preserve"> Metalkol_Model1!AM786</f>
        <v>0</v>
      </c>
      <c r="AN145" s="70">
        <f xml:space="preserve"> Metalkol_Model1!AN786</f>
        <v>0</v>
      </c>
      <c r="AO145" s="70">
        <f xml:space="preserve"> Metalkol_Model1!AO786</f>
        <v>0</v>
      </c>
      <c r="AP145" s="70">
        <f xml:space="preserve"> Metalkol_Model1!AP786</f>
        <v>0</v>
      </c>
      <c r="AQ145" s="70">
        <f xml:space="preserve"> Metalkol_Model1!AQ786</f>
        <v>0</v>
      </c>
      <c r="AR145" s="70">
        <f xml:space="preserve"> Metalkol_Model1!AR786</f>
        <v>0</v>
      </c>
      <c r="AS145" s="70">
        <f xml:space="preserve"> Metalkol_Model1!AS786</f>
        <v>0</v>
      </c>
      <c r="AT145" s="70">
        <f xml:space="preserve"> Metalkol_Model1!AT786</f>
        <v>0</v>
      </c>
      <c r="AU145" s="70">
        <f xml:space="preserve"> Metalkol_Model1!AU786</f>
        <v>0</v>
      </c>
      <c r="AV145" s="70">
        <f xml:space="preserve"> Metalkol_Model1!AV786</f>
        <v>0</v>
      </c>
    </row>
    <row r="146" spans="5:48" ht="15" customHeight="1">
      <c r="E146" s="70" t="str">
        <f xml:space="preserve"> Metalkol_Model1!E787</f>
        <v>Payroll taxes (included in costs)</v>
      </c>
      <c r="F146" s="70">
        <f xml:space="preserve"> Metalkol_Model1!F787</f>
        <v>0</v>
      </c>
      <c r="G146" s="70" t="str">
        <f xml:space="preserve"> Metalkol_Model1!G787</f>
        <v>$ mn</v>
      </c>
      <c r="H146" s="70">
        <f xml:space="preserve"> Metalkol_Model1!H787</f>
        <v>0</v>
      </c>
      <c r="I146" s="76">
        <f xml:space="preserve"> Metalkol_Model1!I787</f>
        <v>0</v>
      </c>
      <c r="J146" s="70">
        <f xml:space="preserve"> Metalkol_Model1!J787</f>
        <v>198.14906260966347</v>
      </c>
      <c r="K146" s="76">
        <f xml:space="preserve"> Metalkol_Model1!K787</f>
        <v>0</v>
      </c>
      <c r="L146" s="70">
        <f xml:space="preserve"> Metalkol_Model1!L787</f>
        <v>0</v>
      </c>
      <c r="M146" s="70">
        <f xml:space="preserve"> Metalkol_Model1!M787</f>
        <v>0</v>
      </c>
      <c r="N146" s="70">
        <f xml:space="preserve"> Metalkol_Model1!N787</f>
        <v>0</v>
      </c>
      <c r="O146" s="70">
        <f xml:space="preserve"> Metalkol_Model1!O787</f>
        <v>0</v>
      </c>
      <c r="P146" s="70">
        <f xml:space="preserve"> Metalkol_Model1!P787</f>
        <v>0</v>
      </c>
      <c r="Q146" s="70">
        <f xml:space="preserve"> Metalkol_Model1!Q787</f>
        <v>0</v>
      </c>
      <c r="R146" s="70">
        <f xml:space="preserve"> Metalkol_Model1!R787</f>
        <v>8.5400000000000009</v>
      </c>
      <c r="S146" s="70">
        <f xml:space="preserve"> Metalkol_Model1!S787</f>
        <v>10.64</v>
      </c>
      <c r="T146" s="70">
        <f xml:space="preserve"> Metalkol_Model1!T787</f>
        <v>14.1</v>
      </c>
      <c r="U146" s="70">
        <f xml:space="preserve"> Metalkol_Model1!U787</f>
        <v>14.485831425574377</v>
      </c>
      <c r="V146" s="70">
        <f xml:space="preserve"> Metalkol_Model1!V787</f>
        <v>15.211281323399248</v>
      </c>
      <c r="W146" s="70">
        <f xml:space="preserve"> Metalkol_Model1!W787</f>
        <v>15.70909013691362</v>
      </c>
      <c r="X146" s="70">
        <f xml:space="preserve"> Metalkol_Model1!X787</f>
        <v>16.018442795506687</v>
      </c>
      <c r="Y146" s="70">
        <f xml:space="preserve"> Metalkol_Model1!Y787</f>
        <v>16.337476745333156</v>
      </c>
      <c r="Z146" s="70">
        <f xml:space="preserve"> Metalkol_Model1!Z787</f>
        <v>16.756732538326823</v>
      </c>
      <c r="AA146" s="70">
        <f xml:space="preserve"> Metalkol_Model1!AA787</f>
        <v>17.024409072806872</v>
      </c>
      <c r="AB146" s="70">
        <f xml:space="preserve"> Metalkol_Model1!AB787</f>
        <v>17.332453605128741</v>
      </c>
      <c r="AC146" s="70">
        <f xml:space="preserve"> Metalkol_Model1!AC787</f>
        <v>17.944513126258659</v>
      </c>
      <c r="AD146" s="70">
        <f xml:space="preserve"> Metalkol_Model1!AD787</f>
        <v>18.048831840415318</v>
      </c>
      <c r="AE146" s="70">
        <f xml:space="preserve"> Metalkol_Model1!AE787</f>
        <v>0</v>
      </c>
      <c r="AF146" s="70">
        <f xml:space="preserve"> Metalkol_Model1!AF787</f>
        <v>0</v>
      </c>
      <c r="AG146" s="70">
        <f xml:space="preserve"> Metalkol_Model1!AG787</f>
        <v>0</v>
      </c>
      <c r="AH146" s="70">
        <f xml:space="preserve"> Metalkol_Model1!AH787</f>
        <v>0</v>
      </c>
      <c r="AI146" s="70">
        <f xml:space="preserve"> Metalkol_Model1!AI787</f>
        <v>0</v>
      </c>
      <c r="AJ146" s="70">
        <f xml:space="preserve"> Metalkol_Model1!AJ787</f>
        <v>0</v>
      </c>
      <c r="AK146" s="70">
        <f xml:space="preserve"> Metalkol_Model1!AK787</f>
        <v>0</v>
      </c>
      <c r="AL146" s="70">
        <f xml:space="preserve"> Metalkol_Model1!AL787</f>
        <v>0</v>
      </c>
      <c r="AM146" s="70">
        <f xml:space="preserve"> Metalkol_Model1!AM787</f>
        <v>0</v>
      </c>
      <c r="AN146" s="70">
        <f xml:space="preserve"> Metalkol_Model1!AN787</f>
        <v>0</v>
      </c>
      <c r="AO146" s="70">
        <f xml:space="preserve"> Metalkol_Model1!AO787</f>
        <v>0</v>
      </c>
      <c r="AP146" s="70">
        <f xml:space="preserve"> Metalkol_Model1!AP787</f>
        <v>0</v>
      </c>
      <c r="AQ146" s="70">
        <f xml:space="preserve"> Metalkol_Model1!AQ787</f>
        <v>0</v>
      </c>
      <c r="AR146" s="70">
        <f xml:space="preserve"> Metalkol_Model1!AR787</f>
        <v>0</v>
      </c>
      <c r="AS146" s="70">
        <f xml:space="preserve"> Metalkol_Model1!AS787</f>
        <v>0</v>
      </c>
      <c r="AT146" s="70">
        <f xml:space="preserve"> Metalkol_Model1!AT787</f>
        <v>0</v>
      </c>
      <c r="AU146" s="70">
        <f xml:space="preserve"> Metalkol_Model1!AU787</f>
        <v>0</v>
      </c>
      <c r="AV146" s="70">
        <f xml:space="preserve"> Metalkol_Model1!AV787</f>
        <v>0</v>
      </c>
    </row>
    <row r="147" spans="5:48" ht="15" customHeight="1">
      <c r="E147" s="70" t="str">
        <f xml:space="preserve"> Metalkol_Model1!E788</f>
        <v>Import duties</v>
      </c>
      <c r="F147" s="70">
        <f xml:space="preserve"> Metalkol_Model1!F788</f>
        <v>0</v>
      </c>
      <c r="G147" s="70" t="str">
        <f xml:space="preserve"> Metalkol_Model1!G788</f>
        <v>$ mn</v>
      </c>
      <c r="H147" s="70">
        <f xml:space="preserve"> Metalkol_Model1!H788</f>
        <v>0</v>
      </c>
      <c r="I147" s="70">
        <f xml:space="preserve"> Metalkol_Model1!I788</f>
        <v>0</v>
      </c>
      <c r="J147" s="70">
        <f xml:space="preserve"> Metalkol_Model1!J788</f>
        <v>15.316407444483447</v>
      </c>
      <c r="K147" s="70">
        <f xml:space="preserve"> Metalkol_Model1!K788</f>
        <v>0</v>
      </c>
      <c r="L147" s="70">
        <f xml:space="preserve"> Metalkol_Model1!L788</f>
        <v>0</v>
      </c>
      <c r="M147" s="70">
        <f xml:space="preserve"> Metalkol_Model1!M788</f>
        <v>0</v>
      </c>
      <c r="N147" s="70">
        <f xml:space="preserve"> Metalkol_Model1!N788</f>
        <v>0</v>
      </c>
      <c r="O147" s="70">
        <f xml:space="preserve"> Metalkol_Model1!O788</f>
        <v>0</v>
      </c>
      <c r="P147" s="70">
        <f xml:space="preserve"> Metalkol_Model1!P788</f>
        <v>1.7756350777216481</v>
      </c>
      <c r="Q147" s="70">
        <f xml:space="preserve"> Metalkol_Model1!Q788</f>
        <v>3.4820250524972924</v>
      </c>
      <c r="R147" s="70">
        <f xml:space="preserve"> Metalkol_Model1!R788</f>
        <v>0</v>
      </c>
      <c r="S147" s="70">
        <f xml:space="preserve"> Metalkol_Model1!S788</f>
        <v>0</v>
      </c>
      <c r="T147" s="70">
        <f xml:space="preserve"> Metalkol_Model1!T788</f>
        <v>10.058747314264506</v>
      </c>
      <c r="U147" s="70">
        <f xml:space="preserve"> Metalkol_Model1!U788</f>
        <v>0</v>
      </c>
      <c r="V147" s="70">
        <f xml:space="preserve"> Metalkol_Model1!V788</f>
        <v>0</v>
      </c>
      <c r="W147" s="70">
        <f xml:space="preserve"> Metalkol_Model1!W788</f>
        <v>0</v>
      </c>
      <c r="X147" s="70">
        <f xml:space="preserve"> Metalkol_Model1!X788</f>
        <v>0</v>
      </c>
      <c r="Y147" s="70">
        <f xml:space="preserve"> Metalkol_Model1!Y788</f>
        <v>0</v>
      </c>
      <c r="Z147" s="70">
        <f xml:space="preserve"> Metalkol_Model1!Z788</f>
        <v>0</v>
      </c>
      <c r="AA147" s="70">
        <f xml:space="preserve"> Metalkol_Model1!AA788</f>
        <v>0</v>
      </c>
      <c r="AB147" s="70">
        <f xml:space="preserve"> Metalkol_Model1!AB788</f>
        <v>0</v>
      </c>
      <c r="AC147" s="70">
        <f xml:space="preserve"> Metalkol_Model1!AC788</f>
        <v>0</v>
      </c>
      <c r="AD147" s="70">
        <f xml:space="preserve"> Metalkol_Model1!AD788</f>
        <v>0</v>
      </c>
      <c r="AE147" s="70">
        <f xml:space="preserve"> Metalkol_Model1!AE788</f>
        <v>0</v>
      </c>
      <c r="AF147" s="70">
        <f xml:space="preserve"> Metalkol_Model1!AF788</f>
        <v>0</v>
      </c>
      <c r="AG147" s="70">
        <f xml:space="preserve"> Metalkol_Model1!AG788</f>
        <v>0</v>
      </c>
      <c r="AH147" s="70">
        <f xml:space="preserve"> Metalkol_Model1!AH788</f>
        <v>0</v>
      </c>
      <c r="AI147" s="70">
        <f xml:space="preserve"> Metalkol_Model1!AI788</f>
        <v>0</v>
      </c>
      <c r="AJ147" s="70">
        <f xml:space="preserve"> Metalkol_Model1!AJ788</f>
        <v>0</v>
      </c>
      <c r="AK147" s="70">
        <f xml:space="preserve"> Metalkol_Model1!AK788</f>
        <v>0</v>
      </c>
      <c r="AL147" s="70">
        <f xml:space="preserve"> Metalkol_Model1!AL788</f>
        <v>0</v>
      </c>
      <c r="AM147" s="70">
        <f xml:space="preserve"> Metalkol_Model1!AM788</f>
        <v>0</v>
      </c>
      <c r="AN147" s="70">
        <f xml:space="preserve"> Metalkol_Model1!AN788</f>
        <v>0</v>
      </c>
      <c r="AO147" s="70">
        <f xml:space="preserve"> Metalkol_Model1!AO788</f>
        <v>0</v>
      </c>
      <c r="AP147" s="70">
        <f xml:space="preserve"> Metalkol_Model1!AP788</f>
        <v>0</v>
      </c>
      <c r="AQ147" s="70">
        <f xml:space="preserve"> Metalkol_Model1!AQ788</f>
        <v>0</v>
      </c>
      <c r="AR147" s="70">
        <f xml:space="preserve"> Metalkol_Model1!AR788</f>
        <v>0</v>
      </c>
      <c r="AS147" s="70">
        <f xml:space="preserve"> Metalkol_Model1!AS788</f>
        <v>0</v>
      </c>
      <c r="AT147" s="70">
        <f xml:space="preserve"> Metalkol_Model1!AT788</f>
        <v>0</v>
      </c>
      <c r="AU147" s="70">
        <f xml:space="preserve"> Metalkol_Model1!AU788</f>
        <v>0</v>
      </c>
      <c r="AV147" s="70">
        <f xml:space="preserve"> Metalkol_Model1!AV788</f>
        <v>0</v>
      </c>
    </row>
    <row r="148" spans="5:48" ht="15" customHeight="1">
      <c r="E148" s="70" t="str">
        <f xml:space="preserve"> Metalkol_Model1!E789</f>
        <v>Interest Withholding Tax</v>
      </c>
      <c r="F148" s="70">
        <f xml:space="preserve"> Metalkol_Model1!F789</f>
        <v>0</v>
      </c>
      <c r="G148" s="70" t="str">
        <f xml:space="preserve"> Metalkol_Model1!G789</f>
        <v>$ mn</v>
      </c>
      <c r="H148" s="70">
        <f xml:space="preserve"> Metalkol_Model1!H789</f>
        <v>0</v>
      </c>
      <c r="I148" s="70">
        <f xml:space="preserve"> Metalkol_Model1!I789</f>
        <v>0</v>
      </c>
      <c r="J148" s="70">
        <f xml:space="preserve"> Metalkol_Model1!J789</f>
        <v>0</v>
      </c>
      <c r="K148" s="70">
        <f xml:space="preserve"> Metalkol_Model1!K789</f>
        <v>0</v>
      </c>
      <c r="L148" s="70">
        <f xml:space="preserve"> Metalkol_Model1!L789</f>
        <v>0</v>
      </c>
      <c r="M148" s="70">
        <f xml:space="preserve"> Metalkol_Model1!M789</f>
        <v>0</v>
      </c>
      <c r="N148" s="70">
        <f xml:space="preserve"> Metalkol_Model1!N789</f>
        <v>0</v>
      </c>
      <c r="O148" s="70">
        <f xml:space="preserve"> Metalkol_Model1!O789</f>
        <v>0</v>
      </c>
      <c r="P148" s="70">
        <f xml:space="preserve"> Metalkol_Model1!P789</f>
        <v>0</v>
      </c>
      <c r="Q148" s="70">
        <f xml:space="preserve"> Metalkol_Model1!Q789</f>
        <v>0</v>
      </c>
      <c r="R148" s="70">
        <f xml:space="preserve"> Metalkol_Model1!R789</f>
        <v>0</v>
      </c>
      <c r="S148" s="70">
        <f xml:space="preserve"> Metalkol_Model1!S789</f>
        <v>0</v>
      </c>
      <c r="T148" s="70">
        <f xml:space="preserve"> Metalkol_Model1!T789</f>
        <v>0</v>
      </c>
      <c r="U148" s="70">
        <f xml:space="preserve"> Metalkol_Model1!U789</f>
        <v>0</v>
      </c>
      <c r="V148" s="70">
        <f xml:space="preserve"> Metalkol_Model1!V789</f>
        <v>0</v>
      </c>
      <c r="W148" s="70">
        <f xml:space="preserve"> Metalkol_Model1!W789</f>
        <v>0</v>
      </c>
      <c r="X148" s="70">
        <f xml:space="preserve"> Metalkol_Model1!X789</f>
        <v>0</v>
      </c>
      <c r="Y148" s="70">
        <f xml:space="preserve"> Metalkol_Model1!Y789</f>
        <v>0</v>
      </c>
      <c r="Z148" s="70">
        <f xml:space="preserve"> Metalkol_Model1!Z789</f>
        <v>0</v>
      </c>
      <c r="AA148" s="70">
        <f xml:space="preserve"> Metalkol_Model1!AA789</f>
        <v>0</v>
      </c>
      <c r="AB148" s="70">
        <f xml:space="preserve"> Metalkol_Model1!AB789</f>
        <v>0</v>
      </c>
      <c r="AC148" s="70">
        <f xml:space="preserve"> Metalkol_Model1!AC789</f>
        <v>0</v>
      </c>
      <c r="AD148" s="70">
        <f xml:space="preserve"> Metalkol_Model1!AD789</f>
        <v>0</v>
      </c>
      <c r="AE148" s="70">
        <f xml:space="preserve"> Metalkol_Model1!AE789</f>
        <v>0</v>
      </c>
      <c r="AF148" s="70">
        <f xml:space="preserve"> Metalkol_Model1!AF789</f>
        <v>0</v>
      </c>
      <c r="AG148" s="70">
        <f xml:space="preserve"> Metalkol_Model1!AG789</f>
        <v>0</v>
      </c>
      <c r="AH148" s="70">
        <f xml:space="preserve"> Metalkol_Model1!AH789</f>
        <v>0</v>
      </c>
      <c r="AI148" s="70">
        <f xml:space="preserve"> Metalkol_Model1!AI789</f>
        <v>0</v>
      </c>
      <c r="AJ148" s="70">
        <f xml:space="preserve"> Metalkol_Model1!AJ789</f>
        <v>0</v>
      </c>
      <c r="AK148" s="70">
        <f xml:space="preserve"> Metalkol_Model1!AK789</f>
        <v>0</v>
      </c>
      <c r="AL148" s="70">
        <f xml:space="preserve"> Metalkol_Model1!AL789</f>
        <v>0</v>
      </c>
      <c r="AM148" s="70">
        <f xml:space="preserve"> Metalkol_Model1!AM789</f>
        <v>0</v>
      </c>
      <c r="AN148" s="70">
        <f xml:space="preserve"> Metalkol_Model1!AN789</f>
        <v>0</v>
      </c>
      <c r="AO148" s="70">
        <f xml:space="preserve"> Metalkol_Model1!AO789</f>
        <v>0</v>
      </c>
      <c r="AP148" s="70">
        <f xml:space="preserve"> Metalkol_Model1!AP789</f>
        <v>0</v>
      </c>
      <c r="AQ148" s="70">
        <f xml:space="preserve"> Metalkol_Model1!AQ789</f>
        <v>0</v>
      </c>
      <c r="AR148" s="70">
        <f xml:space="preserve"> Metalkol_Model1!AR789</f>
        <v>0</v>
      </c>
      <c r="AS148" s="70">
        <f xml:space="preserve"> Metalkol_Model1!AS789</f>
        <v>0</v>
      </c>
      <c r="AT148" s="70">
        <f xml:space="preserve"> Metalkol_Model1!AT789</f>
        <v>0</v>
      </c>
      <c r="AU148" s="70">
        <f xml:space="preserve"> Metalkol_Model1!AU789</f>
        <v>0</v>
      </c>
      <c r="AV148" s="70">
        <f xml:space="preserve"> Metalkol_Model1!AV789</f>
        <v>0</v>
      </c>
    </row>
    <row r="149" spans="5:48" ht="15" customHeight="1">
      <c r="E149" s="70" t="str">
        <f xml:space="preserve"> Metalkol_Model1!E790</f>
        <v>Dividend withholding tax</v>
      </c>
      <c r="F149" s="70">
        <f xml:space="preserve"> Metalkol_Model1!F790</f>
        <v>0</v>
      </c>
      <c r="G149" s="70" t="str">
        <f xml:space="preserve"> Metalkol_Model1!G790</f>
        <v>$ mn</v>
      </c>
      <c r="H149" s="70">
        <f xml:space="preserve"> Metalkol_Model1!H790</f>
        <v>0</v>
      </c>
      <c r="I149" s="70">
        <f xml:space="preserve"> Metalkol_Model1!I790</f>
        <v>0</v>
      </c>
      <c r="J149" s="70">
        <f xml:space="preserve"> Metalkol_Model1!J790</f>
        <v>284.73360235425861</v>
      </c>
      <c r="K149" s="70">
        <f xml:space="preserve"> Metalkol_Model1!K790</f>
        <v>0</v>
      </c>
      <c r="L149" s="70">
        <f xml:space="preserve"> Metalkol_Model1!L790</f>
        <v>0</v>
      </c>
      <c r="M149" s="70">
        <f xml:space="preserve"> Metalkol_Model1!M790</f>
        <v>0</v>
      </c>
      <c r="N149" s="70">
        <f xml:space="preserve"> Metalkol_Model1!N790</f>
        <v>0</v>
      </c>
      <c r="O149" s="70">
        <f xml:space="preserve"> Metalkol_Model1!O790</f>
        <v>0</v>
      </c>
      <c r="P149" s="70">
        <f xml:space="preserve"> Metalkol_Model1!P790</f>
        <v>0</v>
      </c>
      <c r="Q149" s="70">
        <f xml:space="preserve"> Metalkol_Model1!Q790</f>
        <v>25.902127734161525</v>
      </c>
      <c r="R149" s="70">
        <f xml:space="preserve"> Metalkol_Model1!R790</f>
        <v>16.890896425955646</v>
      </c>
      <c r="S149" s="70">
        <f xml:space="preserve"> Metalkol_Model1!S790</f>
        <v>55.660156486177186</v>
      </c>
      <c r="T149" s="70">
        <f xml:space="preserve"> Metalkol_Model1!T790</f>
        <v>52.940986442394319</v>
      </c>
      <c r="U149" s="70">
        <f xml:space="preserve"> Metalkol_Model1!U790</f>
        <v>22.541759252892845</v>
      </c>
      <c r="V149" s="70">
        <f xml:space="preserve"> Metalkol_Model1!V790</f>
        <v>11.400590730927673</v>
      </c>
      <c r="W149" s="70">
        <f xml:space="preserve"> Metalkol_Model1!W790</f>
        <v>16.314082116819993</v>
      </c>
      <c r="X149" s="70">
        <f xml:space="preserve"> Metalkol_Model1!X790</f>
        <v>9.8143467987945492</v>
      </c>
      <c r="Y149" s="70">
        <f xml:space="preserve"> Metalkol_Model1!Y790</f>
        <v>3.9561482189484538</v>
      </c>
      <c r="Z149" s="70">
        <f xml:space="preserve"> Metalkol_Model1!Z790</f>
        <v>0</v>
      </c>
      <c r="AA149" s="70">
        <f xml:space="preserve"> Metalkol_Model1!AA790</f>
        <v>0</v>
      </c>
      <c r="AB149" s="70">
        <f xml:space="preserve"> Metalkol_Model1!AB790</f>
        <v>8.91545080946082</v>
      </c>
      <c r="AC149" s="70">
        <f xml:space="preserve"> Metalkol_Model1!AC790</f>
        <v>29.433232336642178</v>
      </c>
      <c r="AD149" s="70">
        <f xml:space="preserve"> Metalkol_Model1!AD790</f>
        <v>30.963825001083411</v>
      </c>
      <c r="AE149" s="70">
        <f xml:space="preserve"> Metalkol_Model1!AE790</f>
        <v>0</v>
      </c>
      <c r="AF149" s="70">
        <f xml:space="preserve"> Metalkol_Model1!AF790</f>
        <v>0</v>
      </c>
      <c r="AG149" s="70">
        <f xml:space="preserve"> Metalkol_Model1!AG790</f>
        <v>0</v>
      </c>
      <c r="AH149" s="70">
        <f xml:space="preserve"> Metalkol_Model1!AH790</f>
        <v>0</v>
      </c>
      <c r="AI149" s="70">
        <f xml:space="preserve"> Metalkol_Model1!AI790</f>
        <v>0</v>
      </c>
      <c r="AJ149" s="70">
        <f xml:space="preserve"> Metalkol_Model1!AJ790</f>
        <v>0</v>
      </c>
      <c r="AK149" s="70">
        <f xml:space="preserve"> Metalkol_Model1!AK790</f>
        <v>0</v>
      </c>
      <c r="AL149" s="70">
        <f xml:space="preserve"> Metalkol_Model1!AL790</f>
        <v>0</v>
      </c>
      <c r="AM149" s="70">
        <f xml:space="preserve"> Metalkol_Model1!AM790</f>
        <v>0</v>
      </c>
      <c r="AN149" s="70">
        <f xml:space="preserve"> Metalkol_Model1!AN790</f>
        <v>0</v>
      </c>
      <c r="AO149" s="70">
        <f xml:space="preserve"> Metalkol_Model1!AO790</f>
        <v>0</v>
      </c>
      <c r="AP149" s="70">
        <f xml:space="preserve"> Metalkol_Model1!AP790</f>
        <v>0</v>
      </c>
      <c r="AQ149" s="70">
        <f xml:space="preserve"> Metalkol_Model1!AQ790</f>
        <v>0</v>
      </c>
      <c r="AR149" s="70">
        <f xml:space="preserve"> Metalkol_Model1!AR790</f>
        <v>0</v>
      </c>
      <c r="AS149" s="70">
        <f xml:space="preserve"> Metalkol_Model1!AS790</f>
        <v>0</v>
      </c>
      <c r="AT149" s="70">
        <f xml:space="preserve"> Metalkol_Model1!AT790</f>
        <v>0</v>
      </c>
      <c r="AU149" s="70">
        <f xml:space="preserve"> Metalkol_Model1!AU790</f>
        <v>0</v>
      </c>
      <c r="AV149" s="70">
        <f xml:space="preserve"> Metalkol_Model1!AV790</f>
        <v>0</v>
      </c>
    </row>
    <row r="150" spans="5:48" ht="15" customHeight="1">
      <c r="E150" s="70" t="str">
        <f xml:space="preserve"> Metalkol_Model1!E791</f>
        <v>WHT on non-resident services</v>
      </c>
      <c r="F150" s="70">
        <f xml:space="preserve"> Metalkol_Model1!F791</f>
        <v>0</v>
      </c>
      <c r="G150" s="70" t="str">
        <f xml:space="preserve"> Metalkol_Model1!G791</f>
        <v>$ mn</v>
      </c>
      <c r="H150" s="70">
        <f xml:space="preserve"> Metalkol_Model1!H791</f>
        <v>0</v>
      </c>
      <c r="I150" s="70">
        <f xml:space="preserve"> Metalkol_Model1!I791</f>
        <v>0</v>
      </c>
      <c r="J150" s="70">
        <f xml:space="preserve"> Metalkol_Model1!J791</f>
        <v>116.1293554984677</v>
      </c>
      <c r="K150" s="70">
        <f xml:space="preserve"> Metalkol_Model1!K791</f>
        <v>0</v>
      </c>
      <c r="L150" s="70">
        <f xml:space="preserve"> Metalkol_Model1!L791</f>
        <v>0</v>
      </c>
      <c r="M150" s="70">
        <f xml:space="preserve"> Metalkol_Model1!M791</f>
        <v>0</v>
      </c>
      <c r="N150" s="70">
        <f xml:space="preserve"> Metalkol_Model1!N791</f>
        <v>0</v>
      </c>
      <c r="O150" s="70">
        <f xml:space="preserve"> Metalkol_Model1!O791</f>
        <v>0</v>
      </c>
      <c r="P150" s="70">
        <f xml:space="preserve"> Metalkol_Model1!P791</f>
        <v>19.799919999999997</v>
      </c>
      <c r="Q150" s="70">
        <f xml:space="preserve"> Metalkol_Model1!Q791</f>
        <v>3.4417600000000004</v>
      </c>
      <c r="R150" s="70">
        <f xml:space="preserve"> Metalkol_Model1!R791</f>
        <v>4.905153633597104</v>
      </c>
      <c r="S150" s="70">
        <f xml:space="preserve"> Metalkol_Model1!S791</f>
        <v>5.0413991194314169</v>
      </c>
      <c r="T150" s="70">
        <f xml:space="preserve"> Metalkol_Model1!T791</f>
        <v>6.6039795103128069</v>
      </c>
      <c r="U150" s="70">
        <f xml:space="preserve"> Metalkol_Model1!U791</f>
        <v>6.480050692231405</v>
      </c>
      <c r="V150" s="70">
        <f xml:space="preserve"> Metalkol_Model1!V791</f>
        <v>7.2970733100523271</v>
      </c>
      <c r="W150" s="70">
        <f xml:space="preserve"> Metalkol_Model1!W791</f>
        <v>7.1625197884942295</v>
      </c>
      <c r="X150" s="70">
        <f xml:space="preserve"> Metalkol_Model1!X791</f>
        <v>7.7389916412084201</v>
      </c>
      <c r="Y150" s="70">
        <f xml:space="preserve"> Metalkol_Model1!Y791</f>
        <v>7.3653308966799234</v>
      </c>
      <c r="Z150" s="70">
        <f xml:space="preserve"> Metalkol_Model1!Z791</f>
        <v>7.8155346410725848</v>
      </c>
      <c r="AA150" s="70">
        <f xml:space="preserve"> Metalkol_Model1!AA791</f>
        <v>7.6564461253809046</v>
      </c>
      <c r="AB150" s="70">
        <f xml:space="preserve"> Metalkol_Model1!AB791</f>
        <v>8.5170433605766043</v>
      </c>
      <c r="AC150" s="70">
        <f xml:space="preserve"> Metalkol_Model1!AC791</f>
        <v>8.0311319353889452</v>
      </c>
      <c r="AD150" s="70">
        <f xml:space="preserve"> Metalkol_Model1!AD791</f>
        <v>8.2730208440410351</v>
      </c>
      <c r="AE150" s="70">
        <f xml:space="preserve"> Metalkol_Model1!AE791</f>
        <v>0</v>
      </c>
      <c r="AF150" s="70">
        <f xml:space="preserve"> Metalkol_Model1!AF791</f>
        <v>0</v>
      </c>
      <c r="AG150" s="70">
        <f xml:space="preserve"> Metalkol_Model1!AG791</f>
        <v>0</v>
      </c>
      <c r="AH150" s="70">
        <f xml:space="preserve"> Metalkol_Model1!AH791</f>
        <v>0</v>
      </c>
      <c r="AI150" s="70">
        <f xml:space="preserve"> Metalkol_Model1!AI791</f>
        <v>0</v>
      </c>
      <c r="AJ150" s="70">
        <f xml:space="preserve"> Metalkol_Model1!AJ791</f>
        <v>0</v>
      </c>
      <c r="AK150" s="70">
        <f xml:space="preserve"> Metalkol_Model1!AK791</f>
        <v>0</v>
      </c>
      <c r="AL150" s="70">
        <f xml:space="preserve"> Metalkol_Model1!AL791</f>
        <v>0</v>
      </c>
      <c r="AM150" s="70">
        <f xml:space="preserve"> Metalkol_Model1!AM791</f>
        <v>0</v>
      </c>
      <c r="AN150" s="70">
        <f xml:space="preserve"> Metalkol_Model1!AN791</f>
        <v>0</v>
      </c>
      <c r="AO150" s="70">
        <f xml:space="preserve"> Metalkol_Model1!AO791</f>
        <v>0</v>
      </c>
      <c r="AP150" s="70">
        <f xml:space="preserve"> Metalkol_Model1!AP791</f>
        <v>0</v>
      </c>
      <c r="AQ150" s="70">
        <f xml:space="preserve"> Metalkol_Model1!AQ791</f>
        <v>0</v>
      </c>
      <c r="AR150" s="70">
        <f xml:space="preserve"> Metalkol_Model1!AR791</f>
        <v>0</v>
      </c>
      <c r="AS150" s="70">
        <f xml:space="preserve"> Metalkol_Model1!AS791</f>
        <v>0</v>
      </c>
      <c r="AT150" s="70">
        <f xml:space="preserve"> Metalkol_Model1!AT791</f>
        <v>0</v>
      </c>
      <c r="AU150" s="70">
        <f xml:space="preserve"> Metalkol_Model1!AU791</f>
        <v>0</v>
      </c>
      <c r="AV150" s="70">
        <f xml:space="preserve"> Metalkol_Model1!AV791</f>
        <v>0</v>
      </c>
    </row>
    <row r="151" spans="5:48" ht="15" customHeight="1">
      <c r="E151" s="408">
        <f xml:space="preserve"> Metalkol_Model1!E792</f>
        <v>0</v>
      </c>
      <c r="F151" s="408" t="str">
        <f xml:space="preserve"> Metalkol_Model1!F792</f>
        <v>bottom</v>
      </c>
      <c r="G151" s="408">
        <f xml:space="preserve"> Metalkol_Model1!G792</f>
        <v>0</v>
      </c>
      <c r="H151" s="408">
        <f xml:space="preserve"> Metalkol_Model1!H792</f>
        <v>0</v>
      </c>
      <c r="I151" s="408">
        <f xml:space="preserve"> Metalkol_Model1!I792</f>
        <v>0</v>
      </c>
      <c r="J151" s="408">
        <f xml:space="preserve"> Metalkol_Model1!J792</f>
        <v>0</v>
      </c>
      <c r="K151" s="408">
        <f xml:space="preserve"> Metalkol_Model1!K792</f>
        <v>0</v>
      </c>
      <c r="L151" s="408">
        <f xml:space="preserve"> Metalkol_Model1!L792</f>
        <v>0</v>
      </c>
      <c r="M151" s="408">
        <f xml:space="preserve"> Metalkol_Model1!M792</f>
        <v>0</v>
      </c>
      <c r="N151" s="408">
        <f xml:space="preserve"> Metalkol_Model1!N792</f>
        <v>0</v>
      </c>
      <c r="O151" s="408">
        <f xml:space="preserve"> Metalkol_Model1!O792</f>
        <v>0</v>
      </c>
      <c r="P151" s="408">
        <f xml:space="preserve"> Metalkol_Model1!P792</f>
        <v>0</v>
      </c>
      <c r="Q151" s="408">
        <f xml:space="preserve"> Metalkol_Model1!Q792</f>
        <v>0</v>
      </c>
      <c r="R151" s="408">
        <f xml:space="preserve"> Metalkol_Model1!R792</f>
        <v>0</v>
      </c>
      <c r="S151" s="408">
        <f xml:space="preserve"> Metalkol_Model1!S792</f>
        <v>0</v>
      </c>
      <c r="T151" s="408">
        <f xml:space="preserve"> Metalkol_Model1!T792</f>
        <v>0</v>
      </c>
      <c r="U151" s="408">
        <f xml:space="preserve"> Metalkol_Model1!U792</f>
        <v>0</v>
      </c>
      <c r="V151" s="408">
        <f xml:space="preserve"> Metalkol_Model1!V792</f>
        <v>0</v>
      </c>
      <c r="W151" s="408">
        <f xml:space="preserve"> Metalkol_Model1!W792</f>
        <v>0</v>
      </c>
      <c r="X151" s="408">
        <f xml:space="preserve"> Metalkol_Model1!X792</f>
        <v>0</v>
      </c>
      <c r="Y151" s="408">
        <f xml:space="preserve"> Metalkol_Model1!Y792</f>
        <v>0</v>
      </c>
      <c r="Z151" s="408">
        <f xml:space="preserve"> Metalkol_Model1!Z792</f>
        <v>0</v>
      </c>
      <c r="AA151" s="408">
        <f xml:space="preserve"> Metalkol_Model1!AA792</f>
        <v>0</v>
      </c>
      <c r="AB151" s="408">
        <f xml:space="preserve"> Metalkol_Model1!AB792</f>
        <v>0</v>
      </c>
      <c r="AC151" s="408">
        <f xml:space="preserve"> Metalkol_Model1!AC792</f>
        <v>0</v>
      </c>
      <c r="AD151" s="408">
        <f xml:space="preserve"> Metalkol_Model1!AD792</f>
        <v>0</v>
      </c>
      <c r="AE151" s="408">
        <f xml:space="preserve"> Metalkol_Model1!AE792</f>
        <v>0</v>
      </c>
      <c r="AF151" s="408">
        <f xml:space="preserve"> Metalkol_Model1!AF792</f>
        <v>0</v>
      </c>
      <c r="AG151" s="408">
        <f xml:space="preserve"> Metalkol_Model1!AG792</f>
        <v>0</v>
      </c>
      <c r="AH151" s="408">
        <f xml:space="preserve"> Metalkol_Model1!AH792</f>
        <v>0</v>
      </c>
      <c r="AI151" s="408">
        <f xml:space="preserve"> Metalkol_Model1!AI792</f>
        <v>0</v>
      </c>
      <c r="AJ151" s="408">
        <f xml:space="preserve"> Metalkol_Model1!AJ792</f>
        <v>0</v>
      </c>
      <c r="AK151" s="408">
        <f xml:space="preserve"> Metalkol_Model1!AK792</f>
        <v>0</v>
      </c>
      <c r="AL151" s="408">
        <f xml:space="preserve"> Metalkol_Model1!AL792</f>
        <v>0</v>
      </c>
      <c r="AM151" s="408">
        <f xml:space="preserve"> Metalkol_Model1!AM792</f>
        <v>0</v>
      </c>
      <c r="AN151" s="408">
        <f xml:space="preserve"> Metalkol_Model1!AN792</f>
        <v>0</v>
      </c>
      <c r="AO151" s="408">
        <f xml:space="preserve"> Metalkol_Model1!AO792</f>
        <v>0</v>
      </c>
      <c r="AP151" s="408">
        <f xml:space="preserve"> Metalkol_Model1!AP792</f>
        <v>0</v>
      </c>
      <c r="AQ151" s="408">
        <f xml:space="preserve"> Metalkol_Model1!AQ792</f>
        <v>0</v>
      </c>
      <c r="AR151" s="408">
        <f xml:space="preserve"> Metalkol_Model1!AR792</f>
        <v>0</v>
      </c>
      <c r="AS151" s="408">
        <f xml:space="preserve"> Metalkol_Model1!AS792</f>
        <v>0</v>
      </c>
      <c r="AT151" s="408">
        <f xml:space="preserve"> Metalkol_Model1!AT792</f>
        <v>0</v>
      </c>
      <c r="AU151" s="408">
        <f xml:space="preserve"> Metalkol_Model1!AU792</f>
        <v>0</v>
      </c>
      <c r="AV151" s="408">
        <f xml:space="preserve"> Metalkol_Model1!AV792</f>
        <v>0</v>
      </c>
    </row>
    <row r="152" spans="5:48" ht="15" customHeight="1">
      <c r="E152" s="70" t="str">
        <f xml:space="preserve"> Metalkol_Model1!E793</f>
        <v>Government revenues excl. Gecamines participation</v>
      </c>
      <c r="F152" s="70">
        <f xml:space="preserve"> Metalkol_Model1!F793</f>
        <v>0</v>
      </c>
      <c r="G152" s="70" t="str">
        <f xml:space="preserve"> Metalkol_Model1!G793</f>
        <v>$ mn</v>
      </c>
      <c r="H152" s="70">
        <f xml:space="preserve"> Metalkol_Model1!H793</f>
        <v>0</v>
      </c>
      <c r="I152" s="76">
        <f xml:space="preserve"> Metalkol_Model1!I793</f>
        <v>0</v>
      </c>
      <c r="J152" s="70">
        <f xml:space="preserve"> Metalkol_Model1!J793</f>
        <v>3201.1779972370141</v>
      </c>
      <c r="K152" s="76">
        <f xml:space="preserve"> Metalkol_Model1!K793</f>
        <v>0</v>
      </c>
      <c r="L152" s="70">
        <f xml:space="preserve"> Metalkol_Model1!L793</f>
        <v>0</v>
      </c>
      <c r="M152" s="70">
        <f xml:space="preserve"> Metalkol_Model1!M793</f>
        <v>0</v>
      </c>
      <c r="N152" s="70">
        <f xml:space="preserve"> Metalkol_Model1!N793</f>
        <v>0</v>
      </c>
      <c r="O152" s="70">
        <f xml:space="preserve"> Metalkol_Model1!O793</f>
        <v>0</v>
      </c>
      <c r="P152" s="70">
        <f xml:space="preserve"> Metalkol_Model1!P793</f>
        <v>23.791051457392751</v>
      </c>
      <c r="Q152" s="70">
        <f xml:space="preserve"> Metalkol_Model1!Q793</f>
        <v>278.54002294708886</v>
      </c>
      <c r="R152" s="70">
        <f xml:space="preserve"> Metalkol_Model1!R793</f>
        <v>119.65263848900783</v>
      </c>
      <c r="S152" s="70">
        <f xml:space="preserve"> Metalkol_Model1!S793</f>
        <v>348.18517326554991</v>
      </c>
      <c r="T152" s="70">
        <f xml:space="preserve"> Metalkol_Model1!T793</f>
        <v>389.50387848780395</v>
      </c>
      <c r="U152" s="70">
        <f xml:space="preserve"> Metalkol_Model1!U793</f>
        <v>156.43226157468644</v>
      </c>
      <c r="V152" s="70">
        <f xml:space="preserve"> Metalkol_Model1!V793</f>
        <v>113.64500193675771</v>
      </c>
      <c r="W152" s="70">
        <f xml:space="preserve"> Metalkol_Model1!W793</f>
        <v>212.21149042518854</v>
      </c>
      <c r="X152" s="70">
        <f xml:space="preserve"> Metalkol_Model1!X793</f>
        <v>205.99915596072478</v>
      </c>
      <c r="Y152" s="70">
        <f xml:space="preserve"> Metalkol_Model1!Y793</f>
        <v>191.72144050986023</v>
      </c>
      <c r="Z152" s="70">
        <f xml:space="preserve"> Metalkol_Model1!Z793</f>
        <v>197.22781519965909</v>
      </c>
      <c r="AA152" s="70">
        <f xml:space="preserve"> Metalkol_Model1!AA793</f>
        <v>199.66940662988583</v>
      </c>
      <c r="AB152" s="70">
        <f xml:space="preserve"> Metalkol_Model1!AB793</f>
        <v>215.42408862151638</v>
      </c>
      <c r="AC152" s="70">
        <f xml:space="preserve"> Metalkol_Model1!AC793</f>
        <v>275.14935526718682</v>
      </c>
      <c r="AD152" s="70">
        <f xml:space="preserve"> Metalkol_Model1!AD793</f>
        <v>274.02521646470473</v>
      </c>
      <c r="AE152" s="70">
        <f xml:space="preserve"> Metalkol_Model1!AE793</f>
        <v>0</v>
      </c>
      <c r="AF152" s="70">
        <f xml:space="preserve"> Metalkol_Model1!AF793</f>
        <v>0</v>
      </c>
      <c r="AG152" s="70">
        <f xml:space="preserve"> Metalkol_Model1!AG793</f>
        <v>0</v>
      </c>
      <c r="AH152" s="70">
        <f xml:space="preserve"> Metalkol_Model1!AH793</f>
        <v>0</v>
      </c>
      <c r="AI152" s="70">
        <f xml:space="preserve"> Metalkol_Model1!AI793</f>
        <v>0</v>
      </c>
      <c r="AJ152" s="70">
        <f xml:space="preserve"> Metalkol_Model1!AJ793</f>
        <v>0</v>
      </c>
      <c r="AK152" s="70">
        <f xml:space="preserve"> Metalkol_Model1!AK793</f>
        <v>0</v>
      </c>
      <c r="AL152" s="70">
        <f xml:space="preserve"> Metalkol_Model1!AL793</f>
        <v>0</v>
      </c>
      <c r="AM152" s="70">
        <f xml:space="preserve"> Metalkol_Model1!AM793</f>
        <v>0</v>
      </c>
      <c r="AN152" s="70">
        <f xml:space="preserve"> Metalkol_Model1!AN793</f>
        <v>0</v>
      </c>
      <c r="AO152" s="70">
        <f xml:space="preserve"> Metalkol_Model1!AO793</f>
        <v>0</v>
      </c>
      <c r="AP152" s="70">
        <f xml:space="preserve"> Metalkol_Model1!AP793</f>
        <v>0</v>
      </c>
      <c r="AQ152" s="70">
        <f xml:space="preserve"> Metalkol_Model1!AQ793</f>
        <v>0</v>
      </c>
      <c r="AR152" s="70">
        <f xml:space="preserve"> Metalkol_Model1!AR793</f>
        <v>0</v>
      </c>
      <c r="AS152" s="70">
        <f xml:space="preserve"> Metalkol_Model1!AS793</f>
        <v>0</v>
      </c>
      <c r="AT152" s="70">
        <f xml:space="preserve"> Metalkol_Model1!AT793</f>
        <v>0</v>
      </c>
      <c r="AU152" s="70">
        <f xml:space="preserve"> Metalkol_Model1!AU793</f>
        <v>0</v>
      </c>
      <c r="AV152" s="70">
        <f xml:space="preserve"> Metalkol_Model1!AV793</f>
        <v>0</v>
      </c>
    </row>
    <row r="153" spans="5:48" ht="15" customHeight="1">
      <c r="E153" s="70" t="str">
        <f xml:space="preserve"> Metalkol_Model1!E794</f>
        <v>Gecamines share of net cashflows after tax</v>
      </c>
      <c r="F153" s="70">
        <f xml:space="preserve"> Metalkol_Model1!F794</f>
        <v>0</v>
      </c>
      <c r="G153" s="70" t="str">
        <f xml:space="preserve"> Metalkol_Model1!G794</f>
        <v>$ mn</v>
      </c>
      <c r="H153" s="70">
        <f xml:space="preserve"> Metalkol_Model1!H794</f>
        <v>0</v>
      </c>
      <c r="I153" s="76">
        <f xml:space="preserve"> Metalkol_Model1!I794</f>
        <v>0</v>
      </c>
      <c r="J153" s="70">
        <f xml:space="preserve"> Metalkol_Model1!J794</f>
        <v>421.58818581567391</v>
      </c>
      <c r="K153" s="76">
        <f xml:space="preserve"> Metalkol_Model1!K794</f>
        <v>0</v>
      </c>
      <c r="L153" s="70">
        <f xml:space="preserve"> Metalkol_Model1!L794</f>
        <v>0</v>
      </c>
      <c r="M153" s="70">
        <f xml:space="preserve"> Metalkol_Model1!M794</f>
        <v>0</v>
      </c>
      <c r="N153" s="70">
        <f xml:space="preserve"> Metalkol_Model1!N794</f>
        <v>0</v>
      </c>
      <c r="O153" s="70">
        <f xml:space="preserve"> Metalkol_Model1!O794</f>
        <v>0</v>
      </c>
      <c r="P153" s="70">
        <f xml:space="preserve"> Metalkol_Model1!P794</f>
        <v>0</v>
      </c>
      <c r="Q153" s="70">
        <f xml:space="preserve"> Metalkol_Model1!Q794</f>
        <v>133.99765846001051</v>
      </c>
      <c r="R153" s="70">
        <f xml:space="preserve"> Metalkol_Model1!R794</f>
        <v>18.767662695506274</v>
      </c>
      <c r="S153" s="70">
        <f xml:space="preserve"> Metalkol_Model1!S794</f>
        <v>61.844618317974657</v>
      </c>
      <c r="T153" s="70">
        <f xml:space="preserve"> Metalkol_Model1!T794</f>
        <v>58.823318269327025</v>
      </c>
      <c r="U153" s="70">
        <f xml:space="preserve"> Metalkol_Model1!U794</f>
        <v>25.046399169880939</v>
      </c>
      <c r="V153" s="70">
        <f xml:space="preserve"> Metalkol_Model1!V794</f>
        <v>12.667323034364081</v>
      </c>
      <c r="W153" s="70">
        <f xml:space="preserve"> Metalkol_Model1!W794</f>
        <v>18.126757907577769</v>
      </c>
      <c r="X153" s="70">
        <f xml:space="preserve"> Metalkol_Model1!X794</f>
        <v>10.904829776438389</v>
      </c>
      <c r="Y153" s="70">
        <f xml:space="preserve"> Metalkol_Model1!Y794</f>
        <v>4.3957202432760596</v>
      </c>
      <c r="Z153" s="70">
        <f xml:space="preserve"> Metalkol_Model1!Z794</f>
        <v>0</v>
      </c>
      <c r="AA153" s="70">
        <f xml:space="preserve"> Metalkol_Model1!AA794</f>
        <v>0</v>
      </c>
      <c r="AB153" s="70">
        <f xml:space="preserve"> Metalkol_Model1!AB794</f>
        <v>9.9060564549564685</v>
      </c>
      <c r="AC153" s="70">
        <f xml:space="preserve"> Metalkol_Model1!AC794</f>
        <v>32.703591485157972</v>
      </c>
      <c r="AD153" s="70">
        <f xml:space="preserve"> Metalkol_Model1!AD794</f>
        <v>34.404250001203785</v>
      </c>
      <c r="AE153" s="70">
        <f xml:space="preserve"> Metalkol_Model1!AE794</f>
        <v>0</v>
      </c>
      <c r="AF153" s="70">
        <f xml:space="preserve"> Metalkol_Model1!AF794</f>
        <v>0</v>
      </c>
      <c r="AG153" s="70">
        <f xml:space="preserve"> Metalkol_Model1!AG794</f>
        <v>0</v>
      </c>
      <c r="AH153" s="70">
        <f xml:space="preserve"> Metalkol_Model1!AH794</f>
        <v>0</v>
      </c>
      <c r="AI153" s="70">
        <f xml:space="preserve"> Metalkol_Model1!AI794</f>
        <v>0</v>
      </c>
      <c r="AJ153" s="70">
        <f xml:space="preserve"> Metalkol_Model1!AJ794</f>
        <v>0</v>
      </c>
      <c r="AK153" s="70">
        <f xml:space="preserve"> Metalkol_Model1!AK794</f>
        <v>0</v>
      </c>
      <c r="AL153" s="70">
        <f xml:space="preserve"> Metalkol_Model1!AL794</f>
        <v>0</v>
      </c>
      <c r="AM153" s="70">
        <f xml:space="preserve"> Metalkol_Model1!AM794</f>
        <v>0</v>
      </c>
      <c r="AN153" s="70">
        <f xml:space="preserve"> Metalkol_Model1!AN794</f>
        <v>0</v>
      </c>
      <c r="AO153" s="70">
        <f xml:space="preserve"> Metalkol_Model1!AO794</f>
        <v>0</v>
      </c>
      <c r="AP153" s="70">
        <f xml:space="preserve"> Metalkol_Model1!AP794</f>
        <v>0</v>
      </c>
      <c r="AQ153" s="70">
        <f xml:space="preserve"> Metalkol_Model1!AQ794</f>
        <v>0</v>
      </c>
      <c r="AR153" s="70">
        <f xml:space="preserve"> Metalkol_Model1!AR794</f>
        <v>0</v>
      </c>
      <c r="AS153" s="70">
        <f xml:space="preserve"> Metalkol_Model1!AS794</f>
        <v>0</v>
      </c>
      <c r="AT153" s="70">
        <f xml:space="preserve"> Metalkol_Model1!AT794</f>
        <v>0</v>
      </c>
      <c r="AU153" s="70">
        <f xml:space="preserve"> Metalkol_Model1!AU794</f>
        <v>0</v>
      </c>
      <c r="AV153" s="70">
        <f xml:space="preserve"> Metalkol_Model1!AV794</f>
        <v>0</v>
      </c>
    </row>
    <row r="154" spans="5:48" ht="15" customHeight="1">
      <c r="E154" s="70" t="str">
        <f xml:space="preserve"> Metalkol_Model1!E795</f>
        <v xml:space="preserve">Government revenues incl. Gecamines </v>
      </c>
      <c r="F154" s="70">
        <f xml:space="preserve"> Metalkol_Model1!F795</f>
        <v>0</v>
      </c>
      <c r="G154" s="70" t="str">
        <f xml:space="preserve"> Metalkol_Model1!G795</f>
        <v>$ mn</v>
      </c>
      <c r="H154" s="70">
        <f xml:space="preserve"> Metalkol_Model1!H795</f>
        <v>0</v>
      </c>
      <c r="I154" s="76">
        <f xml:space="preserve"> Metalkol_Model1!I795</f>
        <v>0</v>
      </c>
      <c r="J154" s="70">
        <f xml:space="preserve"> Metalkol_Model1!J795</f>
        <v>3622.7661830526886</v>
      </c>
      <c r="K154" s="76">
        <f xml:space="preserve"> Metalkol_Model1!K795</f>
        <v>0</v>
      </c>
      <c r="L154" s="70">
        <f xml:space="preserve"> Metalkol_Model1!L795</f>
        <v>0</v>
      </c>
      <c r="M154" s="70">
        <f xml:space="preserve"> Metalkol_Model1!M795</f>
        <v>0</v>
      </c>
      <c r="N154" s="70">
        <f xml:space="preserve"> Metalkol_Model1!N795</f>
        <v>0</v>
      </c>
      <c r="O154" s="70">
        <f xml:space="preserve"> Metalkol_Model1!O795</f>
        <v>0</v>
      </c>
      <c r="P154" s="70">
        <f xml:space="preserve"> Metalkol_Model1!P795</f>
        <v>23.791051457392751</v>
      </c>
      <c r="Q154" s="70">
        <f xml:space="preserve"> Metalkol_Model1!Q795</f>
        <v>412.5376814070994</v>
      </c>
      <c r="R154" s="70">
        <f xml:space="preserve"> Metalkol_Model1!R795</f>
        <v>138.4203011845141</v>
      </c>
      <c r="S154" s="70">
        <f xml:space="preserve"> Metalkol_Model1!S795</f>
        <v>410.02979158352457</v>
      </c>
      <c r="T154" s="70">
        <f xml:space="preserve"> Metalkol_Model1!T795</f>
        <v>448.32719675713099</v>
      </c>
      <c r="U154" s="70">
        <f xml:space="preserve"> Metalkol_Model1!U795</f>
        <v>181.47866074456738</v>
      </c>
      <c r="V154" s="70">
        <f xml:space="preserve"> Metalkol_Model1!V795</f>
        <v>126.3123249711218</v>
      </c>
      <c r="W154" s="70">
        <f xml:space="preserve"> Metalkol_Model1!W795</f>
        <v>230.33824833276631</v>
      </c>
      <c r="X154" s="70">
        <f xml:space="preserve"> Metalkol_Model1!X795</f>
        <v>216.90398573716317</v>
      </c>
      <c r="Y154" s="70">
        <f xml:space="preserve"> Metalkol_Model1!Y795</f>
        <v>196.11716075313629</v>
      </c>
      <c r="Z154" s="70">
        <f xml:space="preserve"> Metalkol_Model1!Z795</f>
        <v>197.22781519965909</v>
      </c>
      <c r="AA154" s="70">
        <f xml:space="preserve"> Metalkol_Model1!AA795</f>
        <v>199.66940662988583</v>
      </c>
      <c r="AB154" s="70">
        <f xml:space="preserve"> Metalkol_Model1!AB795</f>
        <v>225.33014507647283</v>
      </c>
      <c r="AC154" s="70">
        <f xml:space="preserve"> Metalkol_Model1!AC795</f>
        <v>307.85294675234479</v>
      </c>
      <c r="AD154" s="70">
        <f xml:space="preserve"> Metalkol_Model1!AD795</f>
        <v>308.42946646590849</v>
      </c>
      <c r="AE154" s="70">
        <f xml:space="preserve"> Metalkol_Model1!AE795</f>
        <v>0</v>
      </c>
      <c r="AF154" s="70">
        <f xml:space="preserve"> Metalkol_Model1!AF795</f>
        <v>0</v>
      </c>
      <c r="AG154" s="70">
        <f xml:space="preserve"> Metalkol_Model1!AG795</f>
        <v>0</v>
      </c>
      <c r="AH154" s="70">
        <f xml:space="preserve"> Metalkol_Model1!AH795</f>
        <v>0</v>
      </c>
      <c r="AI154" s="70">
        <f xml:space="preserve"> Metalkol_Model1!AI795</f>
        <v>0</v>
      </c>
      <c r="AJ154" s="70">
        <f xml:space="preserve"> Metalkol_Model1!AJ795</f>
        <v>0</v>
      </c>
      <c r="AK154" s="70">
        <f xml:space="preserve"> Metalkol_Model1!AK795</f>
        <v>0</v>
      </c>
      <c r="AL154" s="70">
        <f xml:space="preserve"> Metalkol_Model1!AL795</f>
        <v>0</v>
      </c>
      <c r="AM154" s="70">
        <f xml:space="preserve"> Metalkol_Model1!AM795</f>
        <v>0</v>
      </c>
      <c r="AN154" s="70">
        <f xml:space="preserve"> Metalkol_Model1!AN795</f>
        <v>0</v>
      </c>
      <c r="AO154" s="70">
        <f xml:space="preserve"> Metalkol_Model1!AO795</f>
        <v>0</v>
      </c>
      <c r="AP154" s="70">
        <f xml:space="preserve"> Metalkol_Model1!AP795</f>
        <v>0</v>
      </c>
      <c r="AQ154" s="70">
        <f xml:space="preserve"> Metalkol_Model1!AQ795</f>
        <v>0</v>
      </c>
      <c r="AR154" s="70">
        <f xml:space="preserve"> Metalkol_Model1!AR795</f>
        <v>0</v>
      </c>
      <c r="AS154" s="70">
        <f xml:space="preserve"> Metalkol_Model1!AS795</f>
        <v>0</v>
      </c>
      <c r="AT154" s="70">
        <f xml:space="preserve"> Metalkol_Model1!AT795</f>
        <v>0</v>
      </c>
      <c r="AU154" s="70">
        <f xml:space="preserve"> Metalkol_Model1!AU795</f>
        <v>0</v>
      </c>
      <c r="AV154" s="70">
        <f xml:space="preserve"> Metalkol_Model1!AV795</f>
        <v>0</v>
      </c>
    </row>
    <row r="183" spans="1:11" s="233" customFormat="1" ht="15" customHeight="1">
      <c r="A183" s="231" t="s">
        <v>163</v>
      </c>
      <c r="B183" s="231"/>
      <c r="C183" s="232"/>
      <c r="I183" s="234"/>
      <c r="K183" s="243"/>
    </row>
  </sheetData>
  <conditionalFormatting sqref="F2">
    <cfRule type="cellIs" dxfId="164" priority="1" stopIfTrue="1" operator="notEqual">
      <formula>0</formula>
    </cfRule>
    <cfRule type="cellIs" dxfId="163" priority="2" stopIfTrue="1" operator="equal">
      <formula>""</formula>
    </cfRule>
  </conditionalFormatting>
  <conditionalFormatting sqref="F3">
    <cfRule type="cellIs" dxfId="162" priority="3" stopIfTrue="1" operator="notEqual">
      <formula>0</formula>
    </cfRule>
    <cfRule type="cellIs" dxfId="161" priority="4" stopIfTrue="1" operator="equal">
      <formula>""</formula>
    </cfRule>
  </conditionalFormatting>
  <conditionalFormatting sqref="L3:AV3">
    <cfRule type="cellIs" dxfId="160" priority="5" stopIfTrue="1" operator="equal">
      <formula>#REF!</formula>
    </cfRule>
    <cfRule type="cellIs" dxfId="159" priority="6" stopIfTrue="1" operator="equal">
      <formula>#REF!</formula>
    </cfRule>
    <cfRule type="cellIs" dxfId="158" priority="7" operator="equal">
      <formula>#REF!</formula>
    </cfRule>
    <cfRule type="cellIs" dxfId="157" priority="8" operator="equal">
      <formula>#REF!</formula>
    </cfRule>
  </conditionalFormatting>
  <conditionalFormatting sqref="M3:AV3">
    <cfRule type="cellIs" dxfId="156" priority="9" stopIfTrue="1" operator="equal">
      <formula>#REF!</formula>
    </cfRule>
    <cfRule type="cellIs" dxfId="155" priority="10" stopIfTrue="1" operator="equal">
      <formula>#REF!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0000"/>
  </sheetPr>
  <dimension ref="A1:T28"/>
  <sheetViews>
    <sheetView zoomScale="80" zoomScaleNormal="80" workbookViewId="0">
      <selection activeCell="F30" sqref="F30"/>
    </sheetView>
  </sheetViews>
  <sheetFormatPr baseColWidth="10" defaultColWidth="8.8984375" defaultRowHeight="13.8"/>
  <cols>
    <col min="1" max="1" width="0.8984375" style="631" customWidth="1"/>
    <col min="2" max="2" width="3.59765625" style="631" customWidth="1"/>
    <col min="3" max="3" width="24.8984375" style="631" customWidth="1"/>
    <col min="4" max="4" width="0.8984375" style="631" customWidth="1"/>
    <col min="5" max="5" width="7.296875" style="631" customWidth="1"/>
    <col min="6" max="6" width="33.09765625" style="631" customWidth="1"/>
    <col min="7" max="7" width="11.19921875" style="631" customWidth="1"/>
    <col min="8" max="8" width="9.796875" style="631" customWidth="1"/>
    <col min="9" max="9" width="12.69921875" style="631" customWidth="1"/>
    <col min="10" max="10" width="8.8984375" style="922"/>
    <col min="11" max="11" width="7.296875" style="631" customWidth="1"/>
    <col min="12" max="12" width="26.796875" style="631" customWidth="1"/>
    <col min="13" max="13" width="0.8984375" style="631" customWidth="1"/>
    <col min="14" max="16" width="8.8984375" style="631"/>
    <col min="17" max="17" width="0.8984375" style="631" customWidth="1"/>
    <col min="18" max="18" width="1.69921875" style="631" customWidth="1"/>
    <col min="19" max="19" width="7.59765625" style="950" customWidth="1"/>
    <col min="20" max="20" width="14.8984375" style="950" customWidth="1"/>
    <col min="21" max="16384" width="8.8984375" style="631"/>
  </cols>
  <sheetData>
    <row r="1" spans="1:20" ht="14.4" thickBot="1"/>
    <row r="2" spans="1:20">
      <c r="A2" s="632"/>
      <c r="B2" s="914" t="s">
        <v>1357</v>
      </c>
      <c r="C2" s="888"/>
      <c r="D2" s="888"/>
      <c r="E2" s="889"/>
      <c r="F2" s="889"/>
      <c r="G2" s="889"/>
      <c r="H2" s="889"/>
      <c r="I2" s="889"/>
      <c r="J2" s="923"/>
      <c r="K2" s="889"/>
      <c r="L2" s="889"/>
      <c r="M2" s="918"/>
      <c r="N2" s="889"/>
      <c r="O2" s="889"/>
      <c r="P2" s="889"/>
      <c r="Q2" s="633"/>
      <c r="S2" s="957" t="s">
        <v>979</v>
      </c>
      <c r="T2" s="966"/>
    </row>
    <row r="3" spans="1:20">
      <c r="A3" s="636"/>
      <c r="B3" s="637"/>
      <c r="C3" s="638" t="s">
        <v>980</v>
      </c>
      <c r="D3" s="930"/>
      <c r="E3" s="634" t="s">
        <v>981</v>
      </c>
      <c r="F3" s="639"/>
      <c r="G3" s="639"/>
      <c r="H3" s="639"/>
      <c r="I3" s="640"/>
      <c r="J3" s="924"/>
      <c r="K3" s="634" t="s">
        <v>982</v>
      </c>
      <c r="L3" s="635"/>
      <c r="M3" s="919"/>
      <c r="N3" s="639"/>
      <c r="O3" s="639"/>
      <c r="P3" s="639"/>
      <c r="Q3" s="641"/>
      <c r="S3" s="957" t="s">
        <v>983</v>
      </c>
      <c r="T3" s="966"/>
    </row>
    <row r="4" spans="1:20">
      <c r="A4" s="636"/>
      <c r="B4" s="642"/>
      <c r="C4" s="643"/>
      <c r="D4" s="929"/>
      <c r="E4" s="644" t="s">
        <v>984</v>
      </c>
      <c r="F4" s="644" t="s">
        <v>985</v>
      </c>
      <c r="G4" s="644" t="s">
        <v>986</v>
      </c>
      <c r="H4" s="644" t="s">
        <v>987</v>
      </c>
      <c r="I4" s="644" t="s">
        <v>991</v>
      </c>
      <c r="J4" s="925" t="s">
        <v>1336</v>
      </c>
      <c r="K4" s="645" t="s">
        <v>453</v>
      </c>
      <c r="L4" s="646" t="s">
        <v>992</v>
      </c>
      <c r="M4" s="641"/>
      <c r="N4" s="640" t="s">
        <v>988</v>
      </c>
      <c r="O4" s="644" t="s">
        <v>989</v>
      </c>
      <c r="P4" s="644" t="s">
        <v>990</v>
      </c>
      <c r="Q4" s="641"/>
      <c r="S4" s="941" t="s">
        <v>993</v>
      </c>
      <c r="T4" s="942" t="s">
        <v>994</v>
      </c>
    </row>
    <row r="5" spans="1:20" s="933" customFormat="1">
      <c r="A5" s="931"/>
      <c r="B5" s="939" t="s">
        <v>995</v>
      </c>
      <c r="C5" s="939" t="s">
        <v>1384</v>
      </c>
      <c r="D5" s="940"/>
      <c r="E5" s="941" t="s">
        <v>996</v>
      </c>
      <c r="F5" s="942" t="s">
        <v>1392</v>
      </c>
      <c r="G5" s="943" t="s">
        <v>997</v>
      </c>
      <c r="H5" s="943" t="s">
        <v>657</v>
      </c>
      <c r="I5" s="942" t="s">
        <v>1082</v>
      </c>
      <c r="J5" s="915">
        <f>MAX(N5:P5)-MIN(N5:P5)</f>
        <v>1952.4046619308683</v>
      </c>
      <c r="K5" s="941" t="s">
        <v>998</v>
      </c>
      <c r="L5" s="942" t="s">
        <v>1356</v>
      </c>
      <c r="M5" s="932"/>
      <c r="N5" s="917">
        <f xml:space="preserve"> Scenarios!H67</f>
        <v>3667.8138537164759</v>
      </c>
      <c r="O5" s="749">
        <f xml:space="preserve"> ABS(Scenarios!I67)</f>
        <v>4318.6154076934317</v>
      </c>
      <c r="P5" s="749">
        <f xml:space="preserve"> Scenarios!J67</f>
        <v>5620.2185156473442</v>
      </c>
      <c r="Q5" s="932"/>
      <c r="S5" s="941" t="s">
        <v>999</v>
      </c>
      <c r="T5" s="942" t="s">
        <v>1000</v>
      </c>
    </row>
    <row r="6" spans="1:20" s="933" customFormat="1">
      <c r="A6" s="931"/>
      <c r="B6" s="942" t="s">
        <v>1001</v>
      </c>
      <c r="C6" s="942" t="s">
        <v>1385</v>
      </c>
      <c r="D6" s="944"/>
      <c r="E6" s="941" t="s">
        <v>999</v>
      </c>
      <c r="F6" s="942" t="s">
        <v>1002</v>
      </c>
      <c r="G6" s="943" t="s">
        <v>997</v>
      </c>
      <c r="H6" s="943" t="s">
        <v>657</v>
      </c>
      <c r="I6" s="942" t="s">
        <v>1082</v>
      </c>
      <c r="J6" s="915">
        <f t="shared" ref="J6:J10" si="0">MAX(N6:P6)-MIN(N6:P6)</f>
        <v>265.30015299999832</v>
      </c>
      <c r="K6" s="941" t="s">
        <v>998</v>
      </c>
      <c r="L6" s="942" t="s">
        <v>1345</v>
      </c>
      <c r="M6" s="932"/>
      <c r="N6" s="917">
        <f xml:space="preserve"> Scenarios!I73</f>
        <v>7048.7685315570543</v>
      </c>
      <c r="O6" s="749"/>
      <c r="P6" s="749">
        <f xml:space="preserve"> Scenarios!J73</f>
        <v>7314.0686845570526</v>
      </c>
      <c r="Q6" s="932"/>
      <c r="S6" s="941" t="s">
        <v>996</v>
      </c>
      <c r="T6" s="942" t="s">
        <v>1003</v>
      </c>
    </row>
    <row r="7" spans="1:20" s="933" customFormat="1">
      <c r="A7" s="931"/>
      <c r="B7" s="942" t="s">
        <v>1004</v>
      </c>
      <c r="C7" s="942" t="s">
        <v>1386</v>
      </c>
      <c r="D7" s="944"/>
      <c r="E7" s="941" t="s">
        <v>999</v>
      </c>
      <c r="F7" s="942" t="s">
        <v>1393</v>
      </c>
      <c r="G7" s="943" t="s">
        <v>997</v>
      </c>
      <c r="H7" s="943" t="s">
        <v>657</v>
      </c>
      <c r="I7" s="942" t="s">
        <v>1082</v>
      </c>
      <c r="J7" s="915">
        <f t="shared" si="0"/>
        <v>210.90684292960213</v>
      </c>
      <c r="K7" s="941" t="s">
        <v>998</v>
      </c>
      <c r="L7" s="942" t="s">
        <v>1345</v>
      </c>
      <c r="M7" s="932"/>
      <c r="N7" s="917">
        <f xml:space="preserve"> Scenarios!H79</f>
        <v>11240.839833492722</v>
      </c>
      <c r="O7" s="749">
        <f xml:space="preserve"> Scenarios!I79</f>
        <v>11367.383939250485</v>
      </c>
      <c r="P7" s="749">
        <f xml:space="preserve"> Scenarios!J79</f>
        <v>11451.746676422325</v>
      </c>
      <c r="Q7" s="932"/>
      <c r="S7" s="941" t="s">
        <v>1005</v>
      </c>
      <c r="T7" s="942" t="s">
        <v>1006</v>
      </c>
    </row>
    <row r="8" spans="1:20" s="933" customFormat="1">
      <c r="A8" s="931"/>
      <c r="B8" s="942" t="s">
        <v>1007</v>
      </c>
      <c r="C8" s="942" t="s">
        <v>1387</v>
      </c>
      <c r="D8" s="944"/>
      <c r="E8" s="941" t="s">
        <v>996</v>
      </c>
      <c r="F8" s="945" t="s">
        <v>1117</v>
      </c>
      <c r="G8" s="943" t="s">
        <v>997</v>
      </c>
      <c r="H8" s="943" t="s">
        <v>657</v>
      </c>
      <c r="I8" s="942" t="s">
        <v>1082</v>
      </c>
      <c r="J8" s="915">
        <f t="shared" si="0"/>
        <v>704.87685315570616</v>
      </c>
      <c r="K8" s="941" t="s">
        <v>1008</v>
      </c>
      <c r="L8" s="942" t="s">
        <v>1346</v>
      </c>
      <c r="M8" s="932"/>
      <c r="N8" s="917">
        <f xml:space="preserve"> Scenarios!H85</f>
        <v>6696.3301049792008</v>
      </c>
      <c r="O8" s="749">
        <f xml:space="preserve"> Scenarios!I85</f>
        <v>7048.7685315570543</v>
      </c>
      <c r="P8" s="749">
        <f xml:space="preserve"> Scenarios!J85</f>
        <v>7401.2069581349069</v>
      </c>
      <c r="Q8" s="932"/>
      <c r="S8" s="957" t="s">
        <v>1009</v>
      </c>
      <c r="T8" s="966"/>
    </row>
    <row r="9" spans="1:20" s="933" customFormat="1">
      <c r="A9" s="931"/>
      <c r="B9" s="942" t="s">
        <v>1010</v>
      </c>
      <c r="C9" s="942" t="s">
        <v>1388</v>
      </c>
      <c r="D9" s="944"/>
      <c r="E9" s="941" t="s">
        <v>996</v>
      </c>
      <c r="F9" s="945" t="s">
        <v>1118</v>
      </c>
      <c r="G9" s="943" t="s">
        <v>997</v>
      </c>
      <c r="H9" s="943" t="s">
        <v>657</v>
      </c>
      <c r="I9" s="942" t="s">
        <v>1082</v>
      </c>
      <c r="J9" s="915">
        <f t="shared" si="0"/>
        <v>431.86154076934235</v>
      </c>
      <c r="K9" s="941" t="s">
        <v>1008</v>
      </c>
      <c r="L9" s="942" t="s">
        <v>1346</v>
      </c>
      <c r="M9" s="932"/>
      <c r="N9" s="917">
        <f xml:space="preserve"> Scenarios!H91</f>
        <v>4102.684637308761</v>
      </c>
      <c r="O9" s="749">
        <f xml:space="preserve"> Scenarios!I91</f>
        <v>4318.6154076934317</v>
      </c>
      <c r="P9" s="749">
        <f xml:space="preserve"> Scenarios!J91</f>
        <v>4534.5461780781034</v>
      </c>
      <c r="Q9" s="932"/>
      <c r="S9" s="957"/>
      <c r="T9" s="966"/>
    </row>
    <row r="10" spans="1:20" s="933" customFormat="1" ht="14.4" thickBot="1">
      <c r="A10" s="934"/>
      <c r="B10" s="946" t="s">
        <v>1089</v>
      </c>
      <c r="C10" s="946" t="s">
        <v>1389</v>
      </c>
      <c r="D10" s="947"/>
      <c r="E10" s="948" t="s">
        <v>996</v>
      </c>
      <c r="F10" s="946" t="s">
        <v>1120</v>
      </c>
      <c r="G10" s="949" t="s">
        <v>997</v>
      </c>
      <c r="H10" s="949" t="s">
        <v>657</v>
      </c>
      <c r="I10" s="946" t="s">
        <v>1082</v>
      </c>
      <c r="J10" s="915">
        <f t="shared" si="0"/>
        <v>690.97846523094904</v>
      </c>
      <c r="K10" s="948" t="s">
        <v>1008</v>
      </c>
      <c r="L10" s="946" t="s">
        <v>1355</v>
      </c>
      <c r="M10" s="935"/>
      <c r="N10" s="982">
        <f xml:space="preserve"> Scenarios!H97</f>
        <v>3886.7538669240894</v>
      </c>
      <c r="O10" s="983">
        <f xml:space="preserve"> Scenarios!I97</f>
        <v>4318.6154076934317</v>
      </c>
      <c r="P10" s="983">
        <f xml:space="preserve"> Scenarios!J97</f>
        <v>4577.7323321550384</v>
      </c>
      <c r="Q10" s="935"/>
      <c r="S10" s="941" t="s">
        <v>1011</v>
      </c>
      <c r="T10" s="942" t="s">
        <v>1012</v>
      </c>
    </row>
    <row r="11" spans="1:20" ht="14.4" thickBot="1">
      <c r="A11" s="920"/>
      <c r="B11" s="950"/>
      <c r="C11" s="950"/>
      <c r="D11" s="950"/>
      <c r="E11" s="950"/>
      <c r="F11" s="950"/>
      <c r="G11" s="950"/>
      <c r="H11" s="950"/>
      <c r="I11" s="950"/>
      <c r="K11" s="950"/>
      <c r="L11" s="950"/>
      <c r="M11" s="921"/>
      <c r="S11" s="941" t="s">
        <v>998</v>
      </c>
      <c r="T11" s="942" t="s">
        <v>1013</v>
      </c>
    </row>
    <row r="12" spans="1:20">
      <c r="A12" s="632"/>
      <c r="B12" s="951" t="s">
        <v>1358</v>
      </c>
      <c r="C12" s="952"/>
      <c r="D12" s="952"/>
      <c r="E12" s="953"/>
      <c r="F12" s="953"/>
      <c r="G12" s="953"/>
      <c r="H12" s="953"/>
      <c r="I12" s="953"/>
      <c r="J12" s="923"/>
      <c r="K12" s="953"/>
      <c r="L12" s="953"/>
      <c r="M12" s="918"/>
      <c r="N12" s="889"/>
      <c r="O12" s="889"/>
      <c r="P12" s="889"/>
      <c r="Q12" s="633"/>
      <c r="S12" s="941" t="s">
        <v>1008</v>
      </c>
      <c r="T12" s="942" t="s">
        <v>1014</v>
      </c>
    </row>
    <row r="13" spans="1:20">
      <c r="A13" s="636"/>
      <c r="B13" s="954"/>
      <c r="C13" s="955" t="s">
        <v>980</v>
      </c>
      <c r="D13" s="956"/>
      <c r="E13" s="957" t="s">
        <v>981</v>
      </c>
      <c r="F13" s="958"/>
      <c r="G13" s="958"/>
      <c r="H13" s="958"/>
      <c r="I13" s="959"/>
      <c r="J13" s="924"/>
      <c r="K13" s="957" t="s">
        <v>982</v>
      </c>
      <c r="L13" s="966"/>
      <c r="M13" s="919"/>
      <c r="N13" s="639"/>
      <c r="O13" s="639"/>
      <c r="P13" s="639"/>
      <c r="Q13" s="641"/>
    </row>
    <row r="14" spans="1:20">
      <c r="A14" s="636"/>
      <c r="B14" s="960"/>
      <c r="C14" s="961"/>
      <c r="D14" s="962"/>
      <c r="E14" s="963" t="s">
        <v>984</v>
      </c>
      <c r="F14" s="963" t="s">
        <v>985</v>
      </c>
      <c r="G14" s="963" t="s">
        <v>986</v>
      </c>
      <c r="H14" s="963" t="s">
        <v>987</v>
      </c>
      <c r="I14" s="963" t="s">
        <v>991</v>
      </c>
      <c r="J14" s="925" t="s">
        <v>1336</v>
      </c>
      <c r="K14" s="967" t="s">
        <v>453</v>
      </c>
      <c r="L14" s="968" t="s">
        <v>992</v>
      </c>
      <c r="M14" s="641"/>
      <c r="N14" s="640" t="s">
        <v>988</v>
      </c>
      <c r="O14" s="644" t="s">
        <v>989</v>
      </c>
      <c r="P14" s="644" t="s">
        <v>990</v>
      </c>
      <c r="Q14" s="641"/>
    </row>
    <row r="15" spans="1:20" s="933" customFormat="1" ht="14.4">
      <c r="A15" s="931"/>
      <c r="B15" s="939" t="s">
        <v>1015</v>
      </c>
      <c r="C15" s="939" t="s">
        <v>1091</v>
      </c>
      <c r="D15" s="940"/>
      <c r="E15" s="941" t="s">
        <v>996</v>
      </c>
      <c r="F15" s="942" t="s">
        <v>1092</v>
      </c>
      <c r="G15" s="943" t="s">
        <v>1019</v>
      </c>
      <c r="H15" s="943" t="s">
        <v>657</v>
      </c>
      <c r="I15" s="942" t="s">
        <v>1314</v>
      </c>
      <c r="J15" s="915">
        <f xml:space="preserve"> O15</f>
        <v>360.18840427154464</v>
      </c>
      <c r="K15" s="941" t="s">
        <v>1011</v>
      </c>
      <c r="L15" s="942" t="s">
        <v>1334</v>
      </c>
      <c r="M15" s="936"/>
      <c r="N15" s="984"/>
      <c r="O15" s="749">
        <f xml:space="preserve"> ABS(Scenarios!H110)</f>
        <v>360.18840427154464</v>
      </c>
      <c r="P15" s="749"/>
      <c r="Q15" s="932"/>
      <c r="S15" s="950"/>
      <c r="T15" s="950"/>
    </row>
    <row r="16" spans="1:20" s="933" customFormat="1">
      <c r="A16" s="931"/>
      <c r="B16" s="942" t="s">
        <v>1016</v>
      </c>
      <c r="C16" s="942" t="s">
        <v>1361</v>
      </c>
      <c r="D16" s="944"/>
      <c r="E16" s="941" t="s">
        <v>999</v>
      </c>
      <c r="F16" s="942" t="s">
        <v>1312</v>
      </c>
      <c r="G16" s="943" t="s">
        <v>1019</v>
      </c>
      <c r="H16" s="943" t="s">
        <v>657</v>
      </c>
      <c r="I16" s="942" t="s">
        <v>1082</v>
      </c>
      <c r="J16" s="915">
        <f t="shared" ref="J16" si="1">MAX(N16:P16)-MIN(N16:P16)</f>
        <v>766.67290259296942</v>
      </c>
      <c r="K16" s="941" t="s">
        <v>1011</v>
      </c>
      <c r="L16" s="942" t="s">
        <v>1347</v>
      </c>
      <c r="M16" s="932"/>
      <c r="N16" s="917">
        <f xml:space="preserve"> Scenarios!H$115</f>
        <v>1115.1962723543677</v>
      </c>
      <c r="O16" s="749">
        <f xml:space="preserve"> Scenarios!I$115</f>
        <v>1881.8691749473371</v>
      </c>
      <c r="P16" s="749">
        <f xml:space="preserve"> Scenarios!J$115</f>
        <v>1881.8691749473371</v>
      </c>
      <c r="Q16" s="932"/>
      <c r="S16" s="950"/>
      <c r="T16" s="950"/>
    </row>
    <row r="17" spans="1:20" ht="14.4" thickBot="1">
      <c r="A17" s="647"/>
      <c r="B17" s="946" t="s">
        <v>1017</v>
      </c>
      <c r="C17" s="946" t="s">
        <v>1093</v>
      </c>
      <c r="D17" s="947"/>
      <c r="E17" s="948" t="s">
        <v>1005</v>
      </c>
      <c r="F17" s="964" t="s">
        <v>1350</v>
      </c>
      <c r="G17" s="949"/>
      <c r="H17" s="949"/>
      <c r="I17" s="946"/>
      <c r="J17" s="916"/>
      <c r="K17" s="948"/>
      <c r="L17" s="946"/>
      <c r="M17" s="648"/>
      <c r="N17" s="917"/>
      <c r="O17" s="749"/>
      <c r="P17" s="749"/>
      <c r="Q17" s="648"/>
    </row>
    <row r="18" spans="1:20" ht="14.4" thickBot="1">
      <c r="A18" s="920"/>
      <c r="B18" s="950"/>
      <c r="C18" s="950"/>
      <c r="D18" s="950"/>
      <c r="E18" s="950"/>
      <c r="F18" s="950"/>
      <c r="G18" s="950"/>
      <c r="H18" s="950"/>
      <c r="I18" s="950"/>
      <c r="K18" s="950"/>
      <c r="L18" s="950"/>
      <c r="M18" s="921"/>
    </row>
    <row r="19" spans="1:20">
      <c r="A19" s="632"/>
      <c r="B19" s="951" t="s">
        <v>1359</v>
      </c>
      <c r="C19" s="952"/>
      <c r="D19" s="952"/>
      <c r="E19" s="953"/>
      <c r="F19" s="953"/>
      <c r="G19" s="953"/>
      <c r="H19" s="953"/>
      <c r="I19" s="953"/>
      <c r="J19" s="923"/>
      <c r="K19" s="953"/>
      <c r="L19" s="953"/>
      <c r="M19" s="918"/>
      <c r="N19" s="889"/>
      <c r="O19" s="889"/>
      <c r="P19" s="889"/>
      <c r="Q19" s="633"/>
    </row>
    <row r="20" spans="1:20">
      <c r="A20" s="636"/>
      <c r="B20" s="954"/>
      <c r="C20" s="955" t="s">
        <v>980</v>
      </c>
      <c r="D20" s="956"/>
      <c r="E20" s="957" t="s">
        <v>981</v>
      </c>
      <c r="F20" s="958"/>
      <c r="G20" s="958"/>
      <c r="H20" s="958"/>
      <c r="I20" s="959"/>
      <c r="J20" s="924"/>
      <c r="K20" s="957" t="s">
        <v>982</v>
      </c>
      <c r="L20" s="966"/>
      <c r="M20" s="919"/>
      <c r="N20" s="639"/>
      <c r="O20" s="639"/>
      <c r="P20" s="639"/>
      <c r="Q20" s="641"/>
    </row>
    <row r="21" spans="1:20">
      <c r="A21" s="636"/>
      <c r="B21" s="960"/>
      <c r="C21" s="961"/>
      <c r="D21" s="962"/>
      <c r="E21" s="963" t="s">
        <v>984</v>
      </c>
      <c r="F21" s="963" t="s">
        <v>985</v>
      </c>
      <c r="G21" s="963" t="s">
        <v>986</v>
      </c>
      <c r="H21" s="963" t="s">
        <v>987</v>
      </c>
      <c r="I21" s="963" t="s">
        <v>991</v>
      </c>
      <c r="J21" s="925" t="s">
        <v>1336</v>
      </c>
      <c r="K21" s="963" t="s">
        <v>453</v>
      </c>
      <c r="L21" s="963" t="s">
        <v>992</v>
      </c>
      <c r="M21" s="641"/>
      <c r="N21" s="640" t="s">
        <v>988</v>
      </c>
      <c r="O21" s="644" t="s">
        <v>989</v>
      </c>
      <c r="P21" s="644" t="s">
        <v>990</v>
      </c>
      <c r="Q21" s="641"/>
    </row>
    <row r="22" spans="1:20" s="933" customFormat="1">
      <c r="A22" s="931"/>
      <c r="B22" s="939" t="s">
        <v>1018</v>
      </c>
      <c r="C22" s="939" t="s">
        <v>1390</v>
      </c>
      <c r="D22" s="940"/>
      <c r="E22" s="941" t="s">
        <v>993</v>
      </c>
      <c r="F22" s="942" t="s">
        <v>1324</v>
      </c>
      <c r="G22" s="943" t="s">
        <v>1019</v>
      </c>
      <c r="H22" s="943" t="s">
        <v>657</v>
      </c>
      <c r="I22" s="942" t="s">
        <v>1125</v>
      </c>
      <c r="J22" s="926">
        <f>O22</f>
        <v>62.368816098075605</v>
      </c>
      <c r="K22" s="941" t="s">
        <v>1011</v>
      </c>
      <c r="L22" s="942" t="s">
        <v>1335</v>
      </c>
      <c r="M22" s="932"/>
      <c r="N22" s="917"/>
      <c r="O22" s="749">
        <f xml:space="preserve"> ABS(EITI_Rev!F41)</f>
        <v>62.368816098075605</v>
      </c>
      <c r="P22" s="749"/>
      <c r="Q22" s="932"/>
      <c r="S22" s="950"/>
      <c r="T22" s="950"/>
    </row>
    <row r="23" spans="1:20" s="933" customFormat="1">
      <c r="A23" s="931"/>
      <c r="B23" s="942" t="s">
        <v>1020</v>
      </c>
      <c r="C23" s="942" t="s">
        <v>1391</v>
      </c>
      <c r="D23" s="944"/>
      <c r="E23" s="941" t="s">
        <v>993</v>
      </c>
      <c r="F23" s="942" t="s">
        <v>1348</v>
      </c>
      <c r="G23" s="943" t="s">
        <v>1019</v>
      </c>
      <c r="H23" s="943" t="s">
        <v>657</v>
      </c>
      <c r="I23" s="942" t="s">
        <v>1125</v>
      </c>
      <c r="J23" s="926">
        <f>O23</f>
        <v>91.906425129627607</v>
      </c>
      <c r="K23" s="941" t="s">
        <v>1011</v>
      </c>
      <c r="L23" s="942" t="s">
        <v>1349</v>
      </c>
      <c r="M23" s="932"/>
      <c r="N23" s="917"/>
      <c r="O23" s="749">
        <f xml:space="preserve"> ABS(Scenarios!H$120)</f>
        <v>91.906425129627607</v>
      </c>
      <c r="P23" s="749"/>
      <c r="Q23" s="932"/>
      <c r="S23" s="950"/>
      <c r="T23" s="950"/>
    </row>
    <row r="24" spans="1:20" s="933" customFormat="1">
      <c r="A24" s="931"/>
      <c r="B24" s="942" t="s">
        <v>1021</v>
      </c>
      <c r="C24" s="942" t="s">
        <v>1022</v>
      </c>
      <c r="D24" s="944"/>
      <c r="E24" s="941" t="s">
        <v>1005</v>
      </c>
      <c r="F24" s="942" t="s">
        <v>1351</v>
      </c>
      <c r="G24" s="943" t="s">
        <v>1019</v>
      </c>
      <c r="H24" s="943" t="s">
        <v>657</v>
      </c>
      <c r="I24" s="942" t="s">
        <v>1125</v>
      </c>
      <c r="J24" s="926">
        <f xml:space="preserve"> ABS(EITI_Rev!F$53)</f>
        <v>170.98794447157454</v>
      </c>
      <c r="K24" s="941" t="s">
        <v>1008</v>
      </c>
      <c r="L24" s="942" t="s">
        <v>1352</v>
      </c>
      <c r="M24" s="932"/>
      <c r="N24" s="917"/>
      <c r="O24" s="749"/>
      <c r="P24" s="749"/>
      <c r="Q24" s="932"/>
      <c r="S24" s="950"/>
      <c r="T24" s="950"/>
    </row>
    <row r="25" spans="1:20">
      <c r="A25" s="636"/>
      <c r="B25" s="942" t="s">
        <v>1023</v>
      </c>
      <c r="C25" s="942" t="s">
        <v>1024</v>
      </c>
      <c r="D25" s="944"/>
      <c r="E25" s="941" t="s">
        <v>999</v>
      </c>
      <c r="F25" s="965" t="s">
        <v>1350</v>
      </c>
      <c r="G25" s="943"/>
      <c r="H25" s="943"/>
      <c r="I25" s="942"/>
      <c r="J25" s="928"/>
      <c r="K25" s="941" t="s">
        <v>998</v>
      </c>
      <c r="L25" s="942"/>
      <c r="M25" s="641"/>
      <c r="N25" s="917"/>
      <c r="O25" s="749"/>
      <c r="P25" s="749"/>
      <c r="Q25" s="641"/>
    </row>
    <row r="26" spans="1:20" s="933" customFormat="1">
      <c r="A26" s="937"/>
      <c r="B26" s="942" t="s">
        <v>1025</v>
      </c>
      <c r="C26" s="942" t="s">
        <v>1342</v>
      </c>
      <c r="D26" s="942"/>
      <c r="E26" s="941" t="s">
        <v>999</v>
      </c>
      <c r="F26" s="942" t="s">
        <v>1337</v>
      </c>
      <c r="G26" s="943" t="s">
        <v>1019</v>
      </c>
      <c r="H26" s="943" t="s">
        <v>657</v>
      </c>
      <c r="I26" s="942" t="s">
        <v>1082</v>
      </c>
      <c r="J26" s="926">
        <f>O26</f>
        <v>112.25856187371734</v>
      </c>
      <c r="K26" s="941" t="s">
        <v>998</v>
      </c>
      <c r="L26" s="942" t="s">
        <v>1353</v>
      </c>
      <c r="M26" s="938"/>
      <c r="N26" s="985"/>
      <c r="O26" s="986">
        <f xml:space="preserve"> Scenarios!I$126</f>
        <v>112.25856187371734</v>
      </c>
      <c r="P26" s="986"/>
      <c r="Q26" s="938"/>
      <c r="S26" s="950"/>
      <c r="T26" s="950"/>
    </row>
    <row r="27" spans="1:20" s="933" customFormat="1">
      <c r="A27" s="931"/>
      <c r="B27" s="942" t="s">
        <v>1026</v>
      </c>
      <c r="C27" s="942" t="s">
        <v>1362</v>
      </c>
      <c r="D27" s="944"/>
      <c r="E27" s="941" t="s">
        <v>999</v>
      </c>
      <c r="F27" s="942" t="s">
        <v>1338</v>
      </c>
      <c r="G27" s="943" t="s">
        <v>1019</v>
      </c>
      <c r="H27" s="943" t="s">
        <v>657</v>
      </c>
      <c r="I27" s="942" t="s">
        <v>1082</v>
      </c>
      <c r="J27" s="926">
        <f>O27</f>
        <v>189.71468361705365</v>
      </c>
      <c r="K27" s="941" t="s">
        <v>1011</v>
      </c>
      <c r="L27" s="942" t="s">
        <v>1354</v>
      </c>
      <c r="M27" s="932"/>
      <c r="N27" s="917"/>
      <c r="O27" s="749">
        <f xml:space="preserve"> ABS(Scenarios!H$133)</f>
        <v>189.71468361705365</v>
      </c>
      <c r="P27" s="749"/>
      <c r="Q27" s="932"/>
      <c r="S27" s="950"/>
      <c r="T27" s="950"/>
    </row>
    <row r="28" spans="1:20" s="933" customFormat="1" ht="14.4" thickBot="1">
      <c r="A28" s="934"/>
      <c r="B28" s="946" t="s">
        <v>1027</v>
      </c>
      <c r="C28" s="946" t="s">
        <v>1028</v>
      </c>
      <c r="D28" s="947"/>
      <c r="E28" s="948" t="s">
        <v>999</v>
      </c>
      <c r="F28" s="946" t="s">
        <v>1360</v>
      </c>
      <c r="G28" s="949" t="s">
        <v>1019</v>
      </c>
      <c r="H28" s="949" t="s">
        <v>657</v>
      </c>
      <c r="I28" s="946" t="s">
        <v>1339</v>
      </c>
      <c r="J28" s="927">
        <f>O28</f>
        <v>155.44902487538516</v>
      </c>
      <c r="K28" s="948" t="s">
        <v>1011</v>
      </c>
      <c r="L28" s="946" t="s">
        <v>1340</v>
      </c>
      <c r="M28" s="935"/>
      <c r="N28" s="987"/>
      <c r="O28" s="988">
        <f xml:space="preserve"> ABS(Metalkol_Model1!F$270)</f>
        <v>155.44902487538516</v>
      </c>
      <c r="P28" s="989"/>
      <c r="Q28" s="935"/>
      <c r="S28" s="950"/>
      <c r="T28" s="9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T178"/>
  <sheetViews>
    <sheetView zoomScale="60" zoomScaleNormal="60" workbookViewId="0">
      <selection activeCell="A4" sqref="A4"/>
    </sheetView>
  </sheetViews>
  <sheetFormatPr baseColWidth="10" defaultColWidth="8.796875" defaultRowHeight="13.8"/>
  <cols>
    <col min="2" max="2" width="51.296875" customWidth="1"/>
    <col min="3" max="3" width="14.8984375" customWidth="1"/>
    <col min="4" max="6" width="16.59765625" customWidth="1"/>
    <col min="7" max="7" width="1.69921875" customWidth="1"/>
    <col min="8" max="19" width="12.69921875" customWidth="1"/>
    <col min="20" max="20" width="1.69921875" customWidth="1"/>
    <col min="22" max="22" width="50.69921875" customWidth="1"/>
  </cols>
  <sheetData>
    <row r="1" spans="1:20">
      <c r="A1" s="611"/>
      <c r="B1" s="611"/>
      <c r="C1" s="611"/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R1" s="611"/>
      <c r="S1" s="611"/>
      <c r="T1" s="611"/>
    </row>
    <row r="2" spans="1:20" ht="14.4">
      <c r="C2" s="482">
        <f xml:space="preserve"> Track!$F$85</f>
        <v>0</v>
      </c>
      <c r="D2" s="22" t="s">
        <v>1</v>
      </c>
      <c r="E2" s="22"/>
      <c r="F2" s="22"/>
    </row>
    <row r="3" spans="1:20" ht="14.4">
      <c r="C3" s="559">
        <f xml:space="preserve"> Track!$F$3</f>
        <v>0</v>
      </c>
      <c r="D3" s="23" t="s">
        <v>2</v>
      </c>
      <c r="E3" s="23"/>
      <c r="F3" s="23"/>
    </row>
    <row r="4" spans="1:20">
      <c r="G4" s="613"/>
      <c r="T4" s="613"/>
    </row>
    <row r="5" spans="1:20">
      <c r="C5" t="s">
        <v>970</v>
      </c>
      <c r="D5" t="s">
        <v>971</v>
      </c>
      <c r="G5" s="613"/>
      <c r="H5" s="611" t="s">
        <v>972</v>
      </c>
      <c r="I5" s="611"/>
      <c r="J5" s="611"/>
      <c r="K5" s="611"/>
      <c r="L5" s="611"/>
      <c r="M5" s="611"/>
      <c r="N5" s="611"/>
      <c r="O5" s="611"/>
      <c r="P5" s="611"/>
      <c r="Q5" s="611"/>
      <c r="R5" s="611"/>
      <c r="S5" s="611"/>
      <c r="T5" s="613"/>
    </row>
    <row r="6" spans="1:20">
      <c r="G6" s="613"/>
      <c r="H6">
        <f xml:space="preserve"> G6 + 1</f>
        <v>1</v>
      </c>
      <c r="I6">
        <f t="shared" ref="I6:S6" si="0" xml:space="preserve"> H6 + 1</f>
        <v>2</v>
      </c>
      <c r="J6">
        <f t="shared" si="0"/>
        <v>3</v>
      </c>
      <c r="K6">
        <f t="shared" si="0"/>
        <v>4</v>
      </c>
      <c r="L6">
        <f t="shared" si="0"/>
        <v>5</v>
      </c>
      <c r="M6">
        <f t="shared" si="0"/>
        <v>6</v>
      </c>
      <c r="N6">
        <f t="shared" si="0"/>
        <v>7</v>
      </c>
      <c r="O6">
        <f t="shared" si="0"/>
        <v>8</v>
      </c>
      <c r="P6">
        <f t="shared" si="0"/>
        <v>9</v>
      </c>
      <c r="Q6">
        <f t="shared" si="0"/>
        <v>10</v>
      </c>
      <c r="R6">
        <f t="shared" si="0"/>
        <v>11</v>
      </c>
      <c r="S6">
        <f t="shared" si="0"/>
        <v>12</v>
      </c>
      <c r="T6" s="613"/>
    </row>
    <row r="7" spans="1:20" ht="27.6">
      <c r="B7" s="658" t="str">
        <f xml:space="preserve"> Dashboard!C$7</f>
        <v xml:space="preserve">Scenario </v>
      </c>
      <c r="C7" s="658" t="str">
        <f xml:space="preserve"> Dashboard!D$7</f>
        <v>Base</v>
      </c>
      <c r="D7" s="658" t="str">
        <f xml:space="preserve"> Dashboard!E$7</f>
        <v>selected</v>
      </c>
      <c r="E7" s="658"/>
      <c r="F7" s="658"/>
      <c r="G7" s="613"/>
      <c r="H7" s="619" t="s">
        <v>969</v>
      </c>
      <c r="I7" s="619" t="s">
        <v>977</v>
      </c>
      <c r="J7" s="619" t="s">
        <v>1080</v>
      </c>
      <c r="K7" s="619"/>
      <c r="L7" s="619"/>
      <c r="M7" s="619"/>
      <c r="N7" s="619"/>
      <c r="O7" s="619"/>
      <c r="P7" s="619"/>
      <c r="Q7" s="619"/>
      <c r="R7" s="619"/>
      <c r="S7" s="619"/>
      <c r="T7" s="613"/>
    </row>
    <row r="8" spans="1:20">
      <c r="C8">
        <f xml:space="preserve"> MATCH(C7, G7:T7, 0)</f>
        <v>2</v>
      </c>
      <c r="G8" s="613"/>
      <c r="T8" s="613"/>
    </row>
    <row r="9" spans="1:20">
      <c r="B9" s="612" t="s">
        <v>967</v>
      </c>
      <c r="C9" s="612"/>
      <c r="D9" s="612"/>
      <c r="E9" s="612" t="s">
        <v>1066</v>
      </c>
      <c r="F9" s="612"/>
      <c r="G9" s="612"/>
      <c r="H9" s="612"/>
      <c r="I9" s="612"/>
      <c r="J9" s="612"/>
      <c r="K9" s="612"/>
      <c r="L9" s="612"/>
      <c r="M9" s="612"/>
      <c r="N9" s="612"/>
      <c r="O9" s="612"/>
      <c r="P9" s="612"/>
      <c r="Q9" s="612"/>
      <c r="R9" s="612"/>
      <c r="S9" s="612"/>
      <c r="T9" s="613"/>
    </row>
    <row r="10" spans="1:20">
      <c r="C10" s="630" t="s">
        <v>978</v>
      </c>
      <c r="G10" s="613"/>
      <c r="T10" s="613"/>
    </row>
    <row r="11" spans="1:20" ht="14.4">
      <c r="B11" s="664" t="s">
        <v>626</v>
      </c>
      <c r="C11" s="654" t="str" cm="1">
        <f t="array" ref="C11" xml:space="preserve"> IF( E11 &lt;&gt; "sens", E11, INDEX(G11:T11, ,$C$8))</f>
        <v>IMF_WEO</v>
      </c>
      <c r="D11" s="655" t="s">
        <v>615</v>
      </c>
      <c r="E11" s="695" t="s">
        <v>1067</v>
      </c>
      <c r="F11" s="655"/>
      <c r="G11" s="617"/>
      <c r="H11" s="656" t="s">
        <v>591</v>
      </c>
      <c r="I11" s="656" t="s">
        <v>591</v>
      </c>
      <c r="J11" s="656" t="s">
        <v>605</v>
      </c>
      <c r="K11" s="656"/>
      <c r="L11" s="656"/>
      <c r="M11" s="656"/>
      <c r="N11" s="656"/>
      <c r="O11" s="656"/>
      <c r="P11" s="656"/>
      <c r="Q11" s="656"/>
      <c r="R11" s="656"/>
      <c r="S11" s="656"/>
      <c r="T11" s="617"/>
    </row>
    <row r="12" spans="1:20" ht="14.4">
      <c r="B12" s="323" t="s">
        <v>700</v>
      </c>
      <c r="C12" s="620" t="str" cm="1">
        <f t="array" ref="C12" xml:space="preserve"> IF( E12 &lt;&gt; "sens", E12, INDEX(G12:T12, ,$C$8))</f>
        <v>IMF_WEO</v>
      </c>
      <c r="D12" s="266" t="s">
        <v>615</v>
      </c>
      <c r="E12" s="448" t="s">
        <v>1067</v>
      </c>
      <c r="F12" s="266"/>
      <c r="G12" s="613"/>
      <c r="H12" s="426" t="s">
        <v>591</v>
      </c>
      <c r="I12" s="426" t="s">
        <v>591</v>
      </c>
      <c r="J12" s="426" t="s">
        <v>591</v>
      </c>
      <c r="K12" s="426"/>
      <c r="L12" s="426"/>
      <c r="M12" s="426"/>
      <c r="N12" s="426"/>
      <c r="O12" s="426"/>
      <c r="P12" s="426"/>
      <c r="Q12" s="426"/>
      <c r="R12" s="426"/>
      <c r="S12" s="426"/>
      <c r="T12" s="613"/>
    </row>
    <row r="13" spans="1:20" ht="14.4">
      <c r="B13" s="323" t="s">
        <v>697</v>
      </c>
      <c r="C13" s="621" t="str" cm="1">
        <f t="array" ref="C13" xml:space="preserve"> IF( E13 &lt;&gt; "sens", E13, INDEX(G13:T13, ,$C$8))</f>
        <v>SOM_Contract</v>
      </c>
      <c r="D13" s="266" t="s">
        <v>622</v>
      </c>
      <c r="E13" s="448" t="s">
        <v>1067</v>
      </c>
      <c r="F13" s="266"/>
      <c r="G13" s="613"/>
      <c r="H13" s="427" t="s">
        <v>656</v>
      </c>
      <c r="I13" s="618" t="s">
        <v>728</v>
      </c>
      <c r="J13" s="427" t="s">
        <v>656</v>
      </c>
      <c r="K13" s="427"/>
      <c r="L13" s="427"/>
      <c r="M13" s="427"/>
      <c r="N13" s="427"/>
      <c r="O13" s="427"/>
      <c r="P13" s="427"/>
      <c r="Q13" s="427"/>
      <c r="R13" s="427"/>
      <c r="S13" s="427"/>
      <c r="T13" s="613"/>
    </row>
    <row r="14" spans="1:20" ht="14.4">
      <c r="B14" s="323" t="s">
        <v>975</v>
      </c>
      <c r="C14" s="622" cm="1">
        <f t="array" ref="C14" xml:space="preserve"> IF( E14 &lt;&gt; "sens", E14, INDEX(G14:T14, ,$C$8))</f>
        <v>0.95</v>
      </c>
      <c r="D14" s="98" t="s">
        <v>26</v>
      </c>
      <c r="E14" s="448" t="s">
        <v>1067</v>
      </c>
      <c r="F14" s="98"/>
      <c r="G14" s="613"/>
      <c r="H14" s="337">
        <v>0.95</v>
      </c>
      <c r="I14" s="337">
        <v>0.95</v>
      </c>
      <c r="J14" s="337">
        <v>0.95</v>
      </c>
      <c r="K14" s="337"/>
      <c r="L14" s="337"/>
      <c r="M14" s="337"/>
      <c r="N14" s="337"/>
      <c r="O14" s="337"/>
      <c r="P14" s="337"/>
      <c r="Q14" s="337"/>
      <c r="R14" s="337"/>
      <c r="S14" s="337"/>
      <c r="T14" s="613"/>
    </row>
    <row r="15" spans="1:20" ht="14.4">
      <c r="B15" s="323" t="s">
        <v>699</v>
      </c>
      <c r="C15" s="621" t="str" cm="1">
        <f t="array" ref="C15" xml:space="preserve"> IF( E15 &lt;&gt; "sens", E15, INDEX(G15:T15, ,$C$8))</f>
        <v>SOM_Contract</v>
      </c>
      <c r="D15" s="266" t="s">
        <v>622</v>
      </c>
      <c r="E15" s="448" t="s">
        <v>1067</v>
      </c>
      <c r="F15" s="266"/>
      <c r="G15" s="613"/>
      <c r="H15" s="427" t="s">
        <v>656</v>
      </c>
      <c r="I15" s="618" t="s">
        <v>728</v>
      </c>
      <c r="J15" s="427" t="s">
        <v>726</v>
      </c>
      <c r="K15" s="427"/>
      <c r="L15" s="427"/>
      <c r="M15" s="427"/>
      <c r="N15" s="427"/>
      <c r="O15" s="427"/>
      <c r="P15" s="427"/>
      <c r="Q15" s="427"/>
      <c r="R15" s="427"/>
      <c r="S15" s="427"/>
      <c r="T15" s="613"/>
    </row>
    <row r="16" spans="1:20" ht="14.4">
      <c r="B16" s="46" t="s">
        <v>1083</v>
      </c>
      <c r="C16" s="621" cm="1">
        <f t="array" ref="C16" xml:space="preserve"> IF( E16 &lt;&gt; "sens", E16, INDEX(G16:T16, ,$C$8))</f>
        <v>1</v>
      </c>
      <c r="D16" t="s">
        <v>23</v>
      </c>
      <c r="E16" s="448" t="s">
        <v>1067</v>
      </c>
      <c r="F16" s="266"/>
      <c r="G16" s="613"/>
      <c r="H16" s="720">
        <v>1</v>
      </c>
      <c r="I16" s="720">
        <v>1</v>
      </c>
      <c r="J16" s="720">
        <v>1</v>
      </c>
      <c r="K16" s="427"/>
      <c r="L16" s="427"/>
      <c r="M16" s="427"/>
      <c r="N16" s="427"/>
      <c r="O16" s="427"/>
      <c r="P16" s="427"/>
      <c r="Q16" s="427"/>
      <c r="R16" s="427"/>
      <c r="S16" s="427"/>
      <c r="T16" s="613"/>
    </row>
    <row r="17" spans="2:20" ht="14.4">
      <c r="B17" s="183" t="s">
        <v>1087</v>
      </c>
      <c r="C17" s="623" cm="1">
        <f t="array" ref="C17" xml:space="preserve"> IF( E17 &lt;&gt; "sens", E17, INDEX(G17:T17, ,$C$8))</f>
        <v>8.0000000000000002E-3</v>
      </c>
      <c r="D17" s="183" t="s">
        <v>26</v>
      </c>
      <c r="E17" s="448" t="s">
        <v>1067</v>
      </c>
      <c r="F17" s="266"/>
      <c r="G17" s="613"/>
      <c r="H17" s="337">
        <v>8.0000000000000002E-3</v>
      </c>
      <c r="I17" s="337">
        <v>8.0000000000000002E-3</v>
      </c>
      <c r="J17" s="337">
        <v>8.0000000000000002E-3</v>
      </c>
      <c r="K17" s="427"/>
      <c r="L17" s="427"/>
      <c r="M17" s="427"/>
      <c r="N17" s="427"/>
      <c r="O17" s="427"/>
      <c r="P17" s="427"/>
      <c r="Q17" s="427"/>
      <c r="R17" s="427"/>
      <c r="S17" s="427"/>
      <c r="T17" s="613"/>
    </row>
    <row r="18" spans="2:20" ht="14.4">
      <c r="B18" s="323" t="s">
        <v>976</v>
      </c>
      <c r="C18" s="623" cm="1">
        <f t="array" ref="C18" xml:space="preserve"> IF( E18 &lt;&gt; "sens", E18, INDEX(G18:T18, ,$C$8))</f>
        <v>0.7</v>
      </c>
      <c r="D18" s="266" t="s">
        <v>26</v>
      </c>
      <c r="E18" s="448" t="s">
        <v>1067</v>
      </c>
      <c r="F18" s="266"/>
      <c r="G18" s="613"/>
      <c r="H18" s="321">
        <v>0.7</v>
      </c>
      <c r="I18" s="321">
        <v>0.9</v>
      </c>
      <c r="J18" s="321">
        <v>0.9</v>
      </c>
      <c r="K18" s="321"/>
      <c r="L18" s="321"/>
      <c r="M18" s="321"/>
      <c r="N18" s="321"/>
      <c r="O18" s="321"/>
      <c r="P18" s="321"/>
      <c r="Q18" s="321"/>
      <c r="R18" s="321"/>
      <c r="S18" s="321"/>
      <c r="T18" s="613"/>
    </row>
    <row r="19" spans="2:20" ht="14.4">
      <c r="B19" s="323" t="s">
        <v>698</v>
      </c>
      <c r="C19" s="624" t="str" cm="1">
        <f t="array" ref="C19" xml:space="preserve"> IF( E19 &lt;&gt; "sens", E19, INDEX(G19:T19, ,$C$8))</f>
        <v>no</v>
      </c>
      <c r="D19" s="229" t="s">
        <v>622</v>
      </c>
      <c r="E19" s="448" t="s">
        <v>1067</v>
      </c>
      <c r="F19" s="229"/>
      <c r="G19" s="613"/>
      <c r="H19" s="515" t="s">
        <v>655</v>
      </c>
      <c r="I19" s="515" t="s">
        <v>655</v>
      </c>
      <c r="J19" s="515" t="s">
        <v>655</v>
      </c>
      <c r="K19" s="515"/>
      <c r="L19" s="515"/>
      <c r="M19" s="515"/>
      <c r="N19" s="515"/>
      <c r="O19" s="515"/>
      <c r="P19" s="515"/>
      <c r="Q19" s="515"/>
      <c r="R19" s="515"/>
      <c r="S19" s="515"/>
      <c r="T19" s="613"/>
    </row>
    <row r="20" spans="2:20" ht="14.4">
      <c r="B20" s="323" t="s">
        <v>973</v>
      </c>
      <c r="C20" s="622" cm="1">
        <f t="array" ref="C20" xml:space="preserve"> IF( E20 &lt;&gt; "sens", E20, INDEX(G20:T20, ,$C$8))</f>
        <v>0.7</v>
      </c>
      <c r="D20" s="266" t="s">
        <v>26</v>
      </c>
      <c r="E20" s="448" t="s">
        <v>1067</v>
      </c>
      <c r="F20" s="266"/>
      <c r="G20" s="613"/>
      <c r="H20" s="337">
        <v>0.7</v>
      </c>
      <c r="I20" s="337">
        <v>0.7</v>
      </c>
      <c r="J20" s="337">
        <v>0.7</v>
      </c>
      <c r="K20" s="337"/>
      <c r="L20" s="337"/>
      <c r="M20" s="337"/>
      <c r="N20" s="337"/>
      <c r="O20" s="337"/>
      <c r="P20" s="337"/>
      <c r="Q20" s="337"/>
      <c r="R20" s="337"/>
      <c r="S20" s="337"/>
      <c r="T20" s="613"/>
    </row>
    <row r="21" spans="2:20" s="663" customFormat="1" ht="14.4">
      <c r="B21" s="323" t="s">
        <v>1033</v>
      </c>
      <c r="C21" s="622" cm="1">
        <f t="array" ref="C21" xml:space="preserve"> IF( E21 &lt;&gt; "sens", E21, INDEX(G21:T21, ,$C$8))</f>
        <v>0.9</v>
      </c>
      <c r="D21" s="266" t="s">
        <v>26</v>
      </c>
      <c r="E21" s="448" t="s">
        <v>1067</v>
      </c>
      <c r="F21" s="266"/>
      <c r="G21" s="613"/>
      <c r="H21" s="337">
        <v>0.9</v>
      </c>
      <c r="I21" s="337">
        <v>0.5</v>
      </c>
      <c r="J21" s="337">
        <v>0.5</v>
      </c>
      <c r="K21" s="337"/>
      <c r="L21" s="337"/>
      <c r="M21" s="337"/>
      <c r="N21" s="337"/>
      <c r="O21" s="337"/>
      <c r="P21" s="337"/>
      <c r="Q21" s="337"/>
      <c r="R21" s="337"/>
      <c r="S21" s="337"/>
      <c r="T21" s="613"/>
    </row>
    <row r="22" spans="2:20" ht="14.4">
      <c r="B22" s="183" t="s">
        <v>1034</v>
      </c>
      <c r="C22" s="622" cm="1">
        <f t="array" ref="C22" xml:space="preserve"> IF( E22 &lt;&gt; "sens", E22, INDEX(G22:T22, ,$C$8))</f>
        <v>0.9</v>
      </c>
      <c r="D22" s="32" t="s">
        <v>26</v>
      </c>
      <c r="E22" s="448" t="s">
        <v>1067</v>
      </c>
      <c r="F22" s="32"/>
      <c r="G22" s="613"/>
      <c r="H22" s="337">
        <v>0.9</v>
      </c>
      <c r="I22" s="337">
        <v>0.5</v>
      </c>
      <c r="J22" s="337">
        <v>0.9</v>
      </c>
      <c r="K22" s="337"/>
      <c r="L22" s="337"/>
      <c r="M22" s="337"/>
      <c r="N22" s="337"/>
      <c r="O22" s="337"/>
      <c r="P22" s="337"/>
      <c r="Q22" s="337"/>
      <c r="R22" s="337"/>
      <c r="S22" s="337"/>
      <c r="T22" s="613"/>
    </row>
    <row r="23" spans="2:20" ht="14.4">
      <c r="B23" s="664" t="s">
        <v>661</v>
      </c>
      <c r="C23" s="650" cm="1">
        <f t="array" ref="C23" xml:space="preserve"> IF( E23 &lt;&gt; "sens", E23, INDEX(G23:T23, ,$C$8))</f>
        <v>1</v>
      </c>
      <c r="D23" s="651" t="s">
        <v>26</v>
      </c>
      <c r="E23" s="695" t="s">
        <v>1067</v>
      </c>
      <c r="F23" s="651"/>
      <c r="G23" s="617"/>
      <c r="H23" s="652">
        <v>1</v>
      </c>
      <c r="I23" s="652">
        <v>1</v>
      </c>
      <c r="J23" s="652">
        <v>1</v>
      </c>
      <c r="K23" s="652"/>
      <c r="L23" s="652"/>
      <c r="M23" s="652"/>
      <c r="N23" s="652"/>
      <c r="O23" s="652"/>
      <c r="P23" s="652"/>
      <c r="Q23" s="652"/>
      <c r="R23" s="652"/>
      <c r="S23" s="652"/>
      <c r="T23" s="617"/>
    </row>
    <row r="24" spans="2:20" ht="14.4">
      <c r="B24" s="323" t="s">
        <v>662</v>
      </c>
      <c r="C24" s="622" cm="1">
        <f t="array" ref="C24" xml:space="preserve"> IF( E24 &lt;&gt; "sens", E24, INDEX(G24:T24, ,$C$8))</f>
        <v>1</v>
      </c>
      <c r="D24" s="6" t="s">
        <v>26</v>
      </c>
      <c r="E24" s="448" t="s">
        <v>1067</v>
      </c>
      <c r="F24" s="6"/>
      <c r="G24" s="613"/>
      <c r="H24" s="337">
        <v>1</v>
      </c>
      <c r="I24" s="337">
        <v>1</v>
      </c>
      <c r="J24" s="337">
        <v>1</v>
      </c>
      <c r="K24" s="337"/>
      <c r="L24" s="337"/>
      <c r="M24" s="337"/>
      <c r="N24" s="337"/>
      <c r="O24" s="337"/>
      <c r="P24" s="337"/>
      <c r="Q24" s="337"/>
      <c r="R24" s="337"/>
      <c r="S24" s="337"/>
      <c r="T24" s="613"/>
    </row>
    <row r="25" spans="2:20" ht="14.4">
      <c r="B25" s="183" t="s">
        <v>701</v>
      </c>
      <c r="C25" s="622" cm="1">
        <f t="array" ref="C25" xml:space="preserve"> IF( E25 &lt;&gt; "sens", E25, INDEX(G25:T25, ,$C$8))</f>
        <v>1</v>
      </c>
      <c r="D25" s="6" t="s">
        <v>26</v>
      </c>
      <c r="E25" s="448" t="s">
        <v>1067</v>
      </c>
      <c r="F25" s="6"/>
      <c r="G25" s="613"/>
      <c r="H25" s="337">
        <v>1</v>
      </c>
      <c r="I25" s="337">
        <v>1</v>
      </c>
      <c r="J25" s="337">
        <v>1</v>
      </c>
      <c r="K25" s="337"/>
      <c r="L25" s="337"/>
      <c r="M25" s="337"/>
      <c r="N25" s="337"/>
      <c r="O25" s="337"/>
      <c r="P25" s="337"/>
      <c r="Q25" s="337"/>
      <c r="R25" s="337"/>
      <c r="S25" s="337"/>
      <c r="T25" s="613"/>
    </row>
    <row r="26" spans="2:20" ht="14.4">
      <c r="B26" s="183" t="s">
        <v>702</v>
      </c>
      <c r="C26" s="622" cm="1">
        <f t="array" ref="C26" xml:space="preserve"> IF( E26 &lt;&gt; "sens", E26, INDEX(G26:T26, ,$C$8))</f>
        <v>1</v>
      </c>
      <c r="D26" s="6" t="s">
        <v>26</v>
      </c>
      <c r="E26" s="448" t="s">
        <v>1067</v>
      </c>
      <c r="F26" s="6"/>
      <c r="G26" s="613"/>
      <c r="H26" s="337">
        <v>1</v>
      </c>
      <c r="I26" s="337">
        <v>1</v>
      </c>
      <c r="J26" s="337">
        <v>1</v>
      </c>
      <c r="K26" s="337"/>
      <c r="L26" s="337"/>
      <c r="M26" s="337"/>
      <c r="N26" s="337"/>
      <c r="O26" s="337"/>
      <c r="P26" s="337"/>
      <c r="Q26" s="337"/>
      <c r="R26" s="337"/>
      <c r="S26" s="337"/>
      <c r="T26" s="613"/>
    </row>
    <row r="27" spans="2:20" ht="14.4">
      <c r="B27" s="323" t="s">
        <v>851</v>
      </c>
      <c r="C27" s="622" cm="1">
        <f t="array" ref="C27" xml:space="preserve"> IF( E27 &lt;&gt; "sens", E27, INDEX(G27:T27, ,$C$8))</f>
        <v>1</v>
      </c>
      <c r="D27" s="229" t="s">
        <v>26</v>
      </c>
      <c r="E27" s="448" t="s">
        <v>1067</v>
      </c>
      <c r="F27" s="229"/>
      <c r="G27" s="613"/>
      <c r="H27" s="337">
        <v>1</v>
      </c>
      <c r="I27" s="337">
        <v>1</v>
      </c>
      <c r="J27" s="337">
        <v>1</v>
      </c>
      <c r="K27" s="337"/>
      <c r="L27" s="337"/>
      <c r="M27" s="337"/>
      <c r="N27" s="337"/>
      <c r="O27" s="337"/>
      <c r="P27" s="337"/>
      <c r="Q27" s="337"/>
      <c r="R27" s="337"/>
      <c r="S27" s="337"/>
      <c r="T27" s="613"/>
    </row>
    <row r="28" spans="2:20" s="876" customFormat="1" ht="14.4">
      <c r="B28" s="665" t="s">
        <v>1294</v>
      </c>
      <c r="C28" s="872" t="str" cm="1">
        <f t="array" ref="C28" xml:space="preserve"> IF( E28 &lt;&gt; "sens", E28, INDEX(G28:T28, ,$C$8))</f>
        <v>Alt Opex</v>
      </c>
      <c r="D28" s="376" t="s">
        <v>615</v>
      </c>
      <c r="E28" s="297" t="s">
        <v>1067</v>
      </c>
      <c r="F28" s="376"/>
      <c r="G28" s="873"/>
      <c r="H28" s="874" t="s">
        <v>1293</v>
      </c>
      <c r="I28" s="874" t="s">
        <v>1292</v>
      </c>
      <c r="J28" s="874" t="s">
        <v>1292</v>
      </c>
      <c r="K28" s="875"/>
      <c r="L28" s="875"/>
      <c r="M28" s="875"/>
      <c r="N28" s="875"/>
      <c r="O28" s="875"/>
      <c r="P28" s="875"/>
      <c r="Q28" s="875"/>
      <c r="R28" s="875"/>
      <c r="S28" s="875"/>
      <c r="T28" s="873"/>
    </row>
    <row r="29" spans="2:20" ht="14.4">
      <c r="B29" s="665" t="s">
        <v>866</v>
      </c>
      <c r="C29" s="625" cm="1">
        <f t="array" ref="C29" xml:space="preserve"> IF( E29 &lt;&gt; "sens", E29, INDEX(G29:T29, ,$C$8))</f>
        <v>0</v>
      </c>
      <c r="D29" s="200" t="s">
        <v>29</v>
      </c>
      <c r="E29" s="297" t="s">
        <v>1067</v>
      </c>
      <c r="F29" s="200"/>
      <c r="G29" s="613"/>
      <c r="H29" s="207">
        <v>0</v>
      </c>
      <c r="I29" s="207">
        <v>0</v>
      </c>
      <c r="J29" s="207">
        <v>0</v>
      </c>
      <c r="K29" s="207"/>
      <c r="L29" s="207"/>
      <c r="M29" s="207"/>
      <c r="N29" s="207"/>
      <c r="O29" s="207"/>
      <c r="P29" s="207"/>
      <c r="Q29" s="207"/>
      <c r="R29" s="207"/>
      <c r="S29" s="207"/>
      <c r="T29" s="613"/>
    </row>
    <row r="30" spans="2:20" ht="14.4">
      <c r="B30" s="666" t="s">
        <v>853</v>
      </c>
      <c r="C30" s="626" cm="1">
        <f t="array" ref="C30" xml:space="preserve"> IF( E30 &lt;&gt; "sens", E30, INDEX(G30:T30, ,$C$8))</f>
        <v>7</v>
      </c>
      <c r="D30" s="615" t="s">
        <v>146</v>
      </c>
      <c r="E30" s="696" t="s">
        <v>1067</v>
      </c>
      <c r="F30" s="615"/>
      <c r="G30" s="617"/>
      <c r="H30" s="616">
        <v>7</v>
      </c>
      <c r="I30" s="616">
        <v>7</v>
      </c>
      <c r="J30" s="616">
        <v>7</v>
      </c>
      <c r="K30" s="616"/>
      <c r="L30" s="616"/>
      <c r="M30" s="616"/>
      <c r="N30" s="616"/>
      <c r="O30" s="616"/>
      <c r="P30" s="616"/>
      <c r="Q30" s="616"/>
      <c r="R30" s="616"/>
      <c r="S30" s="616"/>
      <c r="T30" s="613"/>
    </row>
    <row r="31" spans="2:20" ht="14.4">
      <c r="B31" s="320" t="s">
        <v>1121</v>
      </c>
      <c r="C31" s="629" cm="1">
        <f t="array" ref="C31" xml:space="preserve"> IF( E31 &lt;&gt; "sens", E31, INDEX(G31:T31, ,$C$8))</f>
        <v>0</v>
      </c>
      <c r="D31" s="202" t="s">
        <v>26</v>
      </c>
      <c r="E31" s="697" t="s">
        <v>1067</v>
      </c>
      <c r="F31" s="333"/>
      <c r="G31" s="747"/>
      <c r="H31" s="321">
        <v>0</v>
      </c>
      <c r="I31" s="321">
        <v>0.02</v>
      </c>
      <c r="J31" s="321">
        <v>0.02</v>
      </c>
      <c r="K31" s="748"/>
      <c r="L31" s="748"/>
      <c r="M31" s="748"/>
      <c r="N31" s="748"/>
      <c r="O31" s="748"/>
      <c r="P31" s="748"/>
      <c r="Q31" s="748"/>
      <c r="R31" s="748"/>
      <c r="S31" s="748"/>
      <c r="T31" s="613"/>
    </row>
    <row r="32" spans="2:20" ht="14.4">
      <c r="B32" s="183" t="s">
        <v>1031</v>
      </c>
      <c r="C32" s="627" cm="1">
        <f t="array" ref="C32" xml:space="preserve"> IF( E32 &lt;&gt; "sens", E32, INDEX(G32:T32, ,$C$8))</f>
        <v>1</v>
      </c>
      <c r="D32" s="320" t="s">
        <v>23</v>
      </c>
      <c r="E32" s="338" t="s">
        <v>1067</v>
      </c>
      <c r="F32" s="320"/>
      <c r="G32" s="613"/>
      <c r="H32" s="379">
        <v>1</v>
      </c>
      <c r="I32" s="379">
        <v>1</v>
      </c>
      <c r="J32" s="379">
        <v>1</v>
      </c>
      <c r="K32" s="379"/>
      <c r="L32" s="379"/>
      <c r="M32" s="379"/>
      <c r="N32" s="379"/>
      <c r="O32" s="379"/>
      <c r="P32" s="379"/>
      <c r="Q32" s="379"/>
      <c r="R32" s="379"/>
      <c r="S32" s="379"/>
      <c r="T32" s="613"/>
    </row>
    <row r="33" spans="2:20" ht="14.4">
      <c r="B33" s="320" t="s">
        <v>1116</v>
      </c>
      <c r="C33" s="624" t="str" cm="1">
        <f t="array" ref="C33" xml:space="preserve"> IF( E33 &lt;&gt; "sens", E33, INDEX(G33:T33, ,$C$8))</f>
        <v>no</v>
      </c>
      <c r="D33" s="229" t="s">
        <v>622</v>
      </c>
      <c r="E33" s="338" t="s">
        <v>1067</v>
      </c>
      <c r="F33" s="320"/>
      <c r="G33" s="613"/>
      <c r="H33" s="326" t="s">
        <v>655</v>
      </c>
      <c r="I33" s="326" t="s">
        <v>655</v>
      </c>
      <c r="J33" s="326" t="s">
        <v>655</v>
      </c>
      <c r="K33" s="379"/>
      <c r="L33" s="379"/>
      <c r="M33" s="379"/>
      <c r="N33" s="379"/>
      <c r="O33" s="379"/>
      <c r="P33" s="379"/>
      <c r="Q33" s="379"/>
      <c r="R33" s="379"/>
      <c r="S33" s="379"/>
      <c r="T33" s="613"/>
    </row>
    <row r="34" spans="2:20" s="876" customFormat="1" ht="14.4">
      <c r="B34" s="206" t="s">
        <v>1119</v>
      </c>
      <c r="C34" s="886" t="str" cm="1">
        <f t="array" ref="C34" xml:space="preserve"> IF( E34 &lt;&gt; "sens", E34, INDEX(G34:T34, ,$C$8))</f>
        <v>Computed</v>
      </c>
      <c r="D34" s="376" t="s">
        <v>622</v>
      </c>
      <c r="E34" s="698" t="s">
        <v>1067</v>
      </c>
      <c r="F34" s="150"/>
      <c r="G34" s="873"/>
      <c r="H34" s="723" t="s">
        <v>1310</v>
      </c>
      <c r="I34" s="723" t="s">
        <v>1310</v>
      </c>
      <c r="J34" s="723" t="s">
        <v>1310</v>
      </c>
      <c r="K34" s="887"/>
      <c r="L34" s="887"/>
      <c r="M34" s="887"/>
      <c r="N34" s="887"/>
      <c r="O34" s="887"/>
      <c r="P34" s="887"/>
      <c r="Q34" s="887"/>
      <c r="R34" s="887"/>
      <c r="S34" s="887"/>
      <c r="T34" s="873"/>
    </row>
    <row r="35" spans="2:20">
      <c r="B35" s="601" t="s">
        <v>883</v>
      </c>
      <c r="C35" s="628" cm="1">
        <f t="array" ref="C35" xml:space="preserve"> IF( E35 &lt;&gt; "sens", E35, INDEX(G35:T35, ,$C$8))</f>
        <v>1</v>
      </c>
      <c r="D35" t="s">
        <v>23</v>
      </c>
      <c r="E35" s="613" t="s">
        <v>1067</v>
      </c>
      <c r="G35" s="613"/>
      <c r="H35" s="602">
        <v>1</v>
      </c>
      <c r="I35" s="602">
        <v>1</v>
      </c>
      <c r="J35" s="602">
        <v>1</v>
      </c>
      <c r="K35" s="602"/>
      <c r="L35" s="602"/>
      <c r="M35" s="602"/>
      <c r="N35" s="602"/>
      <c r="O35" s="602"/>
      <c r="P35" s="602"/>
      <c r="Q35" s="602"/>
      <c r="R35" s="602"/>
      <c r="S35" s="602"/>
      <c r="T35" s="613"/>
    </row>
    <row r="36" spans="2:20" ht="14.4">
      <c r="B36" s="665" t="s">
        <v>820</v>
      </c>
      <c r="C36" s="629" cm="1">
        <f t="array" ref="C36" xml:space="preserve"> IF( E36 &lt;&gt; "sens", E36, INDEX(G36:T36, ,$C$8))</f>
        <v>0</v>
      </c>
      <c r="D36" s="202" t="s">
        <v>26</v>
      </c>
      <c r="E36" s="697" t="s">
        <v>1067</v>
      </c>
      <c r="F36" s="202"/>
      <c r="G36" s="613"/>
      <c r="H36" s="126">
        <v>0</v>
      </c>
      <c r="I36" s="126">
        <v>0</v>
      </c>
      <c r="J36" s="126">
        <v>0</v>
      </c>
      <c r="K36" s="126"/>
      <c r="L36" s="126"/>
      <c r="M36" s="126"/>
      <c r="N36" s="126"/>
      <c r="O36" s="126"/>
      <c r="P36" s="126"/>
      <c r="Q36" s="126"/>
      <c r="R36" s="126"/>
      <c r="S36" s="126"/>
      <c r="T36" s="613"/>
    </row>
    <row r="37" spans="2:20" ht="14.4">
      <c r="B37" s="665" t="s">
        <v>763</v>
      </c>
      <c r="C37" s="629" cm="1">
        <f t="array" ref="C37" xml:space="preserve"> IF( E37 &lt;&gt; "sens", E37, INDEX(G37:T37, ,$C$8))</f>
        <v>0.1</v>
      </c>
      <c r="D37" s="150" t="s">
        <v>26</v>
      </c>
      <c r="E37" s="698" t="s">
        <v>1067</v>
      </c>
      <c r="F37" s="150"/>
      <c r="G37" s="613"/>
      <c r="H37" s="126">
        <v>0.1</v>
      </c>
      <c r="I37" s="126">
        <v>0.1</v>
      </c>
      <c r="J37" s="126">
        <v>0.1</v>
      </c>
      <c r="K37" s="126"/>
      <c r="L37" s="126"/>
      <c r="M37" s="126"/>
      <c r="N37" s="126"/>
      <c r="O37" s="126"/>
      <c r="P37" s="126"/>
      <c r="Q37" s="126"/>
      <c r="R37" s="126"/>
      <c r="S37" s="126"/>
      <c r="T37" s="613"/>
    </row>
    <row r="38" spans="2:20" s="876" customFormat="1" ht="14.4">
      <c r="B38" s="665" t="s">
        <v>1301</v>
      </c>
      <c r="C38" s="882" t="str" cm="1">
        <f t="array" ref="C38" xml:space="preserve"> IF( E38 &lt;&gt; "sens", E38, INDEX(G38:T38, ,$C$8))</f>
        <v>yes</v>
      </c>
      <c r="D38" s="876" t="s">
        <v>23</v>
      </c>
      <c r="E38" s="698" t="s">
        <v>1067</v>
      </c>
      <c r="F38" s="150"/>
      <c r="G38" s="873"/>
      <c r="H38" s="723" t="s">
        <v>654</v>
      </c>
      <c r="I38" s="723" t="s">
        <v>654</v>
      </c>
      <c r="J38" s="723" t="s">
        <v>654</v>
      </c>
      <c r="K38" s="126"/>
      <c r="L38" s="126"/>
      <c r="M38" s="126"/>
      <c r="N38" s="126"/>
      <c r="O38" s="126"/>
      <c r="P38" s="126"/>
      <c r="Q38" s="126"/>
      <c r="R38" s="126"/>
      <c r="S38" s="126"/>
      <c r="T38" s="873"/>
    </row>
    <row r="39" spans="2:20" ht="14.4">
      <c r="B39" s="6" t="s">
        <v>1137</v>
      </c>
      <c r="C39" s="629" cm="1">
        <f t="array" ref="C39" xml:space="preserve"> IF( E39 &lt;&gt; "sens", E39, INDEX(G39:T39, ,$C$8))</f>
        <v>0.14000000000000001</v>
      </c>
      <c r="D39" s="150" t="s">
        <v>26</v>
      </c>
      <c r="E39" s="698" t="s">
        <v>1067</v>
      </c>
      <c r="F39" s="150"/>
      <c r="G39" s="613"/>
      <c r="H39" s="321">
        <v>0.14000000000000001</v>
      </c>
      <c r="I39" s="321">
        <v>0.14000000000000001</v>
      </c>
      <c r="J39" s="321">
        <v>0.14000000000000001</v>
      </c>
      <c r="K39" s="126"/>
      <c r="L39" s="126"/>
      <c r="M39" s="126"/>
      <c r="N39" s="126"/>
      <c r="O39" s="126"/>
      <c r="P39" s="126"/>
      <c r="Q39" s="126"/>
      <c r="R39" s="126"/>
      <c r="S39" s="126"/>
      <c r="T39" s="613"/>
    </row>
    <row r="40" spans="2:20">
      <c r="B40" s="601" t="s">
        <v>903</v>
      </c>
      <c r="C40" s="628" cm="1">
        <f t="array" ref="C40" xml:space="preserve"> IF( E40 &lt;&gt; "sens", E40, INDEX(G40:T40, ,$C$8))</f>
        <v>1</v>
      </c>
      <c r="D40" t="s">
        <v>23</v>
      </c>
      <c r="E40" s="613" t="s">
        <v>1067</v>
      </c>
      <c r="G40" s="613"/>
      <c r="H40" s="602">
        <v>1</v>
      </c>
      <c r="I40" s="602">
        <v>1</v>
      </c>
      <c r="J40" s="602">
        <v>1</v>
      </c>
      <c r="K40" s="602"/>
      <c r="L40" s="602"/>
      <c r="M40" s="602"/>
      <c r="N40" s="602"/>
      <c r="O40" s="602"/>
      <c r="P40" s="602"/>
      <c r="Q40" s="602"/>
      <c r="R40" s="602"/>
      <c r="S40" s="602"/>
      <c r="T40" s="613"/>
    </row>
    <row r="41" spans="2:20" s="1" customFormat="1" ht="14.4">
      <c r="B41" s="532" t="s">
        <v>910</v>
      </c>
      <c r="C41" s="759" cm="1">
        <f t="array" ref="C41" xml:space="preserve"> IF( E41 &lt;&gt; "sens", E41, INDEX(G41:T41, ,$C$8))</f>
        <v>1</v>
      </c>
      <c r="D41" s="760" t="s">
        <v>23</v>
      </c>
      <c r="E41" s="761" t="s">
        <v>1067</v>
      </c>
      <c r="F41" s="760"/>
      <c r="G41" s="762"/>
      <c r="H41" s="763">
        <v>1</v>
      </c>
      <c r="I41" s="763">
        <v>1</v>
      </c>
      <c r="J41" s="763">
        <v>1</v>
      </c>
      <c r="K41" s="763"/>
      <c r="L41" s="763"/>
      <c r="M41" s="763"/>
      <c r="N41" s="763"/>
      <c r="O41" s="763"/>
      <c r="P41" s="763"/>
      <c r="Q41" s="763"/>
      <c r="R41" s="763"/>
      <c r="S41" s="763"/>
      <c r="T41" s="762"/>
    </row>
    <row r="42" spans="2:20" s="1" customFormat="1" ht="14.4">
      <c r="B42" s="532" t="s">
        <v>909</v>
      </c>
      <c r="C42" s="759" cm="1">
        <f t="array" ref="C42" xml:space="preserve"> IF( E42 &lt;&gt; "sens", E42, INDEX(G42:T42, ,$C$8))</f>
        <v>1</v>
      </c>
      <c r="D42" s="760" t="s">
        <v>23</v>
      </c>
      <c r="E42" s="761" t="s">
        <v>1067</v>
      </c>
      <c r="F42" s="760"/>
      <c r="G42" s="762"/>
      <c r="H42" s="763">
        <v>1</v>
      </c>
      <c r="I42" s="763">
        <v>1</v>
      </c>
      <c r="J42" s="763">
        <v>1</v>
      </c>
      <c r="K42" s="763"/>
      <c r="L42" s="763"/>
      <c r="M42" s="763"/>
      <c r="N42" s="763"/>
      <c r="O42" s="763"/>
      <c r="P42" s="763"/>
      <c r="Q42" s="763"/>
      <c r="R42" s="763"/>
      <c r="S42" s="763"/>
      <c r="T42" s="762"/>
    </row>
    <row r="43" spans="2:20">
      <c r="B43" s="680" t="s">
        <v>1032</v>
      </c>
      <c r="C43" s="681" cm="1">
        <f t="array" ref="C43" xml:space="preserve"> IF( E43 &lt;&gt; "sens", E43, INDEX(G43:T43, ,$C$8))</f>
        <v>1</v>
      </c>
      <c r="D43" s="682" t="s">
        <v>23</v>
      </c>
      <c r="E43" s="683" t="s">
        <v>1067</v>
      </c>
      <c r="F43" s="682"/>
      <c r="G43" s="683"/>
      <c r="H43" s="684">
        <v>1</v>
      </c>
      <c r="I43" s="684">
        <v>1</v>
      </c>
      <c r="J43" s="684">
        <v>1</v>
      </c>
      <c r="K43" s="684"/>
      <c r="L43" s="684"/>
      <c r="M43" s="684"/>
      <c r="N43" s="684"/>
      <c r="O43" s="684"/>
      <c r="P43" s="684"/>
      <c r="Q43" s="684"/>
      <c r="R43" s="684"/>
      <c r="S43" s="684"/>
      <c r="T43" s="683"/>
    </row>
    <row r="44" spans="2:20" ht="14.4">
      <c r="B44" s="664" t="s">
        <v>504</v>
      </c>
      <c r="C44" s="652">
        <v>0.1</v>
      </c>
      <c r="D44" s="719" t="s">
        <v>1078</v>
      </c>
      <c r="E44" s="664"/>
      <c r="F44" s="653"/>
    </row>
    <row r="45" spans="2:20" ht="14.4">
      <c r="B45" s="414" t="str">
        <f xml:space="preserve"> Dashboard!C$8</f>
        <v xml:space="preserve">Forecast / point forward year </v>
      </c>
      <c r="C45" s="414">
        <f xml:space="preserve"> Dashboard!D$8</f>
        <v>2025</v>
      </c>
      <c r="D45" s="414" t="str">
        <f xml:space="preserve"> Dashboard!E$8</f>
        <v>year</v>
      </c>
      <c r="E45" s="183"/>
      <c r="F45" s="32"/>
    </row>
    <row r="46" spans="2:20" ht="14.4">
      <c r="B46" s="183" t="s">
        <v>1062</v>
      </c>
      <c r="C46" s="513">
        <v>1</v>
      </c>
      <c r="D46" s="32" t="s">
        <v>23</v>
      </c>
      <c r="E46" s="183"/>
      <c r="F46" s="32"/>
    </row>
    <row r="48" spans="2:20">
      <c r="T48" s="613"/>
    </row>
    <row r="49" spans="1:19">
      <c r="A49" s="611" t="s">
        <v>1071</v>
      </c>
      <c r="B49" s="611"/>
      <c r="C49" s="611"/>
      <c r="D49" s="611"/>
      <c r="E49" s="611"/>
      <c r="F49" s="611"/>
      <c r="G49" s="611"/>
      <c r="H49" s="611" t="s">
        <v>1042</v>
      </c>
      <c r="I49" s="611"/>
      <c r="J49" s="611"/>
      <c r="K49" s="611"/>
      <c r="L49" s="611"/>
      <c r="M49" s="611"/>
      <c r="N49" s="611"/>
      <c r="O49" s="611"/>
      <c r="P49" s="611"/>
      <c r="Q49" s="611"/>
      <c r="R49" s="611"/>
      <c r="S49" s="611"/>
    </row>
    <row r="50" spans="1:19">
      <c r="B50" s="649" t="s">
        <v>1029</v>
      </c>
      <c r="H50" s="671"/>
      <c r="I50" s="671"/>
      <c r="J50" s="671"/>
    </row>
    <row r="51" spans="1:19">
      <c r="B51" s="601" t="str">
        <f xml:space="preserve"> B$45</f>
        <v xml:space="preserve">Forecast / point forward year </v>
      </c>
      <c r="C51" s="601">
        <f xml:space="preserve"> C$45</f>
        <v>2025</v>
      </c>
      <c r="D51" s="601" t="str">
        <f xml:space="preserve"> D$45</f>
        <v>year</v>
      </c>
    </row>
    <row r="52" spans="1:19" s="1" customFormat="1">
      <c r="B52" s="1" t="s">
        <v>1043</v>
      </c>
      <c r="C52" s="824">
        <v>2022</v>
      </c>
      <c r="D52" s="1" t="s">
        <v>62</v>
      </c>
      <c r="H52" s="870"/>
      <c r="I52" s="870"/>
      <c r="J52" s="870"/>
    </row>
    <row r="53" spans="1:19">
      <c r="B53" s="673"/>
      <c r="I53" s="671"/>
      <c r="J53" s="671"/>
    </row>
    <row r="54" spans="1:19" ht="14.4">
      <c r="A54">
        <f xml:space="preserve"> MAX(A$49:A53) + 1</f>
        <v>1</v>
      </c>
      <c r="B54" s="741" t="s">
        <v>1068</v>
      </c>
      <c r="C54" s="742">
        <f xml:space="preserve"> D$138</f>
        <v>2022</v>
      </c>
      <c r="D54" s="743" t="str">
        <f xml:space="preserve"> E$138</f>
        <v>&gt;= 2025</v>
      </c>
      <c r="E54" s="737"/>
      <c r="F54" s="744" t="str">
        <f>"DATA TABLE " &amp; A54</f>
        <v>DATA TABLE 1</v>
      </c>
      <c r="G54" s="737"/>
      <c r="H54" s="745" t="s">
        <v>728</v>
      </c>
      <c r="I54" s="746" t="s">
        <v>656</v>
      </c>
      <c r="J54" s="745" t="s">
        <v>726</v>
      </c>
    </row>
    <row r="55" spans="1:19">
      <c r="B55" s="733" t="s">
        <v>45</v>
      </c>
      <c r="C55" s="727" cm="1">
        <f t="array" ref="C55" xml:space="preserve"> INDEX(D$137:D$178, MATCH($B55, B$137:B$178, 0),)</f>
        <v>827.43128123694396</v>
      </c>
      <c r="D55" s="727" cm="1">
        <f t="array" ref="D55" xml:space="preserve"> INDEX(E$137:E$178, MATCH($B55, B$137:B$178, 0),)</f>
        <v>7048.7685315570543</v>
      </c>
      <c r="E55" s="727"/>
      <c r="F55" s="727"/>
      <c r="G55" s="727">
        <f xml:space="preserve"> C55</f>
        <v>827.43128123694396</v>
      </c>
      <c r="H55" s="734"/>
      <c r="I55" s="734"/>
      <c r="J55" s="734"/>
    </row>
    <row r="56" spans="1:19">
      <c r="B56" s="727"/>
      <c r="C56" s="727"/>
      <c r="D56" s="727"/>
      <c r="E56" s="727"/>
      <c r="F56" s="727"/>
      <c r="G56" s="727">
        <f xml:space="preserve"> D55</f>
        <v>7048.7685315570543</v>
      </c>
      <c r="H56" s="734"/>
      <c r="I56" s="734"/>
      <c r="J56" s="734"/>
    </row>
    <row r="57" spans="1:19" ht="14.4">
      <c r="B57" s="738" t="s">
        <v>731</v>
      </c>
      <c r="C57" s="739"/>
      <c r="D57" s="739"/>
      <c r="E57" s="739"/>
      <c r="F57" s="739"/>
      <c r="G57" s="739"/>
      <c r="H57" s="739"/>
      <c r="I57" s="739"/>
      <c r="J57" s="739"/>
    </row>
    <row r="58" spans="1:19" ht="14.4">
      <c r="B58" s="735"/>
      <c r="C58" s="727"/>
      <c r="D58" s="727"/>
      <c r="E58" s="727"/>
      <c r="F58" s="727"/>
      <c r="G58" s="727"/>
      <c r="H58" s="727"/>
      <c r="I58" s="727"/>
      <c r="J58" s="727"/>
    </row>
    <row r="59" spans="1:19" ht="14.4">
      <c r="A59">
        <f xml:space="preserve"> MAX(A$49:A57) + 1</f>
        <v>2</v>
      </c>
      <c r="B59" s="728" t="s">
        <v>1069</v>
      </c>
      <c r="C59" s="729">
        <f xml:space="preserve"> D$138</f>
        <v>2022</v>
      </c>
      <c r="D59" s="730" t="str">
        <f xml:space="preserve"> E$138</f>
        <v>&gt;= 2025</v>
      </c>
      <c r="E59" s="727"/>
      <c r="F59" s="731" t="str">
        <f>"DATA TABLE " &amp; A59</f>
        <v>DATA TABLE 2</v>
      </c>
      <c r="G59" s="727"/>
      <c r="H59" s="427" t="s">
        <v>728</v>
      </c>
      <c r="I59" s="427" t="s">
        <v>656</v>
      </c>
      <c r="J59" s="427" t="s">
        <v>656</v>
      </c>
    </row>
    <row r="60" spans="1:19">
      <c r="B60" s="733" t="s">
        <v>46</v>
      </c>
      <c r="C60" s="727" cm="1">
        <f t="array" ref="C60" xml:space="preserve"> INDEX(D$137:D$178, MATCH($B60, B$137:B$178, 0),)</f>
        <v>962.82272674877015</v>
      </c>
      <c r="D60" s="727" cm="1">
        <f t="array" ref="D60" xml:space="preserve"> INDEX(E$137:E$178, MATCH($B60, B$137:B$178, 0),)</f>
        <v>4318.6154076934317</v>
      </c>
      <c r="E60" s="727"/>
      <c r="F60" s="727"/>
      <c r="G60" s="727">
        <f xml:space="preserve"> C60</f>
        <v>962.82272674877015</v>
      </c>
      <c r="H60" s="734"/>
      <c r="I60" s="734"/>
      <c r="J60" s="734"/>
    </row>
    <row r="61" spans="1:19">
      <c r="B61" s="727"/>
      <c r="C61" s="727"/>
      <c r="D61" s="727"/>
      <c r="E61" s="727"/>
      <c r="F61" s="727"/>
      <c r="G61" s="727">
        <f xml:space="preserve"> D60</f>
        <v>4318.6154076934317</v>
      </c>
      <c r="H61" s="734"/>
      <c r="I61" s="734"/>
      <c r="J61" s="734"/>
    </row>
    <row r="62" spans="1:19" ht="14.4">
      <c r="B62" s="738" t="s">
        <v>731</v>
      </c>
      <c r="C62" s="739"/>
      <c r="D62" s="739"/>
      <c r="E62" s="739"/>
      <c r="F62" s="739"/>
      <c r="G62" s="739"/>
    </row>
    <row r="64" spans="1:19">
      <c r="B64" s="736" t="str">
        <f xml:space="preserve"> OnePager!F5</f>
        <v>Variable Payable Co Rates</v>
      </c>
      <c r="C64" s="737"/>
      <c r="D64" s="737"/>
      <c r="E64" s="737"/>
      <c r="F64" s="737"/>
      <c r="G64" s="737"/>
      <c r="H64" s="737"/>
      <c r="I64" s="737"/>
      <c r="J64" s="737"/>
    </row>
    <row r="65" spans="1:10" ht="14.4">
      <c r="A65">
        <f xml:space="preserve"> MAX(A$49:A63) + 1</f>
        <v>3</v>
      </c>
      <c r="B65" s="728" t="str">
        <f xml:space="preserve"> B20</f>
        <v>Cobalt Payable Rate applied in model</v>
      </c>
      <c r="C65" s="729">
        <f xml:space="preserve"> D$138</f>
        <v>2022</v>
      </c>
      <c r="D65" s="730" t="str">
        <f xml:space="preserve"> E$138</f>
        <v>&gt;= 2025</v>
      </c>
      <c r="E65" s="727"/>
      <c r="F65" s="731" t="str">
        <f>"DATA TABLE " &amp; A65</f>
        <v>DATA TABLE 3</v>
      </c>
      <c r="G65" s="727"/>
      <c r="H65" s="337">
        <v>0.6</v>
      </c>
      <c r="I65" s="337">
        <f xml:space="preserve"> $H$20</f>
        <v>0.7</v>
      </c>
      <c r="J65" s="337">
        <v>0.9</v>
      </c>
    </row>
    <row r="66" spans="1:10">
      <c r="B66" s="733" t="s">
        <v>46</v>
      </c>
      <c r="C66" s="727" cm="1">
        <f t="array" ref="C66" xml:space="preserve"> INDEX(D$137:D$178, MATCH($B66, B$137:B$178, 0),)</f>
        <v>962.82272674877015</v>
      </c>
      <c r="D66" s="727" cm="1">
        <f t="array" ref="D66" xml:space="preserve"> INDEX(E$137:E$178, MATCH($B66, B$137:B$178, 0),)</f>
        <v>4318.6154076934317</v>
      </c>
      <c r="E66" s="727"/>
      <c r="F66" s="727"/>
      <c r="G66" s="727">
        <f xml:space="preserve"> C66</f>
        <v>962.82272674877015</v>
      </c>
      <c r="H66" s="734">
        <f t="dataTable" ref="H66:J67" dt2D="0" dtr="1" r1="E20"/>
        <v>820.55602192332651</v>
      </c>
      <c r="I66" s="734">
        <v>962.82272674877015</v>
      </c>
      <c r="J66" s="734">
        <v>1247.356136399658</v>
      </c>
    </row>
    <row r="67" spans="1:10">
      <c r="B67" s="727"/>
      <c r="C67" s="727"/>
      <c r="D67" s="727"/>
      <c r="E67" s="727"/>
      <c r="F67" s="727"/>
      <c r="G67" s="727">
        <f xml:space="preserve"> D66</f>
        <v>4318.6154076934317</v>
      </c>
      <c r="H67" s="734">
        <v>3667.8138537164759</v>
      </c>
      <c r="I67" s="734">
        <v>4318.6154076934317</v>
      </c>
      <c r="J67" s="734">
        <v>5620.2185156473442</v>
      </c>
    </row>
    <row r="68" spans="1:10" ht="14.4">
      <c r="B68" s="738" t="s">
        <v>731</v>
      </c>
      <c r="C68" s="739"/>
      <c r="D68" s="739"/>
      <c r="E68" s="739"/>
      <c r="F68" s="739"/>
      <c r="G68" s="739"/>
      <c r="H68" s="739">
        <f>H67 - $I$67</f>
        <v>-650.8015539769558</v>
      </c>
      <c r="I68" s="739">
        <f t="shared" ref="I68:J68" si="1">I67 - $I$67</f>
        <v>0</v>
      </c>
      <c r="J68" s="739">
        <f t="shared" si="1"/>
        <v>1301.6031079539125</v>
      </c>
    </row>
    <row r="70" spans="1:10">
      <c r="B70" s="736" t="str">
        <f xml:space="preserve"> OnePager!$F$6</f>
        <v>Transport charges included</v>
      </c>
      <c r="C70" s="737"/>
      <c r="D70" s="737"/>
      <c r="E70" s="737"/>
      <c r="F70" s="737"/>
      <c r="G70" s="737"/>
      <c r="H70" s="737"/>
      <c r="I70" s="737"/>
      <c r="J70" s="737"/>
    </row>
    <row r="71" spans="1:10" ht="14.4">
      <c r="A71">
        <f xml:space="preserve"> MAX(A$49:A70) + 1</f>
        <v>4</v>
      </c>
      <c r="B71" s="728" t="str">
        <f xml:space="preserve"> B16</f>
        <v>Apply Cu transport / quality discount (1 = yes)</v>
      </c>
      <c r="C71" s="729">
        <f xml:space="preserve"> D$138</f>
        <v>2022</v>
      </c>
      <c r="D71" s="730" t="str">
        <f xml:space="preserve"> E$138</f>
        <v>&gt;= 2025</v>
      </c>
      <c r="E71" s="727"/>
      <c r="F71" s="731" t="str">
        <f>"DATA TABLE " &amp; A71</f>
        <v>DATA TABLE 4</v>
      </c>
      <c r="G71" s="727"/>
      <c r="H71" s="337"/>
      <c r="I71" s="721">
        <v>1</v>
      </c>
      <c r="J71" s="337"/>
    </row>
    <row r="72" spans="1:10">
      <c r="B72" s="733" t="s">
        <v>45</v>
      </c>
      <c r="C72" s="727" cm="1">
        <f t="array" ref="C72" xml:space="preserve"> INDEX(D$137:D$178, MATCH($B72, B$137:B$178, 0),)</f>
        <v>827.43128123694396</v>
      </c>
      <c r="D72" s="727" cm="1">
        <f t="array" ref="D72" xml:space="preserve"> INDEX(E$137:E$178, MATCH($B72, B$137:B$178, 0),)</f>
        <v>7048.7685315570543</v>
      </c>
      <c r="E72" s="727"/>
      <c r="F72" s="727"/>
      <c r="G72" s="727">
        <f xml:space="preserve"> C72</f>
        <v>827.43128123694396</v>
      </c>
      <c r="H72" s="734">
        <f t="dataTable" ref="H72:J73" dt2D="0" dtr="1" r1="E16" ca="1"/>
        <v>858.47826123694404</v>
      </c>
      <c r="I72" s="734">
        <v>827.43128123694396</v>
      </c>
      <c r="J72" s="734">
        <v>858.47826123694404</v>
      </c>
    </row>
    <row r="73" spans="1:10">
      <c r="B73" s="727"/>
      <c r="C73" s="727"/>
      <c r="D73" s="727"/>
      <c r="E73" s="727"/>
      <c r="F73" s="727"/>
      <c r="G73" s="727">
        <f xml:space="preserve"> D72</f>
        <v>7048.7685315570543</v>
      </c>
      <c r="H73" s="734">
        <v>7314.0686845570526</v>
      </c>
      <c r="I73" s="734">
        <v>7048.7685315570543</v>
      </c>
      <c r="J73" s="734">
        <v>7314.0686845570526</v>
      </c>
    </row>
    <row r="74" spans="1:10" ht="14.4">
      <c r="B74" s="738" t="s">
        <v>731</v>
      </c>
      <c r="C74" s="739"/>
      <c r="D74" s="739"/>
      <c r="E74" s="739"/>
      <c r="F74" s="739"/>
      <c r="G74" s="739"/>
      <c r="H74" s="739">
        <f t="shared" ref="H74" si="2">H73 - $I$73</f>
        <v>265.30015299999832</v>
      </c>
      <c r="I74" s="739">
        <f>I73 - $I$73</f>
        <v>0</v>
      </c>
      <c r="J74" s="739">
        <f t="shared" ref="J74" si="3">J73 - $I$73</f>
        <v>265.30015299999832</v>
      </c>
    </row>
    <row r="75" spans="1:10" ht="14.4">
      <c r="B75" s="726"/>
    </row>
    <row r="76" spans="1:10">
      <c r="B76" s="736" t="str">
        <f xml:space="preserve"> OnePager!$F$7</f>
        <v>2% fee on 3rd party sales</v>
      </c>
      <c r="C76" s="737"/>
      <c r="D76" s="737"/>
      <c r="E76" s="737"/>
      <c r="F76" s="737"/>
      <c r="G76" s="737"/>
      <c r="H76" s="737"/>
      <c r="I76" s="737"/>
      <c r="J76" s="737"/>
    </row>
    <row r="77" spans="1:10" ht="14.4">
      <c r="A77">
        <f xml:space="preserve"> MAX(A$49:A76) + 1</f>
        <v>5</v>
      </c>
      <c r="B77" s="728" t="str">
        <f xml:space="preserve"> B17</f>
        <v>Third Party Marketing Charge: Cu &amp; Co</v>
      </c>
      <c r="C77" s="729">
        <f xml:space="preserve"> D$138</f>
        <v>2022</v>
      </c>
      <c r="D77" s="730" t="str">
        <f xml:space="preserve"> E$138</f>
        <v>&gt;= 2025</v>
      </c>
      <c r="E77" s="727"/>
      <c r="F77" s="731" t="str">
        <f>"DATA TABLE " &amp; A77</f>
        <v>DATA TABLE 5</v>
      </c>
      <c r="G77" s="727"/>
      <c r="H77" s="337">
        <v>0.02</v>
      </c>
      <c r="I77" s="337">
        <v>8.0000000000000002E-3</v>
      </c>
      <c r="J77" s="337">
        <v>0</v>
      </c>
    </row>
    <row r="78" spans="1:10">
      <c r="B78" s="733" t="s">
        <v>47</v>
      </c>
      <c r="C78" s="727" cm="1">
        <f t="array" ref="C78" xml:space="preserve"> INDEX(D$137:D$178, MATCH($B78, B$137:B$178, 0),)</f>
        <v>1790.254007985714</v>
      </c>
      <c r="D78" s="727" cm="1">
        <f t="array" ref="D78" xml:space="preserve"> INDEX(E$137:E$178, MATCH($B78, B$137:B$178, 0),)</f>
        <v>11367.383939250485</v>
      </c>
      <c r="E78" s="727"/>
      <c r="F78" s="727"/>
      <c r="G78" s="727">
        <f xml:space="preserve"> C78</f>
        <v>1790.254007985714</v>
      </c>
      <c r="H78" s="734">
        <f t="dataTable" ref="H78:J79" dt2D="0" dtr="1" r1="E17" ca="1"/>
        <v>1770.4413058601644</v>
      </c>
      <c r="I78" s="734">
        <v>1790.254007985714</v>
      </c>
      <c r="J78" s="734">
        <v>1803.4624760694137</v>
      </c>
    </row>
    <row r="79" spans="1:10">
      <c r="B79" s="727"/>
      <c r="C79" s="727"/>
      <c r="D79" s="727"/>
      <c r="E79" s="727"/>
      <c r="F79" s="727"/>
      <c r="G79" s="727">
        <f xml:space="preserve"> D78</f>
        <v>11367.383939250485</v>
      </c>
      <c r="H79" s="734">
        <v>11240.839833492722</v>
      </c>
      <c r="I79" s="734">
        <v>11367.383939250485</v>
      </c>
      <c r="J79" s="734">
        <v>11451.746676422325</v>
      </c>
    </row>
    <row r="80" spans="1:10" ht="14.4">
      <c r="B80" s="738" t="s">
        <v>731</v>
      </c>
      <c r="C80" s="739"/>
      <c r="D80" s="739"/>
      <c r="E80" s="739"/>
      <c r="F80" s="739"/>
      <c r="G80" s="739"/>
      <c r="H80" s="739">
        <f t="shared" ref="H80" si="4">H79 - $I79</f>
        <v>-126.54410575776274</v>
      </c>
      <c r="I80" s="739">
        <f>I79 - $I79</f>
        <v>0</v>
      </c>
      <c r="J80" s="739">
        <f t="shared" ref="J80" si="5">J79 - $I79</f>
        <v>84.362737171839399</v>
      </c>
    </row>
    <row r="81" spans="1:15" ht="14.4">
      <c r="B81" s="726"/>
    </row>
    <row r="82" spans="1:15">
      <c r="B82" s="736" t="str">
        <f xml:space="preserve"> OnePager!F8</f>
        <v>+/- 5% reported Cu volume</v>
      </c>
      <c r="C82" s="737"/>
      <c r="D82" s="737"/>
      <c r="E82" s="737"/>
      <c r="F82" s="737"/>
      <c r="G82" s="737"/>
      <c r="H82" s="737"/>
      <c r="I82" s="737"/>
      <c r="J82" s="737"/>
    </row>
    <row r="83" spans="1:15" ht="14.4">
      <c r="A83">
        <f xml:space="preserve"> MAX(A$49:A82) + 1</f>
        <v>6</v>
      </c>
      <c r="B83" s="728" t="str">
        <f xml:space="preserve"> B23</f>
        <v>Copper production sensitivity (forecast period)</v>
      </c>
      <c r="C83" s="729">
        <f xml:space="preserve"> D$138</f>
        <v>2022</v>
      </c>
      <c r="D83" s="730" t="str">
        <f xml:space="preserve"> E$138</f>
        <v>&gt;= 2025</v>
      </c>
      <c r="E83" s="727"/>
      <c r="F83" s="731" t="str">
        <f>"DATA TABLE " &amp; A83</f>
        <v>DATA TABLE 6</v>
      </c>
      <c r="G83" s="727"/>
      <c r="H83" s="337">
        <v>0.95</v>
      </c>
      <c r="I83" s="337">
        <v>1</v>
      </c>
      <c r="J83" s="337">
        <v>1.05</v>
      </c>
    </row>
    <row r="84" spans="1:15">
      <c r="B84" s="733" t="s">
        <v>45</v>
      </c>
      <c r="C84" s="727" cm="1">
        <f t="array" ref="C84" xml:space="preserve"> INDEX(D$137:D$178, MATCH($B84, B$137:B$178, 0),)</f>
        <v>827.43128123694396</v>
      </c>
      <c r="D84" s="727" cm="1">
        <f t="array" ref="D84" xml:space="preserve"> INDEX(E$137:E$178, MATCH($B84, B$137:B$178, 0),)</f>
        <v>7048.7685315570543</v>
      </c>
      <c r="E84" s="727"/>
      <c r="F84" s="727"/>
      <c r="G84" s="727">
        <f xml:space="preserve"> C84</f>
        <v>827.43128123694396</v>
      </c>
      <c r="H84" s="734">
        <f t="dataTable" ref="H84:J85" dt2D="0" dtr="1" r1="E23" ca="1"/>
        <v>827.43128123694396</v>
      </c>
      <c r="I84" s="734">
        <v>827.43128123694396</v>
      </c>
      <c r="J84" s="734">
        <v>827.43128123694396</v>
      </c>
    </row>
    <row r="85" spans="1:15">
      <c r="B85" s="727"/>
      <c r="C85" s="727"/>
      <c r="D85" s="727"/>
      <c r="E85" s="727"/>
      <c r="F85" s="727"/>
      <c r="G85" s="727">
        <f xml:space="preserve"> D84</f>
        <v>7048.7685315570543</v>
      </c>
      <c r="H85" s="734">
        <v>6696.3301049792008</v>
      </c>
      <c r="I85" s="734">
        <v>7048.7685315570543</v>
      </c>
      <c r="J85" s="734">
        <v>7401.2069581349069</v>
      </c>
    </row>
    <row r="86" spans="1:15" ht="14.4">
      <c r="B86" s="738" t="s">
        <v>731</v>
      </c>
      <c r="C86" s="739"/>
      <c r="D86" s="739"/>
      <c r="E86" s="739"/>
      <c r="F86" s="739"/>
      <c r="G86" s="739"/>
      <c r="H86" s="739">
        <f t="shared" ref="H86" si="6">H85 - $I85</f>
        <v>-352.43842657785353</v>
      </c>
      <c r="I86" s="739">
        <f>I85 - $I85</f>
        <v>0</v>
      </c>
      <c r="J86" s="739">
        <f t="shared" ref="J86" si="7">J85 - $I85</f>
        <v>352.43842657785262</v>
      </c>
    </row>
    <row r="87" spans="1:15" ht="14.4">
      <c r="B87" s="726"/>
    </row>
    <row r="88" spans="1:15">
      <c r="B88" s="736" t="str">
        <f xml:space="preserve"> OnePager!$F$9</f>
        <v xml:space="preserve">+/- 5% reported Co volume </v>
      </c>
      <c r="C88" s="737"/>
      <c r="D88" s="737"/>
      <c r="E88" s="737"/>
      <c r="F88" s="737"/>
      <c r="G88" s="737"/>
      <c r="H88" s="737"/>
      <c r="I88" s="737"/>
      <c r="J88" s="737"/>
    </row>
    <row r="89" spans="1:15" ht="14.4">
      <c r="A89">
        <f xml:space="preserve"> MAX(A$49:A88) + 1</f>
        <v>7</v>
      </c>
      <c r="B89" s="728" t="str">
        <f xml:space="preserve"> B24</f>
        <v>Cobalt production sensitivity (forecast period)</v>
      </c>
      <c r="C89" s="729">
        <f xml:space="preserve"> D$138</f>
        <v>2022</v>
      </c>
      <c r="D89" s="730" t="str">
        <f xml:space="preserve"> E$138</f>
        <v>&gt;= 2025</v>
      </c>
      <c r="E89" s="727"/>
      <c r="F89" s="731" t="str">
        <f>"DATA TABLE " &amp; A89</f>
        <v>DATA TABLE 7</v>
      </c>
      <c r="G89" s="727"/>
      <c r="H89" s="337">
        <v>0.95</v>
      </c>
      <c r="I89" s="337">
        <v>1</v>
      </c>
      <c r="J89" s="337">
        <v>1.05</v>
      </c>
    </row>
    <row r="90" spans="1:15">
      <c r="B90" s="733" t="s">
        <v>46</v>
      </c>
      <c r="C90" s="727" cm="1">
        <f t="array" ref="C90" xml:space="preserve"> INDEX(D$137:D$178, MATCH($B90, B$137:B$178, 0),)</f>
        <v>962.82272674877015</v>
      </c>
      <c r="D90" s="727" cm="1">
        <f t="array" ref="D90" xml:space="preserve"> INDEX(E$137:E$178, MATCH($B90, B$137:B$178, 0),)</f>
        <v>4318.6154076934317</v>
      </c>
      <c r="E90" s="727"/>
      <c r="F90" s="727"/>
      <c r="G90" s="727">
        <f xml:space="preserve"> C90</f>
        <v>962.82272674877015</v>
      </c>
      <c r="H90" s="734">
        <f t="dataTable" ref="H90:J91" dt2D="0" dtr="1" r1="E24" ca="1"/>
        <v>962.82272674877015</v>
      </c>
      <c r="I90" s="734">
        <v>962.82272674877015</v>
      </c>
      <c r="J90" s="734">
        <v>962.82272674877015</v>
      </c>
    </row>
    <row r="91" spans="1:15">
      <c r="B91" s="727"/>
      <c r="C91" s="727"/>
      <c r="D91" s="727"/>
      <c r="E91" s="727"/>
      <c r="F91" s="727"/>
      <c r="G91" s="727">
        <f xml:space="preserve"> D90</f>
        <v>4318.6154076934317</v>
      </c>
      <c r="H91" s="734">
        <v>4102.684637308761</v>
      </c>
      <c r="I91" s="734">
        <v>4318.6154076934317</v>
      </c>
      <c r="J91" s="734">
        <v>4534.5461780781034</v>
      </c>
    </row>
    <row r="92" spans="1:15" ht="14.4">
      <c r="B92" s="738" t="s">
        <v>731</v>
      </c>
      <c r="C92" s="739"/>
      <c r="D92" s="739"/>
      <c r="E92" s="739"/>
      <c r="F92" s="739"/>
      <c r="G92" s="739"/>
      <c r="H92" s="739">
        <f t="shared" ref="H92" si="8">H91 - $I91</f>
        <v>-215.93077038467072</v>
      </c>
      <c r="I92" s="739">
        <f>I91 - $I91</f>
        <v>0</v>
      </c>
      <c r="J92" s="739">
        <f t="shared" ref="J92" si="9">J91 - $I91</f>
        <v>215.93077038467163</v>
      </c>
    </row>
    <row r="93" spans="1:15" ht="14.4">
      <c r="B93" s="726"/>
    </row>
    <row r="94" spans="1:15">
      <c r="B94" s="736" t="str">
        <f xml:space="preserve"> OnePager!$F$10</f>
        <v>CoHyd Grade range 30 - 35%</v>
      </c>
      <c r="C94" s="737"/>
      <c r="D94" s="737"/>
      <c r="E94" s="737"/>
      <c r="F94" s="737"/>
      <c r="G94" s="737"/>
      <c r="H94" s="737"/>
      <c r="I94" s="737"/>
      <c r="J94" s="737"/>
    </row>
    <row r="95" spans="1:15" ht="14.4">
      <c r="A95">
        <f xml:space="preserve"> MAX(A$49:A94) + 1</f>
        <v>8</v>
      </c>
      <c r="B95" s="728" t="str">
        <f xml:space="preserve"> B24</f>
        <v>Cobalt production sensitivity (forecast period)</v>
      </c>
      <c r="C95" s="729">
        <f xml:space="preserve"> D$138</f>
        <v>2022</v>
      </c>
      <c r="D95" s="730" t="str">
        <f xml:space="preserve"> E$138</f>
        <v>&gt;= 2025</v>
      </c>
      <c r="E95" s="727"/>
      <c r="F95" s="731" t="str">
        <f>"DATA TABLE " &amp; A95</f>
        <v>DATA TABLE 8</v>
      </c>
      <c r="G95" s="727"/>
      <c r="H95" s="337">
        <v>0.9</v>
      </c>
      <c r="I95" s="337">
        <v>1</v>
      </c>
      <c r="J95" s="337">
        <v>1.06</v>
      </c>
      <c r="L95" s="337">
        <v>0.3</v>
      </c>
      <c r="M95" s="337">
        <v>0.33</v>
      </c>
      <c r="N95" s="337">
        <v>0.35</v>
      </c>
      <c r="O95" t="s">
        <v>1090</v>
      </c>
    </row>
    <row r="96" spans="1:15">
      <c r="B96" s="733" t="s">
        <v>46</v>
      </c>
      <c r="C96" s="727" cm="1">
        <f t="array" ref="C96" xml:space="preserve"> INDEX(D$137:D$178, MATCH($B96, B$137:B$178, 0),)</f>
        <v>962.82272674877015</v>
      </c>
      <c r="D96" s="727" cm="1">
        <f t="array" ref="D96" xml:space="preserve"> INDEX(E$137:E$178, MATCH($B96, B$137:B$178, 0),)</f>
        <v>4318.6154076934317</v>
      </c>
      <c r="E96" s="727"/>
      <c r="F96" s="727"/>
      <c r="G96" s="727">
        <f xml:space="preserve"> C96</f>
        <v>962.82272674877015</v>
      </c>
      <c r="H96" s="734">
        <f t="dataTable" ref="H96:J97" dt2D="0" dtr="1" r1="E24" ca="1"/>
        <v>962.82272674877015</v>
      </c>
      <c r="I96" s="734">
        <v>962.82272674877015</v>
      </c>
      <c r="J96" s="734">
        <v>962.82272674877015</v>
      </c>
      <c r="L96" s="598">
        <f xml:space="preserve"> L95 / M95</f>
        <v>0.90909090909090906</v>
      </c>
      <c r="N96" s="598">
        <f xml:space="preserve"> N95 / M95</f>
        <v>1.0606060606060606</v>
      </c>
    </row>
    <row r="97" spans="1:10">
      <c r="B97" s="727"/>
      <c r="C97" s="727"/>
      <c r="D97" s="727"/>
      <c r="E97" s="727"/>
      <c r="F97" s="727"/>
      <c r="G97" s="727">
        <f xml:space="preserve"> D96</f>
        <v>4318.6154076934317</v>
      </c>
      <c r="H97" s="734">
        <v>3886.7538669240894</v>
      </c>
      <c r="I97" s="734">
        <v>4318.6154076934317</v>
      </c>
      <c r="J97" s="734">
        <v>4577.7323321550384</v>
      </c>
    </row>
    <row r="98" spans="1:10" ht="14.4">
      <c r="B98" s="738" t="s">
        <v>731</v>
      </c>
      <c r="C98" s="739"/>
      <c r="D98" s="739"/>
      <c r="E98" s="739"/>
      <c r="F98" s="739"/>
      <c r="G98" s="739"/>
      <c r="H98" s="739">
        <f t="shared" ref="H98" si="10">H97 - $I97</f>
        <v>-431.86154076934235</v>
      </c>
      <c r="I98" s="739">
        <f>I97 - $I97</f>
        <v>0</v>
      </c>
      <c r="J98" s="739">
        <f t="shared" ref="J98" si="11">J97 - $I97</f>
        <v>259.11692446160669</v>
      </c>
    </row>
    <row r="99" spans="1:10" ht="14.4">
      <c r="B99" s="726"/>
    </row>
    <row r="100" spans="1:10">
      <c r="B100" s="736" t="str">
        <f xml:space="preserve"> OnePager!F$25</f>
        <v>Insufficient data to evaluate</v>
      </c>
      <c r="C100" s="737"/>
      <c r="D100" s="737"/>
      <c r="E100" s="737"/>
      <c r="F100" s="737"/>
      <c r="G100" s="737"/>
      <c r="H100" s="737"/>
      <c r="I100" s="737"/>
      <c r="J100" s="737"/>
    </row>
    <row r="101" spans="1:10" ht="14.4">
      <c r="A101">
        <f xml:space="preserve"> MAX(A$49:A100) + 1</f>
        <v>9</v>
      </c>
      <c r="B101" s="728" t="str">
        <f xml:space="preserve"> B$33</f>
        <v>EPT: Apply inflation to FS prices and Operating Surplus</v>
      </c>
      <c r="C101" s="729">
        <f xml:space="preserve"> D$138</f>
        <v>2022</v>
      </c>
      <c r="D101" s="730" t="str">
        <f xml:space="preserve"> E$138</f>
        <v>&gt;= 2025</v>
      </c>
      <c r="E101" s="727"/>
      <c r="F101" s="731" t="str">
        <f>"DATA TABLE " &amp; A101</f>
        <v>DATA TABLE 9</v>
      </c>
      <c r="G101" s="727"/>
      <c r="H101" s="740" t="s">
        <v>654</v>
      </c>
      <c r="I101" s="740" t="s">
        <v>655</v>
      </c>
      <c r="J101" s="740" t="s">
        <v>655</v>
      </c>
    </row>
    <row r="102" spans="1:10">
      <c r="B102" s="733" t="s">
        <v>1115</v>
      </c>
      <c r="C102" s="727" cm="1">
        <f t="array" ref="C102" xml:space="preserve"> INDEX(D$137:D$178, MATCH($B102, B$137:B$178, 0),)</f>
        <v>448.32719675713099</v>
      </c>
      <c r="D102" s="727" cm="1">
        <f t="array" ref="D102" xml:space="preserve"> INDEX(E$137:E$178, MATCH($B102, B$137:B$178, 0),)</f>
        <v>1881.8691749473371</v>
      </c>
      <c r="E102" s="727"/>
      <c r="F102" s="727"/>
      <c r="G102" s="727">
        <f xml:space="preserve"> C102</f>
        <v>448.32719675713099</v>
      </c>
      <c r="H102" s="734">
        <f t="dataTable" ref="H102:J103" dt2D="0" dtr="1" r1="E33" ca="1"/>
        <v>448.32719675713099</v>
      </c>
      <c r="I102" s="734">
        <v>448.32719675713099</v>
      </c>
      <c r="J102" s="734">
        <v>448.32719675713099</v>
      </c>
    </row>
    <row r="103" spans="1:10">
      <c r="B103" s="727"/>
      <c r="C103" s="727"/>
      <c r="D103" s="727"/>
      <c r="E103" s="727"/>
      <c r="F103" s="727"/>
      <c r="G103" s="727">
        <f xml:space="preserve"> D102</f>
        <v>1881.8691749473371</v>
      </c>
      <c r="H103" s="734">
        <v>1881.8691749473371</v>
      </c>
      <c r="I103" s="734">
        <v>1881.8691749473371</v>
      </c>
      <c r="J103" s="734">
        <v>1881.8691749473371</v>
      </c>
    </row>
    <row r="104" spans="1:10" ht="14.4">
      <c r="B104" s="738" t="s">
        <v>731</v>
      </c>
      <c r="C104" s="739"/>
      <c r="D104" s="739"/>
      <c r="E104" s="739"/>
      <c r="F104" s="739"/>
      <c r="G104" s="739"/>
      <c r="H104" s="739">
        <f t="shared" ref="H104" si="12">H103 - $I103</f>
        <v>0</v>
      </c>
      <c r="I104" s="739">
        <f>I103 - $I103</f>
        <v>0</v>
      </c>
      <c r="J104" s="739">
        <f t="shared" ref="J104" si="13">J103 - $I103</f>
        <v>0</v>
      </c>
    </row>
    <row r="106" spans="1:10">
      <c r="B106" s="736" t="str">
        <f xml:space="preserve"> OnePager!F15</f>
        <v>Compare vs LIBOR + 4%</v>
      </c>
      <c r="C106" s="737"/>
      <c r="D106" s="737"/>
      <c r="E106" s="737"/>
      <c r="F106" s="737"/>
      <c r="G106" s="737"/>
      <c r="H106" s="737"/>
      <c r="I106" s="737"/>
      <c r="J106" s="737"/>
    </row>
    <row r="107" spans="1:10" ht="14.4">
      <c r="A107">
        <f xml:space="preserve"> MAX(A$49:A106) + 1</f>
        <v>10</v>
      </c>
      <c r="B107" s="728" t="str">
        <f xml:space="preserve"> B$34</f>
        <v>Base case or alternative debt interest rates</v>
      </c>
      <c r="C107" s="730" t="str">
        <f xml:space="preserve"> C$138</f>
        <v>&gt;= 2014</v>
      </c>
      <c r="D107" s="730" t="str">
        <f xml:space="preserve"> E$138</f>
        <v>&gt;= 2025</v>
      </c>
      <c r="E107" s="727"/>
      <c r="F107" s="731" t="str">
        <f>"DATA TABLE " &amp; A107</f>
        <v>DATA TABLE 10</v>
      </c>
      <c r="G107" s="727"/>
      <c r="H107" s="732" t="s">
        <v>1310</v>
      </c>
      <c r="I107" s="732" t="s">
        <v>1311</v>
      </c>
      <c r="J107" s="732" t="s">
        <v>1311</v>
      </c>
    </row>
    <row r="108" spans="1:10">
      <c r="B108" s="733" t="s">
        <v>1115</v>
      </c>
      <c r="C108" s="727" cm="1">
        <f t="array" ref="C108" xml:space="preserve"> INDEX(C$137:C$178, MATCH($B108, B$137:B$178, 0),)</f>
        <v>3622.7661830526886</v>
      </c>
      <c r="D108" s="727" cm="1">
        <f t="array" ref="D108" xml:space="preserve"> INDEX(E$137:E$178, MATCH($B108, B$137:B$178, 0),)</f>
        <v>1881.8691749473371</v>
      </c>
      <c r="E108" s="727"/>
      <c r="F108" s="727"/>
      <c r="G108" s="727">
        <f xml:space="preserve"> C108</f>
        <v>3622.7661830526886</v>
      </c>
      <c r="H108" s="734">
        <f t="dataTable" ref="H108:J109" dt2D="0" dtr="1" r1="E34" ca="1"/>
        <v>3622.7661830526886</v>
      </c>
      <c r="I108" s="734">
        <v>3982.9545873242332</v>
      </c>
      <c r="J108" s="734">
        <v>3982.9545873242332</v>
      </c>
    </row>
    <row r="109" spans="1:10">
      <c r="B109" s="727"/>
      <c r="C109" s="727"/>
      <c r="D109" s="727"/>
      <c r="E109" s="727"/>
      <c r="F109" s="727"/>
      <c r="G109" s="727">
        <f xml:space="preserve"> D108</f>
        <v>1881.8691749473371</v>
      </c>
      <c r="H109" s="734">
        <v>1881.8691749473371</v>
      </c>
      <c r="I109" s="734">
        <v>2127.4857225307578</v>
      </c>
      <c r="J109" s="734">
        <v>2127.4857225307578</v>
      </c>
    </row>
    <row r="110" spans="1:10" ht="14.4">
      <c r="B110" s="738" t="s">
        <v>731</v>
      </c>
      <c r="C110" s="739"/>
      <c r="D110" s="739"/>
      <c r="E110" s="739"/>
      <c r="F110" s="739"/>
      <c r="G110" s="739"/>
      <c r="H110" s="739">
        <f>H108 - $I108</f>
        <v>-360.18840427154464</v>
      </c>
      <c r="I110" s="739">
        <f>I109 - $I109</f>
        <v>0</v>
      </c>
      <c r="J110" s="739">
        <f t="shared" ref="J110" si="14">J109 - $I109</f>
        <v>0</v>
      </c>
    </row>
    <row r="112" spans="1:10">
      <c r="B112" s="736" t="str">
        <f xml:space="preserve"> OnePager!F16</f>
        <v>FS stated opex vs stable opex</v>
      </c>
      <c r="C112" s="737"/>
      <c r="D112" s="737"/>
      <c r="E112" s="737"/>
      <c r="F112" s="737"/>
      <c r="G112" s="737"/>
      <c r="H112" s="737"/>
      <c r="I112" s="737"/>
      <c r="J112" s="737"/>
    </row>
    <row r="113" spans="1:10" ht="14.4">
      <c r="A113">
        <f xml:space="preserve"> MAX(A$49:A112) + 1</f>
        <v>11</v>
      </c>
      <c r="B113" s="728" t="s">
        <v>1312</v>
      </c>
      <c r="C113" s="730" t="str">
        <f xml:space="preserve"> C$138</f>
        <v>&gt;= 2014</v>
      </c>
      <c r="D113" s="730" t="str">
        <f xml:space="preserve"> E$138</f>
        <v>&gt;= 2025</v>
      </c>
      <c r="E113" s="727"/>
      <c r="F113" s="731" t="str">
        <f>"DATA TABLE " &amp; A113</f>
        <v>DATA TABLE 11</v>
      </c>
      <c r="G113" s="727"/>
      <c r="H113" s="892" t="s">
        <v>1292</v>
      </c>
      <c r="I113" s="892" t="s">
        <v>1293</v>
      </c>
      <c r="J113" s="892" t="s">
        <v>1293</v>
      </c>
    </row>
    <row r="114" spans="1:10">
      <c r="B114" s="733" t="s">
        <v>1115</v>
      </c>
      <c r="C114" s="727" cm="1">
        <f t="array" ref="C114" xml:space="preserve"> INDEX(C$137:C$178, MATCH($B114, B$137:B$178, 0),)</f>
        <v>3622.7661830526886</v>
      </c>
      <c r="D114" s="727" cm="1">
        <f t="array" ref="D114" xml:space="preserve"> INDEX(E$137:E$178, MATCH($B114, B$137:B$178, 0),)</f>
        <v>1881.8691749473371</v>
      </c>
      <c r="E114" s="727"/>
      <c r="F114" s="727"/>
      <c r="G114" s="727">
        <f xml:space="preserve"> C114</f>
        <v>3622.7661830526886</v>
      </c>
      <c r="H114" s="734">
        <f t="dataTable" ref="H114:J115" dt2D="0" dtr="1" r1="E28" ca="1"/>
        <v>2501.5810673592687</v>
      </c>
      <c r="I114" s="734">
        <v>3622.7661830526886</v>
      </c>
      <c r="J114" s="734">
        <v>3622.7661830526886</v>
      </c>
    </row>
    <row r="115" spans="1:10" s="1" customFormat="1">
      <c r="B115" s="904"/>
      <c r="C115" s="904"/>
      <c r="D115" s="904"/>
      <c r="E115" s="904"/>
      <c r="F115" s="904"/>
      <c r="G115" s="904">
        <f xml:space="preserve"> D114</f>
        <v>1881.8691749473371</v>
      </c>
      <c r="H115" s="905">
        <v>1115.1962723543677</v>
      </c>
      <c r="I115" s="905">
        <v>1881.8691749473371</v>
      </c>
      <c r="J115" s="905">
        <v>1881.8691749473371</v>
      </c>
    </row>
    <row r="116" spans="1:10" ht="14.4">
      <c r="B116" s="738" t="s">
        <v>731</v>
      </c>
      <c r="C116" s="739"/>
      <c r="D116" s="739"/>
      <c r="E116" s="739"/>
      <c r="F116" s="739"/>
      <c r="G116" s="739"/>
      <c r="H116" s="739"/>
      <c r="I116" s="739">
        <f>I114 - $H114</f>
        <v>1121.1851156934199</v>
      </c>
      <c r="J116" s="739"/>
    </row>
    <row r="118" spans="1:10">
      <c r="B118" s="736" t="str">
        <f xml:space="preserve"> OnePager!F22</f>
        <v>Shortfall vs model at 70% payables</v>
      </c>
      <c r="C118" s="737"/>
      <c r="D118" s="737"/>
      <c r="E118" s="737"/>
      <c r="F118" s="737"/>
      <c r="G118" s="737"/>
      <c r="H118" s="737"/>
      <c r="I118" s="737"/>
      <c r="J118" s="737"/>
    </row>
    <row r="119" spans="1:10" ht="14.4">
      <c r="A119">
        <f xml:space="preserve"> MAX(A$49:A118) + 1</f>
        <v>12</v>
      </c>
      <c r="B119" s="728" t="s">
        <v>1344</v>
      </c>
      <c r="C119" s="730" t="str">
        <f xml:space="preserve"> C$138</f>
        <v>&gt;= 2014</v>
      </c>
      <c r="D119" s="730">
        <f xml:space="preserve"> D$138</f>
        <v>2022</v>
      </c>
      <c r="E119" s="727"/>
      <c r="F119" s="731" t="str">
        <f>"DATA TABLE " &amp; A119</f>
        <v>DATA TABLE 12</v>
      </c>
      <c r="G119" s="727"/>
      <c r="H119" s="892" t="s">
        <v>1323</v>
      </c>
      <c r="I119" s="721">
        <v>2022</v>
      </c>
      <c r="J119" s="892"/>
    </row>
    <row r="120" spans="1:10" s="1" customFormat="1">
      <c r="B120" s="903" t="s">
        <v>1322</v>
      </c>
      <c r="C120" s="904" cm="1">
        <f t="array" ref="C120" xml:space="preserve"> INDEX(C$137:C$178, MATCH($B120, B$137:B$178, 0),)</f>
        <v>91.906425129627607</v>
      </c>
      <c r="D120" s="904" cm="1">
        <f t="array" ref="D120" xml:space="preserve"> INDEX(D$137:D$178, MATCH($B120, B$137:B$178, 0),)</f>
        <v>38.290120023957144</v>
      </c>
      <c r="E120" s="904"/>
      <c r="F120" s="904"/>
      <c r="G120" s="904">
        <f xml:space="preserve"> C120</f>
        <v>91.906425129627607</v>
      </c>
      <c r="H120" s="905">
        <f>C120</f>
        <v>91.906425129627607</v>
      </c>
      <c r="I120" s="905">
        <f>D120</f>
        <v>38.290120023957144</v>
      </c>
      <c r="J120" s="905"/>
    </row>
    <row r="121" spans="1:10">
      <c r="B121" s="727"/>
      <c r="C121" s="727"/>
      <c r="D121" s="727"/>
      <c r="E121" s="727"/>
      <c r="F121" s="727"/>
      <c r="G121" s="727">
        <f xml:space="preserve"> D120</f>
        <v>38.290120023957144</v>
      </c>
      <c r="H121" s="734"/>
      <c r="I121" s="734"/>
      <c r="J121" s="734"/>
    </row>
    <row r="122" spans="1:10" ht="14.4">
      <c r="B122" s="738" t="s">
        <v>731</v>
      </c>
      <c r="C122" s="739"/>
      <c r="D122" s="739"/>
      <c r="E122" s="739"/>
      <c r="F122" s="739"/>
      <c r="G122" s="739"/>
      <c r="H122" s="739"/>
      <c r="I122" s="739"/>
      <c r="J122" s="739"/>
    </row>
    <row r="124" spans="1:10">
      <c r="B124" s="736" t="str">
        <f xml:space="preserve"> OnePager!F28</f>
        <v>2017 smelter royalty sale</v>
      </c>
      <c r="C124" s="737"/>
      <c r="D124" s="737"/>
      <c r="E124" s="737"/>
      <c r="F124" s="737"/>
      <c r="G124" s="737"/>
      <c r="H124" s="737"/>
      <c r="I124" s="737"/>
      <c r="J124" s="737"/>
    </row>
    <row r="125" spans="1:10" ht="14.4">
      <c r="A125">
        <f xml:space="preserve"> MAX(A$49:A124) + 1</f>
        <v>13</v>
      </c>
      <c r="B125" s="728" t="s">
        <v>1343</v>
      </c>
      <c r="C125" s="730" t="str">
        <f xml:space="preserve"> C$138</f>
        <v>&gt;= 2014</v>
      </c>
      <c r="D125" s="730" t="str">
        <f xml:space="preserve"> E$138</f>
        <v>&gt;= 2025</v>
      </c>
      <c r="E125" s="727"/>
      <c r="F125" s="731" t="str">
        <f>"DATA TABLE " &amp; A125</f>
        <v>DATA TABLE 13</v>
      </c>
      <c r="G125" s="727"/>
      <c r="H125" s="892" t="s">
        <v>1323</v>
      </c>
      <c r="I125" s="426" t="s">
        <v>1329</v>
      </c>
      <c r="J125" s="892"/>
    </row>
    <row r="126" spans="1:10" s="1" customFormat="1">
      <c r="B126" s="903" t="s">
        <v>1328</v>
      </c>
      <c r="C126" s="904" cm="1">
        <f t="array" ref="C126" xml:space="preserve"> INDEX(C$137:C$178, MATCH($B126, B$137:B$178, 0),)</f>
        <v>258.49615667559698</v>
      </c>
      <c r="D126" s="904" cm="1">
        <f t="array" ref="D126" xml:space="preserve"> INDEX(E$137:E$178, MATCH($B126, B$137:B$178, 0),)</f>
        <v>112.25856187371734</v>
      </c>
      <c r="E126" s="904"/>
      <c r="F126" s="904"/>
      <c r="G126" s="904">
        <f xml:space="preserve"> C126</f>
        <v>258.49615667559698</v>
      </c>
      <c r="H126" s="905">
        <f>C126</f>
        <v>258.49615667559698</v>
      </c>
      <c r="I126" s="905">
        <f>D126</f>
        <v>112.25856187371734</v>
      </c>
      <c r="J126" s="905"/>
    </row>
    <row r="127" spans="1:10">
      <c r="B127" s="727"/>
      <c r="C127" s="727"/>
      <c r="D127" s="727"/>
      <c r="E127" s="727"/>
      <c r="F127" s="727"/>
      <c r="G127" s="727">
        <f xml:space="preserve"> D126</f>
        <v>112.25856187371734</v>
      </c>
      <c r="H127" s="734"/>
      <c r="I127" s="734"/>
      <c r="J127" s="734"/>
    </row>
    <row r="128" spans="1:10" ht="14.4">
      <c r="B128" s="738" t="s">
        <v>731</v>
      </c>
      <c r="C128" s="739"/>
      <c r="D128" s="739"/>
      <c r="E128" s="739"/>
      <c r="F128" s="739"/>
      <c r="G128" s="739"/>
      <c r="H128" s="739"/>
      <c r="I128" s="739"/>
      <c r="J128" s="739"/>
    </row>
    <row r="130" spans="1:19" ht="14.4">
      <c r="A130">
        <f xml:space="preserve"> MAX(A$49:A129) + 1</f>
        <v>14</v>
      </c>
      <c r="B130" s="728" t="s">
        <v>1312</v>
      </c>
      <c r="C130" s="730" t="str">
        <f xml:space="preserve"> C$138</f>
        <v>&gt;= 2014</v>
      </c>
      <c r="D130" s="730" t="str">
        <f xml:space="preserve"> E$138</f>
        <v>&gt;= 2025</v>
      </c>
      <c r="E130" s="727"/>
      <c r="F130" s="731" t="str">
        <f>"DATA TABLE " &amp; A130</f>
        <v>DATA TABLE 14</v>
      </c>
      <c r="G130" s="727"/>
      <c r="H130" s="892" t="s">
        <v>654</v>
      </c>
      <c r="I130" s="426" t="s">
        <v>655</v>
      </c>
      <c r="J130" s="892"/>
    </row>
    <row r="131" spans="1:19" s="1" customFormat="1">
      <c r="B131" s="733" t="s">
        <v>1115</v>
      </c>
      <c r="C131" s="904" cm="1">
        <f t="array" ref="C131" xml:space="preserve"> INDEX(C$137:C$178, MATCH($B131, B$137:B$178, 0),)</f>
        <v>3622.7661830526886</v>
      </c>
      <c r="D131" s="904" cm="1">
        <f t="array" ref="D131" xml:space="preserve"> INDEX(E$137:E$178, MATCH($B131, B$137:B$178, 0),)</f>
        <v>1881.8691749473371</v>
      </c>
      <c r="E131" s="904"/>
      <c r="F131" s="904"/>
      <c r="G131" s="904">
        <f xml:space="preserve"> C131</f>
        <v>3622.7661830526886</v>
      </c>
      <c r="H131" s="905">
        <f t="dataTable" ref="H131:J132" dt2D="0" dtr="1" r1="E38" ca="1"/>
        <v>3622.7661830526886</v>
      </c>
      <c r="I131" s="905">
        <v>3433.0514994356349</v>
      </c>
      <c r="J131" s="905">
        <v>3433.0514994356349</v>
      </c>
    </row>
    <row r="132" spans="1:19">
      <c r="B132" s="727"/>
      <c r="C132" s="727"/>
      <c r="D132" s="727"/>
      <c r="E132" s="727"/>
      <c r="F132" s="727"/>
      <c r="G132" s="727">
        <f xml:space="preserve"> D131</f>
        <v>1881.8691749473371</v>
      </c>
      <c r="H132" s="734">
        <v>1881.8691749473371</v>
      </c>
      <c r="I132" s="734">
        <v>1832.1706323064618</v>
      </c>
      <c r="J132" s="734">
        <v>1832.1706323064618</v>
      </c>
    </row>
    <row r="133" spans="1:19" s="1" customFormat="1" ht="14.4">
      <c r="B133" s="907" t="s">
        <v>731</v>
      </c>
      <c r="C133" s="908"/>
      <c r="D133" s="908"/>
      <c r="E133" s="908"/>
      <c r="F133" s="908"/>
      <c r="G133" s="908"/>
      <c r="H133" s="908">
        <f xml:space="preserve"> H131-I131</f>
        <v>189.71468361705365</v>
      </c>
      <c r="I133" s="908"/>
      <c r="J133" s="908"/>
    </row>
    <row r="136" spans="1:19">
      <c r="A136" s="611" t="s">
        <v>1070</v>
      </c>
      <c r="B136" s="611"/>
      <c r="C136" s="611"/>
      <c r="D136" s="611"/>
      <c r="E136" s="611"/>
      <c r="F136" s="611"/>
      <c r="G136" s="611"/>
      <c r="H136" s="611"/>
      <c r="I136" s="611"/>
      <c r="J136" s="611"/>
      <c r="K136" s="611"/>
      <c r="L136" s="611"/>
      <c r="M136" s="611"/>
      <c r="N136" s="611"/>
      <c r="O136" s="611"/>
      <c r="P136" s="611"/>
      <c r="Q136" s="611"/>
      <c r="R136" s="611"/>
      <c r="S136" s="611"/>
    </row>
    <row r="137" spans="1:19">
      <c r="B137" s="692" t="s">
        <v>1064</v>
      </c>
      <c r="C137" s="691"/>
      <c r="D137" s="691"/>
      <c r="E137" s="691"/>
      <c r="F137" s="691"/>
    </row>
    <row r="138" spans="1:19">
      <c r="B138" s="667" t="str">
        <f xml:space="preserve"> Metalkol_Model1!E850</f>
        <v>Project cashflows NOMINAL</v>
      </c>
      <c r="C138" s="890" t="str">
        <f xml:space="preserve"> Metalkol_Model1!F850</f>
        <v>&gt;= 2014</v>
      </c>
      <c r="D138" s="693">
        <f xml:space="preserve"> Metalkol_Model1!G850</f>
        <v>2022</v>
      </c>
      <c r="E138" s="694" t="str">
        <f xml:space="preserve"> Metalkol_Model1!H850</f>
        <v>&gt;= 2025</v>
      </c>
    </row>
    <row r="139" spans="1:19">
      <c r="B139" s="613"/>
      <c r="C139" s="613"/>
      <c r="D139" s="613"/>
      <c r="E139" s="613"/>
      <c r="F139" s="613"/>
    </row>
    <row r="140" spans="1:19">
      <c r="B140" t="str">
        <f xml:space="preserve"> Metalkol_Model1!E852</f>
        <v>Copper production 2022Fs + actuals</v>
      </c>
      <c r="C140">
        <f xml:space="preserve"> Metalkol_Model1!F852</f>
        <v>1421.0743320093752</v>
      </c>
      <c r="D140">
        <f xml:space="preserve"> Metalkol_Model1!G852</f>
        <v>97.94</v>
      </c>
      <c r="E140">
        <f xml:space="preserve"> Metalkol_Model1!H852</f>
        <v>836.90899999999999</v>
      </c>
      <c r="F140" t="str">
        <f xml:space="preserve"> Metalkol_Model1!I852</f>
        <v>KT Cu</v>
      </c>
    </row>
    <row r="141" spans="1:19">
      <c r="B141" t="str">
        <f xml:space="preserve"> Metalkol_Model1!E853</f>
        <v xml:space="preserve">Cobalt production 2022FS + actuals </v>
      </c>
      <c r="C141">
        <f xml:space="preserve"> Metalkol_Model1!F853</f>
        <v>280.82510633243999</v>
      </c>
      <c r="D141">
        <f xml:space="preserve"> Metalkol_Model1!G853</f>
        <v>22.472999999999999</v>
      </c>
      <c r="E141">
        <f xml:space="preserve"> Metalkol_Model1!H853</f>
        <v>161.17799999999997</v>
      </c>
      <c r="F141" t="str">
        <f xml:space="preserve"> Metalkol_Model1!I853</f>
        <v>KT</v>
      </c>
    </row>
    <row r="142" spans="1:19">
      <c r="B142">
        <f xml:space="preserve"> Metalkol_Model1!E854</f>
        <v>0</v>
      </c>
      <c r="C142">
        <f xml:space="preserve"> Metalkol_Model1!F854</f>
        <v>0</v>
      </c>
      <c r="D142">
        <f xml:space="preserve"> Metalkol_Model1!G854</f>
        <v>0</v>
      </c>
      <c r="E142">
        <f xml:space="preserve"> Metalkol_Model1!H854</f>
        <v>0</v>
      </c>
      <c r="F142">
        <f xml:space="preserve"> Metalkol_Model1!I854</f>
        <v>0</v>
      </c>
    </row>
    <row r="143" spans="1:19">
      <c r="B143" t="str">
        <f xml:space="preserve"> Metalkol_Model1!E855</f>
        <v>Copper gross revenue (at realized prices)</v>
      </c>
      <c r="C143">
        <f xml:space="preserve"> Metalkol_Model1!F855</f>
        <v>11467.694807333486</v>
      </c>
      <c r="D143">
        <f xml:space="preserve"> Metalkol_Model1!G855</f>
        <v>827.43128123694396</v>
      </c>
      <c r="E143">
        <f xml:space="preserve"> Metalkol_Model1!H855</f>
        <v>7048.7685315570543</v>
      </c>
      <c r="F143" t="str">
        <f xml:space="preserve"> Metalkol_Model1!I855</f>
        <v>$ mn</v>
      </c>
    </row>
    <row r="144" spans="1:19">
      <c r="B144" t="str">
        <f xml:space="preserve"> Metalkol_Model1!E856</f>
        <v>Cobalt gross revenue (at realized prices)</v>
      </c>
      <c r="C144">
        <f xml:space="preserve"> Metalkol_Model1!F856</f>
        <v>7544.2272910711363</v>
      </c>
      <c r="D144">
        <f xml:space="preserve"> Metalkol_Model1!G856</f>
        <v>962.82272674877015</v>
      </c>
      <c r="E144">
        <f xml:space="preserve"> Metalkol_Model1!H856</f>
        <v>4318.6154076934317</v>
      </c>
      <c r="F144" t="str">
        <f xml:space="preserve"> Metalkol_Model1!I856</f>
        <v>$ mn</v>
      </c>
    </row>
    <row r="145" spans="2:6">
      <c r="B145" t="str">
        <f xml:space="preserve"> Metalkol_Model1!E857</f>
        <v>Copper plus Cobalt revenue</v>
      </c>
      <c r="C145">
        <f xml:space="preserve"> Metalkol_Model1!F857</f>
        <v>19011.922098404622</v>
      </c>
      <c r="D145">
        <f xml:space="preserve"> Metalkol_Model1!G857</f>
        <v>1790.254007985714</v>
      </c>
      <c r="E145">
        <f xml:space="preserve"> Metalkol_Model1!H857</f>
        <v>11367.383939250485</v>
      </c>
      <c r="F145" t="str">
        <f xml:space="preserve"> Metalkol_Model1!I857</f>
        <v>$ mn</v>
      </c>
    </row>
    <row r="146" spans="2:6">
      <c r="B146">
        <f xml:space="preserve"> Metalkol_Model1!E858</f>
        <v>0</v>
      </c>
      <c r="C146">
        <f xml:space="preserve"> Metalkol_Model1!F858</f>
        <v>0</v>
      </c>
      <c r="D146">
        <f xml:space="preserve"> Metalkol_Model1!G858</f>
        <v>0</v>
      </c>
      <c r="E146">
        <f xml:space="preserve"> Metalkol_Model1!H858</f>
        <v>0</v>
      </c>
      <c r="F146">
        <f xml:space="preserve"> Metalkol_Model1!I858</f>
        <v>0</v>
      </c>
    </row>
    <row r="147" spans="2:6">
      <c r="B147" t="str">
        <f xml:space="preserve"> Metalkol_Model1!E859</f>
        <v>Freight, Insurance &amp; Sales 2019TR: Cu</v>
      </c>
      <c r="C147">
        <f xml:space="preserve"> Metalkol_Model1!F859</f>
        <v>0</v>
      </c>
      <c r="D147">
        <f xml:space="preserve"> Metalkol_Model1!G859</f>
        <v>0</v>
      </c>
      <c r="E147">
        <f xml:space="preserve"> Metalkol_Model1!H859</f>
        <v>0</v>
      </c>
      <c r="F147" t="str">
        <f xml:space="preserve"> Metalkol_Model1!I859</f>
        <v>$ mn</v>
      </c>
    </row>
    <row r="148" spans="2:6">
      <c r="B148" t="str">
        <f xml:space="preserve"> Metalkol_Model1!E860</f>
        <v>Freight, Insurance &amp; Sales 2019TR: Co</v>
      </c>
      <c r="C148">
        <f xml:space="preserve"> Metalkol_Model1!F860</f>
        <v>0</v>
      </c>
      <c r="D148">
        <f xml:space="preserve"> Metalkol_Model1!G860</f>
        <v>0</v>
      </c>
      <c r="E148">
        <f xml:space="preserve"> Metalkol_Model1!H860</f>
        <v>0</v>
      </c>
      <c r="F148" t="str">
        <f xml:space="preserve"> Metalkol_Model1!I860</f>
        <v>$ mn</v>
      </c>
    </row>
    <row r="149" spans="2:6">
      <c r="B149" t="str">
        <f xml:space="preserve"> Metalkol_Model1!E861</f>
        <v>Realization costs Cu and Co</v>
      </c>
      <c r="C149">
        <f xml:space="preserve"> Metalkol_Model1!F861</f>
        <v>0</v>
      </c>
      <c r="D149">
        <f xml:space="preserve"> Metalkol_Model1!G861</f>
        <v>0</v>
      </c>
      <c r="E149">
        <f xml:space="preserve"> Metalkol_Model1!H861</f>
        <v>0</v>
      </c>
      <c r="F149" t="str">
        <f xml:space="preserve"> Metalkol_Model1!I861</f>
        <v>$ mn</v>
      </c>
    </row>
    <row r="150" spans="2:6">
      <c r="B150">
        <f xml:space="preserve"> Metalkol_Model1!E862</f>
        <v>0</v>
      </c>
      <c r="C150">
        <f xml:space="preserve"> Metalkol_Model1!F862</f>
        <v>0</v>
      </c>
      <c r="D150">
        <f xml:space="preserve"> Metalkol_Model1!G862</f>
        <v>0</v>
      </c>
      <c r="E150">
        <f xml:space="preserve"> Metalkol_Model1!H862</f>
        <v>0</v>
      </c>
      <c r="F150">
        <f xml:space="preserve"> Metalkol_Model1!I862</f>
        <v>0</v>
      </c>
    </row>
    <row r="151" spans="2:6">
      <c r="B151" t="str">
        <f xml:space="preserve"> Metalkol_Model1!E863</f>
        <v>Copper net revenue</v>
      </c>
      <c r="C151">
        <f xml:space="preserve"> Metalkol_Model1!F863</f>
        <v>11467.694807333486</v>
      </c>
      <c r="D151">
        <f xml:space="preserve"> Metalkol_Model1!G863</f>
        <v>827.43128123694396</v>
      </c>
      <c r="E151">
        <f xml:space="preserve"> Metalkol_Model1!H863</f>
        <v>7048.7685315570543</v>
      </c>
      <c r="F151" t="str">
        <f xml:space="preserve"> Metalkol_Model1!I863</f>
        <v>$ mn</v>
      </c>
    </row>
    <row r="152" spans="2:6">
      <c r="B152" t="str">
        <f xml:space="preserve"> Metalkol_Model1!E864</f>
        <v>Cobalt net revenue</v>
      </c>
      <c r="C152">
        <f xml:space="preserve"> Metalkol_Model1!F864</f>
        <v>7544.2272910711363</v>
      </c>
      <c r="D152">
        <f xml:space="preserve"> Metalkol_Model1!G864</f>
        <v>962.82272674877015</v>
      </c>
      <c r="E152">
        <f xml:space="preserve"> Metalkol_Model1!H864</f>
        <v>4318.6154076934317</v>
      </c>
      <c r="F152" t="str">
        <f xml:space="preserve"> Metalkol_Model1!I864</f>
        <v>$ mn</v>
      </c>
    </row>
    <row r="153" spans="2:6">
      <c r="B153" t="str">
        <f xml:space="preserve"> Metalkol_Model1!E865</f>
        <v>Copper &amp; Cobalt net revenue</v>
      </c>
      <c r="C153">
        <f xml:space="preserve"> Metalkol_Model1!F865</f>
        <v>19011.922098404622</v>
      </c>
      <c r="D153">
        <f xml:space="preserve"> Metalkol_Model1!G865</f>
        <v>1790.254007985714</v>
      </c>
      <c r="E153">
        <f xml:space="preserve"> Metalkol_Model1!H865</f>
        <v>11367.383939250485</v>
      </c>
      <c r="F153" t="str">
        <f xml:space="preserve"> Metalkol_Model1!I865</f>
        <v>$ mn</v>
      </c>
    </row>
    <row r="154" spans="2:6">
      <c r="B154">
        <f xml:space="preserve"> Metalkol_Model1!E866</f>
        <v>0</v>
      </c>
      <c r="C154">
        <f xml:space="preserve"> Metalkol_Model1!F866</f>
        <v>0</v>
      </c>
      <c r="D154">
        <f xml:space="preserve"> Metalkol_Model1!G866</f>
        <v>0</v>
      </c>
      <c r="E154">
        <f xml:space="preserve"> Metalkol_Model1!H866</f>
        <v>0</v>
      </c>
      <c r="F154">
        <f xml:space="preserve"> Metalkol_Model1!I866</f>
        <v>0</v>
      </c>
    </row>
    <row r="155" spans="2:6">
      <c r="B155">
        <f xml:space="preserve"> Metalkol_Model1!E867</f>
        <v>0</v>
      </c>
      <c r="C155">
        <f xml:space="preserve"> Metalkol_Model1!F867</f>
        <v>0</v>
      </c>
      <c r="D155">
        <f xml:space="preserve"> Metalkol_Model1!G867</f>
        <v>0</v>
      </c>
      <c r="E155">
        <f xml:space="preserve"> Metalkol_Model1!H867</f>
        <v>0</v>
      </c>
      <c r="F155">
        <f xml:space="preserve"> Metalkol_Model1!I867</f>
        <v>0</v>
      </c>
    </row>
    <row r="156" spans="2:6">
      <c r="B156" t="str">
        <f xml:space="preserve"> Metalkol_Model1!E868</f>
        <v>Alternative Operating Cost Profile</v>
      </c>
      <c r="C156">
        <f xml:space="preserve"> Metalkol_Model1!F868</f>
        <v>9907.4531304831744</v>
      </c>
      <c r="D156">
        <f xml:space="preserve"> Metalkol_Model1!G868</f>
        <v>705</v>
      </c>
      <c r="E156">
        <f xml:space="preserve"> Metalkol_Model1!H868</f>
        <v>6758.5974930344937</v>
      </c>
      <c r="F156" t="str">
        <f xml:space="preserve"> Metalkol_Model1!I868</f>
        <v>$ mn</v>
      </c>
    </row>
    <row r="157" spans="2:6">
      <c r="B157" t="str">
        <f xml:space="preserve"> Metalkol_Model1!E869</f>
        <v>Capital Costs inc. Sens.</v>
      </c>
      <c r="C157">
        <f xml:space="preserve"> Metalkol_Model1!F869</f>
        <v>1501.9969697316285</v>
      </c>
      <c r="D157">
        <f xml:space="preserve"> Metalkol_Model1!G869</f>
        <v>22.205587260857488</v>
      </c>
      <c r="E157">
        <f xml:space="preserve"> Metalkol_Model1!H869</f>
        <v>174.60669228524603</v>
      </c>
      <c r="F157" t="str">
        <f xml:space="preserve"> Metalkol_Model1!I869</f>
        <v>$ mn</v>
      </c>
    </row>
    <row r="158" spans="2:6">
      <c r="B158" t="str">
        <f xml:space="preserve"> Metalkol_Model1!E870</f>
        <v>Project costs</v>
      </c>
      <c r="C158">
        <f xml:space="preserve"> Metalkol_Model1!F870</f>
        <v>11409.450100214803</v>
      </c>
      <c r="D158">
        <f xml:space="preserve"> Metalkol_Model1!G870</f>
        <v>727.20558726085744</v>
      </c>
      <c r="E158">
        <f xml:space="preserve"> Metalkol_Model1!H870</f>
        <v>6933.2041853197397</v>
      </c>
      <c r="F158" t="str">
        <f xml:space="preserve"> Metalkol_Model1!I870</f>
        <v>$ mn</v>
      </c>
    </row>
    <row r="159" spans="2:6">
      <c r="B159">
        <f xml:space="preserve"> Metalkol_Model1!E871</f>
        <v>0</v>
      </c>
      <c r="C159">
        <f xml:space="preserve"> Metalkol_Model1!F871</f>
        <v>0</v>
      </c>
      <c r="D159">
        <f xml:space="preserve"> Metalkol_Model1!G871</f>
        <v>0</v>
      </c>
      <c r="E159">
        <f xml:space="preserve"> Metalkol_Model1!H871</f>
        <v>0</v>
      </c>
      <c r="F159">
        <f xml:space="preserve"> Metalkol_Model1!I871</f>
        <v>0</v>
      </c>
    </row>
    <row r="160" spans="2:6">
      <c r="B160" t="str">
        <f xml:space="preserve"> Metalkol_Model1!E872</f>
        <v>Project cashflows before fiscal regime</v>
      </c>
      <c r="C160">
        <f xml:space="preserve"> Metalkol_Model1!F872</f>
        <v>7602.4719981898188</v>
      </c>
      <c r="D160">
        <f xml:space="preserve"> Metalkol_Model1!G872</f>
        <v>1063.0484207248564</v>
      </c>
      <c r="E160">
        <f xml:space="preserve"> Metalkol_Model1!H872</f>
        <v>4434.1797539307463</v>
      </c>
      <c r="F160" t="str">
        <f xml:space="preserve"> Metalkol_Model1!I872</f>
        <v>$ mn</v>
      </c>
    </row>
    <row r="161" spans="2:6">
      <c r="B161" s="613"/>
      <c r="C161" s="613"/>
      <c r="D161" s="613"/>
      <c r="E161" s="613"/>
      <c r="F161" s="613"/>
    </row>
    <row r="162" spans="2:6">
      <c r="B162" s="667" t="str">
        <f xml:space="preserve"> Metalkol_Model1!E902</f>
        <v>Government revenues</v>
      </c>
      <c r="C162" s="891" t="str">
        <f xml:space="preserve"> Metalkol_Model1!F902</f>
        <v>&gt;= 2014</v>
      </c>
      <c r="D162" s="601">
        <f xml:space="preserve"> Metalkol_Model1!G902</f>
        <v>2022</v>
      </c>
      <c r="E162" s="671" t="str">
        <f xml:space="preserve"> Metalkol_Model1!H902</f>
        <v>&gt;= 2025</v>
      </c>
      <c r="F162" t="str">
        <f xml:space="preserve"> Metalkol_Model1!I902</f>
        <v>year</v>
      </c>
    </row>
    <row r="163" spans="2:6">
      <c r="B163" s="613">
        <f xml:space="preserve"> Metalkol_Model1!E903</f>
        <v>0</v>
      </c>
      <c r="C163" s="613">
        <f xml:space="preserve"> Metalkol_Model1!G903</f>
        <v>0</v>
      </c>
      <c r="D163" s="613">
        <f xml:space="preserve"> Metalkol_Model1!H903</f>
        <v>0</v>
      </c>
      <c r="E163" s="613">
        <f xml:space="preserve"> Metalkol_Model1!I903</f>
        <v>0</v>
      </c>
      <c r="F163" s="613">
        <f xml:space="preserve"> Metalkol_Model1!J903</f>
        <v>0</v>
      </c>
    </row>
    <row r="164" spans="2:6">
      <c r="B164" t="str">
        <f xml:space="preserve"> Metalkol_Model1!E904</f>
        <v>Cu + Co government royalty</v>
      </c>
      <c r="C164">
        <f xml:space="preserve"> Metalkol_Model1!F904</f>
        <v>1154.1185307309543</v>
      </c>
      <c r="D164">
        <f xml:space="preserve"> Metalkol_Model1!G904</f>
        <v>125.24236751817006</v>
      </c>
      <c r="E164">
        <f xml:space="preserve"> Metalkol_Model1!H904</f>
        <v>678.56843937384019</v>
      </c>
      <c r="F164" t="str">
        <f xml:space="preserve"> Metalkol_Model1!I904</f>
        <v>$ mn</v>
      </c>
    </row>
    <row r="165" spans="2:6">
      <c r="B165" t="str">
        <f xml:space="preserve"> Metalkol_Model1!E906</f>
        <v>CIT payable</v>
      </c>
      <c r="C165">
        <f xml:space="preserve"> Metalkol_Model1!F906</f>
        <v>1375.6952723039724</v>
      </c>
      <c r="D165">
        <f xml:space="preserve"> Metalkol_Model1!G906</f>
        <v>175.18703567870509</v>
      </c>
      <c r="E165">
        <f xml:space="preserve"> Metalkol_Model1!H906</f>
        <v>761.62832351185295</v>
      </c>
      <c r="F165" t="str">
        <f xml:space="preserve"> Metalkol_Model1!I906</f>
        <v>$ mn</v>
      </c>
    </row>
    <row r="166" spans="2:6">
      <c r="B166" t="str">
        <f xml:space="preserve"> Metalkol_Model1!E907</f>
        <v>Special Tax On Excess Profits</v>
      </c>
      <c r="C166">
        <f xml:space="preserve"> Metalkol_Model1!F907</f>
        <v>0</v>
      </c>
      <c r="D166">
        <f xml:space="preserve"> Metalkol_Model1!G907</f>
        <v>0</v>
      </c>
      <c r="E166">
        <f xml:space="preserve"> Metalkol_Model1!H907</f>
        <v>0</v>
      </c>
      <c r="F166" t="str">
        <f xml:space="preserve"> Metalkol_Model1!I907</f>
        <v>$ mn</v>
      </c>
    </row>
    <row r="167" spans="2:6">
      <c r="B167" t="str">
        <f xml:space="preserve"> Metalkol_Model1!E908</f>
        <v>Payroll taxes (included in costs)</v>
      </c>
      <c r="C167">
        <f xml:space="preserve"> Metalkol_Model1!F908</f>
        <v>198.14906260966347</v>
      </c>
      <c r="D167">
        <f xml:space="preserve"> Metalkol_Model1!G908</f>
        <v>14.1</v>
      </c>
      <c r="E167">
        <f xml:space="preserve"> Metalkol_Model1!H908</f>
        <v>135.17194986068989</v>
      </c>
      <c r="F167" t="str">
        <f xml:space="preserve"> Metalkol_Model1!I908</f>
        <v>$ mn</v>
      </c>
    </row>
    <row r="168" spans="2:6">
      <c r="B168" t="str">
        <f xml:space="preserve"> Metalkol_Model1!E909</f>
        <v>Import duties</v>
      </c>
      <c r="C168">
        <f xml:space="preserve"> Metalkol_Model1!F909</f>
        <v>15.316407444483447</v>
      </c>
      <c r="D168">
        <f xml:space="preserve"> Metalkol_Model1!G909</f>
        <v>10.058747314264506</v>
      </c>
      <c r="E168">
        <f xml:space="preserve"> Metalkol_Model1!H909</f>
        <v>0</v>
      </c>
      <c r="F168" t="str">
        <f xml:space="preserve"> Metalkol_Model1!I909</f>
        <v>$ mn</v>
      </c>
    </row>
    <row r="169" spans="2:6">
      <c r="B169" t="str">
        <f xml:space="preserve"> Metalkol_Model1!E910</f>
        <v>Interest Withholding Tax</v>
      </c>
      <c r="C169">
        <f xml:space="preserve"> Metalkol_Model1!F910</f>
        <v>0</v>
      </c>
      <c r="D169">
        <f xml:space="preserve"> Metalkol_Model1!G910</f>
        <v>0</v>
      </c>
      <c r="E169">
        <f xml:space="preserve"> Metalkol_Model1!H910</f>
        <v>0</v>
      </c>
      <c r="F169" t="str">
        <f xml:space="preserve"> Metalkol_Model1!I910</f>
        <v>$ mn</v>
      </c>
    </row>
    <row r="170" spans="2:6">
      <c r="B170" t="str">
        <f xml:space="preserve"> Metalkol_Model1!E911</f>
        <v>Dividend withholding tax</v>
      </c>
      <c r="C170">
        <f xml:space="preserve"> Metalkol_Model1!F911</f>
        <v>284.73360235425861</v>
      </c>
      <c r="D170">
        <f xml:space="preserve"> Metalkol_Model1!G911</f>
        <v>52.940986442394319</v>
      </c>
      <c r="E170">
        <f xml:space="preserve"> Metalkol_Model1!H911</f>
        <v>99.397085281749398</v>
      </c>
      <c r="F170" t="str">
        <f xml:space="preserve"> Metalkol_Model1!I911</f>
        <v>$ mn</v>
      </c>
    </row>
    <row r="171" spans="2:6">
      <c r="B171" t="str">
        <f xml:space="preserve"> Metalkol_Model1!E912</f>
        <v>WHT on non-resident services</v>
      </c>
      <c r="C171">
        <f xml:space="preserve"> Metalkol_Model1!F912</f>
        <v>116.1293554984677</v>
      </c>
      <c r="D171">
        <f xml:space="preserve"> Metalkol_Model1!G912</f>
        <v>6.6039795103128069</v>
      </c>
      <c r="E171">
        <f xml:space="preserve"> Metalkol_Model1!H912</f>
        <v>62.560019232842642</v>
      </c>
      <c r="F171" t="str">
        <f xml:space="preserve"> Metalkol_Model1!I912</f>
        <v>$ mn</v>
      </c>
    </row>
    <row r="172" spans="2:6">
      <c r="B172" t="str">
        <f xml:space="preserve"> Metalkol_Model1!E913</f>
        <v>Combined Subnational Revenue Arrears</v>
      </c>
      <c r="C172">
        <f xml:space="preserve"> Metalkol_Model1!F913</f>
        <v>91.906425129627607</v>
      </c>
      <c r="D172">
        <f xml:space="preserve"> Metalkol_Model1!G913</f>
        <v>38.290120023957144</v>
      </c>
      <c r="E172">
        <f xml:space="preserve"> Metalkol_Model1!H913</f>
        <v>0</v>
      </c>
      <c r="F172" t="str">
        <f xml:space="preserve"> Metalkol_Model1!I913</f>
        <v>$ mn</v>
      </c>
    </row>
    <row r="173" spans="2:6">
      <c r="B173" t="str">
        <f xml:space="preserve"> Metalkol_Model1!E915</f>
        <v>Government revenues excl. Gecamines participation 2022</v>
      </c>
      <c r="C173">
        <f xml:space="preserve"> Metalkol_Model1!F915</f>
        <v>3201.1779972370141</v>
      </c>
      <c r="D173">
        <f xml:space="preserve"> Metalkol_Model1!G915</f>
        <v>389.50387848780395</v>
      </c>
      <c r="E173">
        <f xml:space="preserve"> Metalkol_Model1!H915</f>
        <v>1771.4279690787264</v>
      </c>
      <c r="F173" t="str">
        <f xml:space="preserve"> Metalkol_Model1!I915</f>
        <v>$ mn</v>
      </c>
    </row>
    <row r="174" spans="2:6">
      <c r="B174" t="str">
        <f xml:space="preserve"> Metalkol_Model1!E916</f>
        <v>Gecamines share of net cashflows after tax 2022</v>
      </c>
      <c r="C174">
        <f xml:space="preserve"> Metalkol_Model1!F916</f>
        <v>421.58818581567391</v>
      </c>
      <c r="D174">
        <f xml:space="preserve"> Metalkol_Model1!G916</f>
        <v>58.823318269327025</v>
      </c>
      <c r="E174">
        <f xml:space="preserve"> Metalkol_Model1!H916</f>
        <v>110.44120586861044</v>
      </c>
      <c r="F174" t="str">
        <f xml:space="preserve"> Metalkol_Model1!I916</f>
        <v>$ mn</v>
      </c>
    </row>
    <row r="175" spans="2:6">
      <c r="B175" t="str">
        <f xml:space="preserve"> Metalkol_Model1!E917</f>
        <v>Government revenues incl. Gecamines  2022</v>
      </c>
      <c r="C175">
        <f xml:space="preserve"> Metalkol_Model1!F917</f>
        <v>3622.7661830526886</v>
      </c>
      <c r="D175">
        <f xml:space="preserve"> Metalkol_Model1!G917</f>
        <v>448.32719675713099</v>
      </c>
      <c r="E175">
        <f xml:space="preserve"> Metalkol_Model1!H917</f>
        <v>1881.8691749473371</v>
      </c>
      <c r="F175" t="str">
        <f xml:space="preserve"> Metalkol_Model1!I917</f>
        <v>$ mn</v>
      </c>
    </row>
    <row r="176" spans="2:6">
      <c r="B176" t="str">
        <f xml:space="preserve"> Metalkol_Model1!E919</f>
        <v>Potential Impact of Tax and Investment treaty obligations</v>
      </c>
      <c r="C176">
        <f xml:space="preserve"> Metalkol_Model1!F919</f>
        <v>258.49615667559698</v>
      </c>
      <c r="D176">
        <f xml:space="preserve"> Metalkol_Model1!G919</f>
        <v>33.074472731509964</v>
      </c>
      <c r="E176">
        <f xml:space="preserve"> Metalkol_Model1!H919</f>
        <v>112.25856187371734</v>
      </c>
      <c r="F176" t="str">
        <f xml:space="preserve"> Metalkol_Model1!I919</f>
        <v>$mn</v>
      </c>
    </row>
    <row r="177" spans="2:6">
      <c r="B177" s="613">
        <f xml:space="preserve"> Metalkol_Model1!E918</f>
        <v>0</v>
      </c>
      <c r="C177" s="613">
        <f xml:space="preserve"> Metalkol_Model1!G918</f>
        <v>0</v>
      </c>
      <c r="D177" s="613">
        <f xml:space="preserve"> Metalkol_Model1!H918</f>
        <v>0</v>
      </c>
      <c r="E177" s="613">
        <f xml:space="preserve"> Metalkol_Model1!I918</f>
        <v>0</v>
      </c>
      <c r="F177" s="613">
        <f xml:space="preserve"> Metalkol_Model1!J918</f>
        <v>0</v>
      </c>
    </row>
    <row r="178" spans="2:6">
      <c r="B178" s="692" t="s">
        <v>1065</v>
      </c>
      <c r="C178" s="691"/>
      <c r="D178" s="691"/>
      <c r="E178" s="691"/>
      <c r="F178" s="691"/>
    </row>
  </sheetData>
  <conditionalFormatting sqref="C2">
    <cfRule type="cellIs" dxfId="154" priority="3" stopIfTrue="1" operator="notEqual">
      <formula>0</formula>
    </cfRule>
    <cfRule type="cellIs" dxfId="153" priority="4" stopIfTrue="1" operator="equal">
      <formula>""</formula>
    </cfRule>
  </conditionalFormatting>
  <conditionalFormatting sqref="C3">
    <cfRule type="cellIs" dxfId="152" priority="1" stopIfTrue="1" operator="notEqual">
      <formula>0</formula>
    </cfRule>
    <cfRule type="cellIs" dxfId="151" priority="2" stopIfTrue="1" operator="equal">
      <formula>""</formula>
    </cfRule>
  </conditionalFormatting>
  <dataValidations count="1">
    <dataValidation type="list" allowBlank="1" showInputMessage="1" showErrorMessage="1" sqref="B55 B131 B126 B96 B84 B72 B66 B60 B78 B90 B102 B108 B114 B120">
      <formula1>$B$137:$B$178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Metalkol_Model1!$F$83:$F$87</xm:f>
          </x14:formula1>
          <xm:sqref>J54 H13:S13 H54</xm:sqref>
        </x14:dataValidation>
        <x14:dataValidation type="list" allowBlank="1" showInputMessage="1" showErrorMessage="1">
          <x14:formula1>
            <xm:f>InputsTS!$F$222:$F$228</xm:f>
          </x14:formula1>
          <xm:sqref>H11:S11</xm:sqref>
        </x14:dataValidation>
        <x14:dataValidation type="list" allowBlank="1" showInputMessage="1" showErrorMessage="1">
          <x14:formula1>
            <xm:f>InputsTS!$F$286:$F$292</xm:f>
          </x14:formula1>
          <xm:sqref>H12:S12</xm:sqref>
        </x14:dataValidation>
        <x14:dataValidation type="list" allowBlank="1" showInputMessage="1" showErrorMessage="1">
          <x14:formula1>
            <xm:f>InputsCon!$F$56:$F$57</xm:f>
          </x14:formula1>
          <xm:sqref>H101:J101 H38:J38</xm:sqref>
        </x14:dataValidation>
        <x14:dataValidation type="list" allowBlank="1" showInputMessage="1" showErrorMessage="1">
          <x14:formula1>
            <xm:f>Metalkol_Model1!$F$199:$F$200</xm:f>
          </x14:formula1>
          <xm:sqref>K19:S22 H19:J19</xm:sqref>
        </x14:dataValidation>
        <x14:dataValidation type="list" allowBlank="1" showInputMessage="1" showErrorMessage="1">
          <x14:formula1>
            <xm:f>Metalkol_Model1!$F$151:$F$155</xm:f>
          </x14:formula1>
          <xm:sqref>H59:J59 K15:S17 H15:J15</xm:sqref>
        </x14:dataValidation>
        <x14:dataValidation type="list" allowBlank="1" showInputMessage="1" showErrorMessage="1">
          <x14:formula1>
            <xm:f>Metalkol_Model1!$F$383:$F$386</xm:f>
          </x14:formula1>
          <xm:sqref>H28:J28</xm:sqref>
        </x14:dataValidation>
        <x14:dataValidation type="list" allowBlank="1" showInputMessage="1" showErrorMessage="1">
          <x14:formula1>
            <xm:f>InputsCon!$F$62:$F$63</xm:f>
          </x14:formula1>
          <xm:sqref>H34:J34 H107:J107</xm:sqref>
        </x14:dataValidation>
        <x14:dataValidation type="list" allowBlank="1" showInputMessage="1" showErrorMessage="1">
          <x14:formula1>
            <xm:f>InputsCon!F$56:F$57</xm:f>
          </x14:formula1>
          <xm:sqref>H33:J33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0.249977111117893"/>
  </sheetPr>
  <dimension ref="A1:XFD1038"/>
  <sheetViews>
    <sheetView zoomScale="60" zoomScaleNormal="60" workbookViewId="0">
      <pane xSplit="11" ySplit="4" topLeftCell="L5" activePane="bottomRight" state="frozen"/>
      <selection activeCell="E15" sqref="E15"/>
      <selection pane="topRight" activeCell="E15" sqref="E15"/>
      <selection pane="bottomLeft" activeCell="E15" sqref="E15"/>
      <selection pane="bottomRight" activeCell="Q336" sqref="Q336:Q337"/>
    </sheetView>
  </sheetViews>
  <sheetFormatPr baseColWidth="10" defaultColWidth="0" defaultRowHeight="15" customHeight="1"/>
  <cols>
    <col min="1" max="1" width="1.296875" style="344" customWidth="1"/>
    <col min="2" max="2" width="1.296875" style="111" customWidth="1"/>
    <col min="3" max="3" width="1.296875" style="303" customWidth="1"/>
    <col min="4" max="4" width="1.296875" style="343" customWidth="1"/>
    <col min="5" max="5" width="50.69921875" style="121" customWidth="1"/>
    <col min="6" max="6" width="12.69921875" style="121" customWidth="1"/>
    <col min="7" max="7" width="15.69921875" style="121" customWidth="1"/>
    <col min="8" max="8" width="13.8984375" style="121" customWidth="1"/>
    <col min="9" max="9" width="13.296875" style="304" customWidth="1"/>
    <col min="10" max="10" width="12.69921875" style="121" customWidth="1" collapsed="1"/>
    <col min="11" max="11" width="1.59765625" style="320" customWidth="1"/>
    <col min="12" max="48" width="10.69921875" style="121" customWidth="1"/>
    <col min="49" max="57" width="11.69921875" style="121" hidden="1" customWidth="1"/>
    <col min="58" max="59" width="0" style="121" hidden="1" customWidth="1"/>
    <col min="60" max="16384" width="14.59765625" style="121" hidden="1"/>
  </cols>
  <sheetData>
    <row r="1" spans="1:48" s="187" customFormat="1" ht="26.25" customHeight="1">
      <c r="A1" s="483" t="str">
        <f ca="1" xml:space="preserve"> RIGHT(CELL("filename", $A$3), LEN(CELL("filename", $A$3)) - SEARCH("]", CELL("filename", $A$3)))</f>
        <v>Metalkol_Model1</v>
      </c>
      <c r="B1" s="473"/>
      <c r="C1" s="474"/>
      <c r="D1" s="839"/>
      <c r="F1" s="479"/>
      <c r="I1" s="210"/>
      <c r="K1" s="480"/>
    </row>
    <row r="2" spans="1:48" ht="15" customHeight="1">
      <c r="E2" s="121" t="s">
        <v>0</v>
      </c>
      <c r="F2" s="482">
        <f xml:space="preserve"> Track!$F$85</f>
        <v>0</v>
      </c>
      <c r="G2" s="22" t="s">
        <v>1</v>
      </c>
      <c r="H2" s="22"/>
      <c r="K2" s="161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E3" s="409"/>
      <c r="F3" s="558">
        <f xml:space="preserve"> Track!F$3</f>
        <v>0</v>
      </c>
      <c r="G3" s="168" t="s">
        <v>2</v>
      </c>
      <c r="H3" s="168"/>
      <c r="K3" s="161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166" t="s">
        <v>5</v>
      </c>
      <c r="G4" s="111" t="s">
        <v>6</v>
      </c>
      <c r="H4" s="111" t="s">
        <v>7</v>
      </c>
      <c r="I4" s="111" t="s">
        <v>8</v>
      </c>
      <c r="J4" s="27"/>
      <c r="K4" s="161"/>
      <c r="L4" s="121">
        <f xml:space="preserve"> 'T&amp;E'!L$11</f>
        <v>1</v>
      </c>
      <c r="M4" s="121">
        <f xml:space="preserve"> 'T&amp;E'!M$11</f>
        <v>2</v>
      </c>
      <c r="N4" s="121">
        <f xml:space="preserve"> 'T&amp;E'!N$11</f>
        <v>3</v>
      </c>
      <c r="O4" s="121">
        <f xml:space="preserve"> 'T&amp;E'!O$11</f>
        <v>4</v>
      </c>
      <c r="P4" s="121">
        <f xml:space="preserve"> 'T&amp;E'!P$11</f>
        <v>5</v>
      </c>
      <c r="Q4" s="121">
        <f xml:space="preserve"> 'T&amp;E'!Q$11</f>
        <v>6</v>
      </c>
      <c r="R4" s="121">
        <f xml:space="preserve"> 'T&amp;E'!R$11</f>
        <v>7</v>
      </c>
      <c r="S4" s="121">
        <f xml:space="preserve"> 'T&amp;E'!S$11</f>
        <v>8</v>
      </c>
      <c r="T4" s="121">
        <f xml:space="preserve"> 'T&amp;E'!T$11</f>
        <v>9</v>
      </c>
      <c r="U4" s="121">
        <f xml:space="preserve"> 'T&amp;E'!U$11</f>
        <v>10</v>
      </c>
      <c r="V4" s="121">
        <f xml:space="preserve"> 'T&amp;E'!V$11</f>
        <v>11</v>
      </c>
      <c r="W4" s="121">
        <f xml:space="preserve"> 'T&amp;E'!W$11</f>
        <v>12</v>
      </c>
      <c r="X4" s="121">
        <f xml:space="preserve"> 'T&amp;E'!X$11</f>
        <v>13</v>
      </c>
      <c r="Y4" s="121">
        <f xml:space="preserve"> 'T&amp;E'!Y$11</f>
        <v>14</v>
      </c>
      <c r="Z4" s="121">
        <f xml:space="preserve"> 'T&amp;E'!Z$11</f>
        <v>15</v>
      </c>
      <c r="AA4" s="121">
        <f xml:space="preserve"> 'T&amp;E'!AA$11</f>
        <v>16</v>
      </c>
      <c r="AB4" s="121">
        <f xml:space="preserve"> 'T&amp;E'!AB$11</f>
        <v>17</v>
      </c>
      <c r="AC4" s="121">
        <f xml:space="preserve"> 'T&amp;E'!AC$11</f>
        <v>18</v>
      </c>
      <c r="AD4" s="121">
        <f xml:space="preserve"> 'T&amp;E'!AD$11</f>
        <v>19</v>
      </c>
      <c r="AE4" s="121">
        <f xml:space="preserve"> 'T&amp;E'!AE$11</f>
        <v>20</v>
      </c>
      <c r="AF4" s="121">
        <f xml:space="preserve"> 'T&amp;E'!AF$11</f>
        <v>21</v>
      </c>
      <c r="AG4" s="121">
        <f xml:space="preserve"> 'T&amp;E'!AG$11</f>
        <v>22</v>
      </c>
      <c r="AH4" s="121">
        <f xml:space="preserve"> 'T&amp;E'!AH$11</f>
        <v>23</v>
      </c>
      <c r="AI4" s="121">
        <f xml:space="preserve"> 'T&amp;E'!AI$11</f>
        <v>24</v>
      </c>
      <c r="AJ4" s="121">
        <f xml:space="preserve"> 'T&amp;E'!AJ$11</f>
        <v>25</v>
      </c>
      <c r="AK4" s="121">
        <f xml:space="preserve"> 'T&amp;E'!AK$11</f>
        <v>26</v>
      </c>
      <c r="AL4" s="121">
        <f xml:space="preserve"> 'T&amp;E'!AL$11</f>
        <v>27</v>
      </c>
      <c r="AM4" s="121">
        <f xml:space="preserve"> 'T&amp;E'!AM$11</f>
        <v>28</v>
      </c>
      <c r="AN4" s="121">
        <f xml:space="preserve"> 'T&amp;E'!AN$11</f>
        <v>29</v>
      </c>
      <c r="AO4" s="121">
        <f xml:space="preserve"> 'T&amp;E'!AO$11</f>
        <v>30</v>
      </c>
      <c r="AP4" s="121">
        <f xml:space="preserve"> 'T&amp;E'!AP$11</f>
        <v>31</v>
      </c>
      <c r="AQ4" s="121">
        <f xml:space="preserve"> 'T&amp;E'!AQ$11</f>
        <v>32</v>
      </c>
      <c r="AR4" s="121">
        <f xml:space="preserve"> 'T&amp;E'!AR$11</f>
        <v>33</v>
      </c>
      <c r="AS4" s="121">
        <f xml:space="preserve"> 'T&amp;E'!AS$11</f>
        <v>34</v>
      </c>
      <c r="AT4" s="121">
        <f xml:space="preserve"> 'T&amp;E'!AT$11</f>
        <v>35</v>
      </c>
      <c r="AU4" s="121">
        <f xml:space="preserve"> 'T&amp;E'!AU$11</f>
        <v>36</v>
      </c>
      <c r="AV4" s="121">
        <f xml:space="preserve"> 'T&amp;E'!AV$11</f>
        <v>37</v>
      </c>
    </row>
    <row r="5" spans="1:48" ht="15" customHeight="1">
      <c r="F5" s="166"/>
      <c r="G5" s="111"/>
      <c r="H5" s="111"/>
      <c r="I5" s="111"/>
      <c r="J5" s="27"/>
      <c r="K5" s="161"/>
    </row>
    <row r="6" spans="1:48" s="258" customFormat="1" ht="15" customHeight="1">
      <c r="A6" s="249" t="s">
        <v>668</v>
      </c>
      <c r="B6" s="250"/>
      <c r="C6" s="306"/>
      <c r="D6" s="84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1"/>
      <c r="AB6" s="251"/>
      <c r="AC6" s="251"/>
    </row>
    <row r="7" spans="1:48" s="258" customFormat="1" ht="15" customHeight="1">
      <c r="A7" s="345"/>
      <c r="B7" s="255"/>
      <c r="C7" s="256"/>
      <c r="D7" s="257"/>
      <c r="H7" s="307"/>
    </row>
    <row r="8" spans="1:48" s="258" customFormat="1" ht="15" customHeight="1">
      <c r="A8" s="345"/>
      <c r="B8" s="255" t="s">
        <v>519</v>
      </c>
      <c r="C8" s="256"/>
      <c r="D8" s="257"/>
      <c r="H8" s="307"/>
    </row>
    <row r="9" spans="1:48" s="258" customFormat="1" ht="15" customHeight="1">
      <c r="A9" s="345"/>
      <c r="B9" s="255"/>
      <c r="C9" s="256" t="s">
        <v>588</v>
      </c>
      <c r="D9" s="257"/>
      <c r="H9" s="307"/>
    </row>
    <row r="10" spans="1:48" s="790" customFormat="1" ht="15" customHeight="1">
      <c r="D10" s="841"/>
      <c r="E10" s="790" t="str">
        <f xml:space="preserve"> InputsTS!E$131</f>
        <v>Copper Cathode Exports</v>
      </c>
      <c r="F10" s="790">
        <f xml:space="preserve"> InputsTS!F$131</f>
        <v>0</v>
      </c>
      <c r="G10" s="790" t="str">
        <f xml:space="preserve"> InputsTS!G$131</f>
        <v>tonnes</v>
      </c>
      <c r="H10" s="790">
        <f xml:space="preserve"> InputsTS!H$131</f>
        <v>0</v>
      </c>
      <c r="I10" s="790" t="str">
        <f xml:space="preserve"> InputsTS!I$131</f>
        <v>I</v>
      </c>
      <c r="J10" s="790">
        <f xml:space="preserve"> InputsTS!J$131</f>
        <v>0</v>
      </c>
      <c r="K10" s="790">
        <f xml:space="preserve"> InputsTS!K$131</f>
        <v>0</v>
      </c>
      <c r="L10" s="790">
        <f xml:space="preserve"> InputsTS!L$131</f>
        <v>0</v>
      </c>
      <c r="M10" s="790">
        <f xml:space="preserve"> InputsTS!M$131</f>
        <v>0</v>
      </c>
      <c r="N10" s="790">
        <f xml:space="preserve"> InputsTS!N$131</f>
        <v>0</v>
      </c>
      <c r="O10" s="790">
        <f xml:space="preserve"> InputsTS!O$131</f>
        <v>0</v>
      </c>
      <c r="P10" s="790">
        <f xml:space="preserve"> InputsTS!P$131</f>
        <v>9225.5633513999983</v>
      </c>
      <c r="Q10" s="790">
        <f xml:space="preserve"> InputsTS!Q$131</f>
        <v>95205.768657975364</v>
      </c>
      <c r="R10" s="790">
        <f xml:space="preserve"> InputsTS!R$131</f>
        <v>88935.055683092127</v>
      </c>
      <c r="S10" s="790">
        <f xml:space="preserve"> InputsTS!S$131</f>
        <v>95367.472553307365</v>
      </c>
      <c r="T10" s="790">
        <f xml:space="preserve"> InputsTS!T$131</f>
        <v>97737.865973582462</v>
      </c>
      <c r="U10" s="790">
        <f xml:space="preserve"> InputsTS!U$131</f>
        <v>99678.014147700058</v>
      </c>
      <c r="V10" s="790">
        <f xml:space="preserve"> InputsTS!V$131</f>
        <v>74192.785908917213</v>
      </c>
      <c r="W10" s="790">
        <f xml:space="preserve"> InputsTS!W$131</f>
        <v>0</v>
      </c>
      <c r="X10" s="790">
        <f xml:space="preserve"> InputsTS!X$131</f>
        <v>0</v>
      </c>
      <c r="Y10" s="790">
        <f xml:space="preserve"> InputsTS!Y$131</f>
        <v>0</v>
      </c>
      <c r="Z10" s="790">
        <f xml:space="preserve"> InputsTS!Z$131</f>
        <v>0</v>
      </c>
      <c r="AA10" s="790">
        <f xml:space="preserve"> InputsTS!AA$131</f>
        <v>0</v>
      </c>
      <c r="AB10" s="790">
        <f xml:space="preserve"> InputsTS!AB$131</f>
        <v>0</v>
      </c>
      <c r="AC10" s="790">
        <f xml:space="preserve"> InputsTS!AC$131</f>
        <v>0</v>
      </c>
      <c r="AD10" s="790">
        <f xml:space="preserve"> InputsTS!AD$131</f>
        <v>0</v>
      </c>
      <c r="AE10" s="790">
        <f xml:space="preserve"> InputsTS!AE$131</f>
        <v>0</v>
      </c>
      <c r="AF10" s="790">
        <f xml:space="preserve"> InputsTS!AF$131</f>
        <v>0</v>
      </c>
      <c r="AG10" s="790">
        <f xml:space="preserve"> InputsTS!AG$131</f>
        <v>0</v>
      </c>
      <c r="AH10" s="790">
        <f xml:space="preserve"> InputsTS!AH$131</f>
        <v>0</v>
      </c>
      <c r="AI10" s="790">
        <f xml:space="preserve"> InputsTS!AI$131</f>
        <v>0</v>
      </c>
      <c r="AJ10" s="790">
        <f xml:space="preserve"> InputsTS!AJ$131</f>
        <v>0</v>
      </c>
      <c r="AK10" s="790">
        <f xml:space="preserve"> InputsTS!AK$131</f>
        <v>0</v>
      </c>
      <c r="AL10" s="790">
        <f xml:space="preserve"> InputsTS!AL$131</f>
        <v>0</v>
      </c>
      <c r="AM10" s="790">
        <f xml:space="preserve"> InputsTS!AM$131</f>
        <v>0</v>
      </c>
      <c r="AN10" s="790">
        <f xml:space="preserve"> InputsTS!AN$131</f>
        <v>0</v>
      </c>
      <c r="AO10" s="790">
        <f xml:space="preserve"> InputsTS!AO$131</f>
        <v>0</v>
      </c>
      <c r="AP10" s="790">
        <f xml:space="preserve"> InputsTS!AP$131</f>
        <v>0</v>
      </c>
      <c r="AQ10" s="790">
        <f xml:space="preserve"> InputsTS!AQ$131</f>
        <v>0</v>
      </c>
      <c r="AR10" s="790">
        <f xml:space="preserve"> InputsTS!AR$131</f>
        <v>0</v>
      </c>
      <c r="AS10" s="790">
        <f xml:space="preserve"> InputsTS!AS$131</f>
        <v>0</v>
      </c>
      <c r="AT10" s="790">
        <f xml:space="preserve"> InputsTS!AT$131</f>
        <v>0</v>
      </c>
      <c r="AU10" s="790">
        <f xml:space="preserve"> InputsTS!AU$131</f>
        <v>0</v>
      </c>
      <c r="AV10" s="790">
        <f xml:space="preserve"> InputsTS!AV$131</f>
        <v>0</v>
      </c>
    </row>
    <row r="11" spans="1:48" s="790" customFormat="1" ht="15" customHeight="1">
      <c r="D11" s="841"/>
      <c r="E11" s="790" t="str">
        <f xml:space="preserve"> InputsTS!E$49</f>
        <v>Copper Production (FS22)</v>
      </c>
      <c r="F11" s="790">
        <f xml:space="preserve"> InputsTS!F$49</f>
        <v>0</v>
      </c>
      <c r="G11" s="790" t="str">
        <f xml:space="preserve"> InputsTS!G$49</f>
        <v>tonnes</v>
      </c>
      <c r="H11" s="790">
        <f xml:space="preserve"> InputsTS!H$49</f>
        <v>0</v>
      </c>
      <c r="I11" s="790">
        <f xml:space="preserve"> InputsTS!I$49</f>
        <v>0</v>
      </c>
      <c r="J11" s="790">
        <f xml:space="preserve"> InputsTS!J$49</f>
        <v>0</v>
      </c>
      <c r="K11" s="790">
        <f xml:space="preserve"> InputsTS!K$49</f>
        <v>0</v>
      </c>
      <c r="L11" s="790">
        <f xml:space="preserve"> InputsTS!L$49</f>
        <v>0</v>
      </c>
      <c r="M11" s="790">
        <f xml:space="preserve"> InputsTS!M$49</f>
        <v>0</v>
      </c>
      <c r="N11" s="790">
        <f xml:space="preserve"> InputsTS!N$49</f>
        <v>0</v>
      </c>
      <c r="O11" s="790">
        <f xml:space="preserve"> InputsTS!O$49</f>
        <v>0</v>
      </c>
      <c r="P11" s="790">
        <f xml:space="preserve"> InputsTS!P$49</f>
        <v>0</v>
      </c>
      <c r="Q11" s="790">
        <f xml:space="preserve"> InputsTS!Q$49</f>
        <v>0</v>
      </c>
      <c r="R11" s="790">
        <f xml:space="preserve"> InputsTS!R$49</f>
        <v>80312</v>
      </c>
      <c r="S11" s="790">
        <f xml:space="preserve"> InputsTS!S$49</f>
        <v>94807</v>
      </c>
      <c r="T11" s="790">
        <f xml:space="preserve"> InputsTS!T$49</f>
        <v>97940</v>
      </c>
      <c r="U11" s="790">
        <f xml:space="preserve"> InputsTS!U$49</f>
        <v>102006</v>
      </c>
      <c r="V11" s="790">
        <f xml:space="preserve"> InputsTS!V$49</f>
        <v>104669</v>
      </c>
      <c r="W11" s="790">
        <f xml:space="preserve"> InputsTS!W$49</f>
        <v>105101</v>
      </c>
      <c r="X11" s="790">
        <f xml:space="preserve"> InputsTS!X$49</f>
        <v>105002</v>
      </c>
      <c r="Y11" s="790">
        <f xml:space="preserve"> InputsTS!Y$49</f>
        <v>105956</v>
      </c>
      <c r="Z11" s="790">
        <f xml:space="preserve"> InputsTS!Z$49</f>
        <v>105003</v>
      </c>
      <c r="AA11" s="790">
        <f xml:space="preserve"> InputsTS!AA$49</f>
        <v>104332</v>
      </c>
      <c r="AB11" s="790">
        <f xml:space="preserve"> InputsTS!AB$49</f>
        <v>105002</v>
      </c>
      <c r="AC11" s="790">
        <f xml:space="preserve"> InputsTS!AC$49</f>
        <v>104504</v>
      </c>
      <c r="AD11" s="790">
        <f xml:space="preserve"> InputsTS!AD$49</f>
        <v>102009</v>
      </c>
      <c r="AE11" s="790">
        <f xml:space="preserve"> InputsTS!AE$49</f>
        <v>0</v>
      </c>
      <c r="AF11" s="790">
        <f xml:space="preserve"> InputsTS!AF$49</f>
        <v>0</v>
      </c>
      <c r="AG11" s="790">
        <f xml:space="preserve"> InputsTS!AG$49</f>
        <v>0</v>
      </c>
      <c r="AH11" s="790">
        <f xml:space="preserve"> InputsTS!AH$49</f>
        <v>0</v>
      </c>
      <c r="AI11" s="790">
        <f xml:space="preserve"> InputsTS!AI$49</f>
        <v>0</v>
      </c>
      <c r="AJ11" s="790">
        <f xml:space="preserve"> InputsTS!AJ$49</f>
        <v>0</v>
      </c>
      <c r="AK11" s="790">
        <f xml:space="preserve"> InputsTS!AK$49</f>
        <v>0</v>
      </c>
      <c r="AL11" s="790">
        <f xml:space="preserve"> InputsTS!AL$49</f>
        <v>0</v>
      </c>
      <c r="AM11" s="790">
        <f xml:space="preserve"> InputsTS!AM$49</f>
        <v>0</v>
      </c>
      <c r="AN11" s="790">
        <f xml:space="preserve"> InputsTS!AN$49</f>
        <v>0</v>
      </c>
      <c r="AO11" s="790">
        <f xml:space="preserve"> InputsTS!AO$49</f>
        <v>0</v>
      </c>
      <c r="AP11" s="790">
        <f xml:space="preserve"> InputsTS!AP$49</f>
        <v>0</v>
      </c>
      <c r="AQ11" s="790">
        <f xml:space="preserve"> InputsTS!AQ$49</f>
        <v>0</v>
      </c>
      <c r="AR11" s="790">
        <f xml:space="preserve"> InputsTS!AR$49</f>
        <v>0</v>
      </c>
      <c r="AS11" s="790">
        <f xml:space="preserve"> InputsTS!AS$49</f>
        <v>0</v>
      </c>
      <c r="AT11" s="790">
        <f xml:space="preserve"> InputsTS!AT$49</f>
        <v>0</v>
      </c>
      <c r="AU11" s="790">
        <f xml:space="preserve"> InputsTS!AU$49</f>
        <v>0</v>
      </c>
      <c r="AV11" s="790">
        <f xml:space="preserve"> InputsTS!AV$49</f>
        <v>0</v>
      </c>
    </row>
    <row r="12" spans="1:48" s="594" customFormat="1" ht="15" customHeight="1">
      <c r="A12" s="815"/>
      <c r="B12" s="815"/>
      <c r="C12" s="221"/>
      <c r="D12" s="842"/>
      <c r="E12" s="310" t="s">
        <v>1296</v>
      </c>
      <c r="G12" s="594" t="str">
        <f xml:space="preserve"> G11</f>
        <v>tonnes</v>
      </c>
      <c r="H12" s="594">
        <f xml:space="preserve"> Kamoto_2019TR!H$27</f>
        <v>0</v>
      </c>
      <c r="J12" s="594">
        <f xml:space="preserve"> SUM(L12:AV12)</f>
        <v>1421074.3320093753</v>
      </c>
      <c r="K12" s="594">
        <f xml:space="preserve"> Kamoto_2019TR!K$27</f>
        <v>0</v>
      </c>
      <c r="L12" s="594">
        <f t="shared" ref="L12:AV12" si="0" xml:space="preserve"> IF(L11 &lt;&gt; 0, L11, L10)</f>
        <v>0</v>
      </c>
      <c r="M12" s="594">
        <f t="shared" si="0"/>
        <v>0</v>
      </c>
      <c r="N12" s="594">
        <f t="shared" si="0"/>
        <v>0</v>
      </c>
      <c r="O12" s="594">
        <f t="shared" si="0"/>
        <v>0</v>
      </c>
      <c r="P12" s="594">
        <f t="shared" si="0"/>
        <v>9225.5633513999983</v>
      </c>
      <c r="Q12" s="594">
        <f t="shared" si="0"/>
        <v>95205.768657975364</v>
      </c>
      <c r="R12" s="594">
        <f t="shared" si="0"/>
        <v>80312</v>
      </c>
      <c r="S12" s="594">
        <f t="shared" si="0"/>
        <v>94807</v>
      </c>
      <c r="T12" s="594">
        <f t="shared" si="0"/>
        <v>97940</v>
      </c>
      <c r="U12" s="594">
        <f t="shared" si="0"/>
        <v>102006</v>
      </c>
      <c r="V12" s="594">
        <f t="shared" si="0"/>
        <v>104669</v>
      </c>
      <c r="W12" s="594">
        <f t="shared" si="0"/>
        <v>105101</v>
      </c>
      <c r="X12" s="594">
        <f t="shared" si="0"/>
        <v>105002</v>
      </c>
      <c r="Y12" s="594">
        <f t="shared" si="0"/>
        <v>105956</v>
      </c>
      <c r="Z12" s="594">
        <f t="shared" si="0"/>
        <v>105003</v>
      </c>
      <c r="AA12" s="594">
        <f t="shared" si="0"/>
        <v>104332</v>
      </c>
      <c r="AB12" s="594">
        <f t="shared" si="0"/>
        <v>105002</v>
      </c>
      <c r="AC12" s="594">
        <f t="shared" si="0"/>
        <v>104504</v>
      </c>
      <c r="AD12" s="594">
        <f t="shared" si="0"/>
        <v>102009</v>
      </c>
      <c r="AE12" s="594">
        <f t="shared" si="0"/>
        <v>0</v>
      </c>
      <c r="AF12" s="594">
        <f t="shared" si="0"/>
        <v>0</v>
      </c>
      <c r="AG12" s="594">
        <f t="shared" si="0"/>
        <v>0</v>
      </c>
      <c r="AH12" s="594">
        <f t="shared" si="0"/>
        <v>0</v>
      </c>
      <c r="AI12" s="594">
        <f t="shared" si="0"/>
        <v>0</v>
      </c>
      <c r="AJ12" s="594">
        <f t="shared" si="0"/>
        <v>0</v>
      </c>
      <c r="AK12" s="594">
        <f t="shared" si="0"/>
        <v>0</v>
      </c>
      <c r="AL12" s="594">
        <f t="shared" si="0"/>
        <v>0</v>
      </c>
      <c r="AM12" s="594">
        <f t="shared" si="0"/>
        <v>0</v>
      </c>
      <c r="AN12" s="594">
        <f t="shared" si="0"/>
        <v>0</v>
      </c>
      <c r="AO12" s="594">
        <f t="shared" si="0"/>
        <v>0</v>
      </c>
      <c r="AP12" s="594">
        <f t="shared" si="0"/>
        <v>0</v>
      </c>
      <c r="AQ12" s="594">
        <f t="shared" si="0"/>
        <v>0</v>
      </c>
      <c r="AR12" s="594">
        <f t="shared" si="0"/>
        <v>0</v>
      </c>
      <c r="AS12" s="594">
        <f t="shared" si="0"/>
        <v>0</v>
      </c>
      <c r="AT12" s="594">
        <f t="shared" si="0"/>
        <v>0</v>
      </c>
      <c r="AU12" s="594">
        <f t="shared" si="0"/>
        <v>0</v>
      </c>
      <c r="AV12" s="594">
        <f t="shared" si="0"/>
        <v>0</v>
      </c>
    </row>
    <row r="13" spans="1:48" s="6" customFormat="1" ht="15" customHeight="1">
      <c r="A13" s="347"/>
      <c r="B13" s="95"/>
      <c r="C13" s="96"/>
      <c r="D13" s="369"/>
      <c r="F13" s="81"/>
    </row>
    <row r="14" spans="1:48" s="6" customFormat="1" ht="15" customHeight="1">
      <c r="A14" s="347"/>
      <c r="B14" s="95"/>
      <c r="C14" s="96" t="s">
        <v>797</v>
      </c>
      <c r="D14" s="369"/>
    </row>
    <row r="15" spans="1:48" s="6" customFormat="1" ht="15" customHeight="1">
      <c r="A15" s="347"/>
      <c r="B15" s="95"/>
      <c r="C15" s="96"/>
      <c r="D15" s="369"/>
      <c r="E15" s="268" t="str">
        <f xml:space="preserve"> InputsTS!E$17</f>
        <v>Copper production sensitivity (forecast period)</v>
      </c>
      <c r="F15" s="268">
        <f xml:space="preserve"> InputsTS!F$17</f>
        <v>0</v>
      </c>
      <c r="G15" s="268" t="str">
        <f xml:space="preserve"> InputsTS!G$17</f>
        <v>%</v>
      </c>
      <c r="H15" s="268">
        <f xml:space="preserve"> InputsTS!H$17</f>
        <v>0</v>
      </c>
      <c r="I15" s="268">
        <f xml:space="preserve"> InputsTS!I$17</f>
        <v>0</v>
      </c>
      <c r="J15" s="268">
        <f xml:space="preserve"> InputsTS!J$17</f>
        <v>0</v>
      </c>
      <c r="K15" s="268">
        <f xml:space="preserve"> InputsTS!K$17</f>
        <v>0</v>
      </c>
      <c r="L15" s="268">
        <f xml:space="preserve"> InputsTS!L$17</f>
        <v>1</v>
      </c>
      <c r="M15" s="268">
        <f xml:space="preserve"> InputsTS!M$17</f>
        <v>1</v>
      </c>
      <c r="N15" s="268">
        <f xml:space="preserve"> InputsTS!N$17</f>
        <v>1</v>
      </c>
      <c r="O15" s="268">
        <f xml:space="preserve"> InputsTS!O$17</f>
        <v>1</v>
      </c>
      <c r="P15" s="268">
        <f xml:space="preserve"> InputsTS!P$17</f>
        <v>1</v>
      </c>
      <c r="Q15" s="268">
        <f xml:space="preserve"> InputsTS!Q$17</f>
        <v>1</v>
      </c>
      <c r="R15" s="268">
        <f xml:space="preserve"> InputsTS!R$17</f>
        <v>1</v>
      </c>
      <c r="S15" s="268">
        <f xml:space="preserve"> InputsTS!S$17</f>
        <v>1</v>
      </c>
      <c r="T15" s="268">
        <f xml:space="preserve"> InputsTS!T$17</f>
        <v>1</v>
      </c>
      <c r="U15" s="268">
        <f xml:space="preserve"> InputsTS!U$17</f>
        <v>1</v>
      </c>
      <c r="V15" s="268">
        <f xml:space="preserve"> InputsTS!V$17</f>
        <v>1</v>
      </c>
      <c r="W15" s="268">
        <f xml:space="preserve"> InputsTS!W$17</f>
        <v>1</v>
      </c>
      <c r="X15" s="268">
        <f xml:space="preserve"> InputsTS!X$17</f>
        <v>1</v>
      </c>
      <c r="Y15" s="268">
        <f xml:space="preserve"> InputsTS!Y$17</f>
        <v>1</v>
      </c>
      <c r="Z15" s="268">
        <f xml:space="preserve"> InputsTS!Z$17</f>
        <v>1</v>
      </c>
      <c r="AA15" s="268">
        <f xml:space="preserve"> InputsTS!AA$17</f>
        <v>1</v>
      </c>
      <c r="AB15" s="268">
        <f xml:space="preserve"> InputsTS!AB$17</f>
        <v>1</v>
      </c>
      <c r="AC15" s="268">
        <f xml:space="preserve"> InputsTS!AC$17</f>
        <v>1</v>
      </c>
      <c r="AD15" s="268">
        <f xml:space="preserve"> InputsTS!AD$17</f>
        <v>1</v>
      </c>
      <c r="AE15" s="268">
        <f xml:space="preserve"> InputsTS!AE$17</f>
        <v>1</v>
      </c>
      <c r="AF15" s="268">
        <f xml:space="preserve"> InputsTS!AF$17</f>
        <v>1</v>
      </c>
      <c r="AG15" s="268">
        <f xml:space="preserve"> InputsTS!AG$17</f>
        <v>1</v>
      </c>
      <c r="AH15" s="268">
        <f xml:space="preserve"> InputsTS!AH$17</f>
        <v>1</v>
      </c>
      <c r="AI15" s="268">
        <f xml:space="preserve"> InputsTS!AI$17</f>
        <v>1</v>
      </c>
      <c r="AJ15" s="268">
        <f xml:space="preserve"> InputsTS!AJ$17</f>
        <v>1</v>
      </c>
      <c r="AK15" s="268">
        <f xml:space="preserve"> InputsTS!AK$17</f>
        <v>1</v>
      </c>
      <c r="AL15" s="268">
        <f xml:space="preserve"> InputsTS!AL$17</f>
        <v>1</v>
      </c>
      <c r="AM15" s="268">
        <f xml:space="preserve"> InputsTS!AM$17</f>
        <v>1</v>
      </c>
      <c r="AN15" s="268">
        <f xml:space="preserve"> InputsTS!AN$17</f>
        <v>1</v>
      </c>
      <c r="AO15" s="268">
        <f xml:space="preserve"> InputsTS!AO$17</f>
        <v>1</v>
      </c>
      <c r="AP15" s="268">
        <f xml:space="preserve"> InputsTS!AP$17</f>
        <v>1</v>
      </c>
      <c r="AQ15" s="268">
        <f xml:space="preserve"> InputsTS!AQ$17</f>
        <v>1</v>
      </c>
      <c r="AR15" s="268">
        <f xml:space="preserve"> InputsTS!AR$17</f>
        <v>1</v>
      </c>
      <c r="AS15" s="268">
        <f xml:space="preserve"> InputsTS!AS$17</f>
        <v>1</v>
      </c>
      <c r="AT15" s="268">
        <f xml:space="preserve"> InputsTS!AT$17</f>
        <v>1</v>
      </c>
      <c r="AU15" s="268">
        <f xml:space="preserve"> InputsTS!AU$17</f>
        <v>1</v>
      </c>
      <c r="AV15" s="268">
        <f xml:space="preserve"> InputsTS!AV$17</f>
        <v>1</v>
      </c>
    </row>
    <row r="16" spans="1:48" s="6" customFormat="1" ht="15" customHeight="1">
      <c r="A16" s="347"/>
      <c r="B16" s="95"/>
      <c r="C16" s="96"/>
      <c r="D16" s="369"/>
      <c r="E16" s="6" t="s">
        <v>1194</v>
      </c>
      <c r="G16" s="6" t="s">
        <v>21</v>
      </c>
      <c r="J16" s="6">
        <f xml:space="preserve"> SUM(L16:AV16)</f>
        <v>1421.0743320093752</v>
      </c>
      <c r="L16" s="6">
        <f t="shared" ref="L16:AV16" si="1" xml:space="preserve"> ( L12 / 1000 ) * L15</f>
        <v>0</v>
      </c>
      <c r="M16" s="6">
        <f t="shared" si="1"/>
        <v>0</v>
      </c>
      <c r="N16" s="6">
        <f t="shared" si="1"/>
        <v>0</v>
      </c>
      <c r="O16" s="6">
        <f t="shared" si="1"/>
        <v>0</v>
      </c>
      <c r="P16" s="6">
        <f t="shared" si="1"/>
        <v>9.2255633513999982</v>
      </c>
      <c r="Q16" s="6">
        <f t="shared" si="1"/>
        <v>95.205768657975369</v>
      </c>
      <c r="R16" s="6">
        <f t="shared" si="1"/>
        <v>80.311999999999998</v>
      </c>
      <c r="S16" s="6">
        <f t="shared" si="1"/>
        <v>94.807000000000002</v>
      </c>
      <c r="T16" s="6">
        <f t="shared" si="1"/>
        <v>97.94</v>
      </c>
      <c r="U16" s="6">
        <f t="shared" si="1"/>
        <v>102.006</v>
      </c>
      <c r="V16" s="6">
        <f t="shared" si="1"/>
        <v>104.669</v>
      </c>
      <c r="W16" s="6">
        <f t="shared" si="1"/>
        <v>105.101</v>
      </c>
      <c r="X16" s="6">
        <f t="shared" si="1"/>
        <v>105.002</v>
      </c>
      <c r="Y16" s="6">
        <f t="shared" si="1"/>
        <v>105.956</v>
      </c>
      <c r="Z16" s="6">
        <f t="shared" si="1"/>
        <v>105.003</v>
      </c>
      <c r="AA16" s="6">
        <f t="shared" si="1"/>
        <v>104.33199999999999</v>
      </c>
      <c r="AB16" s="6">
        <f t="shared" si="1"/>
        <v>105.002</v>
      </c>
      <c r="AC16" s="6">
        <f t="shared" si="1"/>
        <v>104.504</v>
      </c>
      <c r="AD16" s="6">
        <f t="shared" si="1"/>
        <v>102.009</v>
      </c>
      <c r="AE16" s="6">
        <f t="shared" si="1"/>
        <v>0</v>
      </c>
      <c r="AF16" s="6">
        <f t="shared" si="1"/>
        <v>0</v>
      </c>
      <c r="AG16" s="6">
        <f t="shared" si="1"/>
        <v>0</v>
      </c>
      <c r="AH16" s="6">
        <f t="shared" si="1"/>
        <v>0</v>
      </c>
      <c r="AI16" s="6">
        <f t="shared" si="1"/>
        <v>0</v>
      </c>
      <c r="AJ16" s="6">
        <f t="shared" si="1"/>
        <v>0</v>
      </c>
      <c r="AK16" s="6">
        <f t="shared" si="1"/>
        <v>0</v>
      </c>
      <c r="AL16" s="6">
        <f t="shared" si="1"/>
        <v>0</v>
      </c>
      <c r="AM16" s="6">
        <f t="shared" si="1"/>
        <v>0</v>
      </c>
      <c r="AN16" s="6">
        <f t="shared" si="1"/>
        <v>0</v>
      </c>
      <c r="AO16" s="6">
        <f t="shared" si="1"/>
        <v>0</v>
      </c>
      <c r="AP16" s="6">
        <f t="shared" si="1"/>
        <v>0</v>
      </c>
      <c r="AQ16" s="6">
        <f t="shared" si="1"/>
        <v>0</v>
      </c>
      <c r="AR16" s="6">
        <f t="shared" si="1"/>
        <v>0</v>
      </c>
      <c r="AS16" s="6">
        <f t="shared" si="1"/>
        <v>0</v>
      </c>
      <c r="AT16" s="6">
        <f t="shared" si="1"/>
        <v>0</v>
      </c>
      <c r="AU16" s="6">
        <f t="shared" si="1"/>
        <v>0</v>
      </c>
      <c r="AV16" s="6">
        <f t="shared" si="1"/>
        <v>0</v>
      </c>
    </row>
    <row r="17" spans="1:48" s="6" customFormat="1" ht="15" customHeight="1">
      <c r="A17" s="347"/>
      <c r="B17" s="95"/>
      <c r="C17" s="96"/>
      <c r="D17" s="369"/>
    </row>
    <row r="18" spans="1:48" s="258" customFormat="1" ht="15" customHeight="1">
      <c r="A18" s="345"/>
      <c r="B18" s="255" t="s">
        <v>520</v>
      </c>
      <c r="C18" s="256"/>
      <c r="D18" s="257"/>
      <c r="H18" s="307"/>
    </row>
    <row r="19" spans="1:48" s="258" customFormat="1" ht="15" customHeight="1">
      <c r="A19" s="345"/>
      <c r="B19" s="255"/>
      <c r="C19" s="256" t="s">
        <v>589</v>
      </c>
      <c r="D19" s="257"/>
      <c r="H19" s="307"/>
    </row>
    <row r="20" spans="1:48" s="258" customFormat="1" ht="15" customHeight="1">
      <c r="A20" s="345"/>
      <c r="B20" s="255"/>
      <c r="C20" s="256"/>
      <c r="D20" s="257"/>
      <c r="E20" s="70" t="str">
        <f xml:space="preserve"> InputsTS!E$139</f>
        <v>Cobalt tonnes sold</v>
      </c>
      <c r="F20" s="70">
        <f xml:space="preserve"> InputsTS!F$139</f>
        <v>0</v>
      </c>
      <c r="G20" s="70" t="str">
        <f xml:space="preserve"> InputsTS!G$139</f>
        <v>tonnes</v>
      </c>
      <c r="H20" s="70">
        <f xml:space="preserve"> InputsTS!H$139</f>
        <v>0</v>
      </c>
      <c r="I20" s="70" t="str">
        <f xml:space="preserve"> InputsTS!I$139</f>
        <v>II</v>
      </c>
      <c r="J20" s="70">
        <f xml:space="preserve"> InputsTS!J$139</f>
        <v>0</v>
      </c>
      <c r="K20" s="70">
        <f xml:space="preserve"> InputsTS!K$139</f>
        <v>0</v>
      </c>
      <c r="L20" s="70">
        <f xml:space="preserve"> InputsTS!L$139</f>
        <v>0</v>
      </c>
      <c r="M20" s="70">
        <f xml:space="preserve"> InputsTS!M$139</f>
        <v>0</v>
      </c>
      <c r="N20" s="70">
        <f xml:space="preserve"> InputsTS!N$139</f>
        <v>0</v>
      </c>
      <c r="O20" s="70">
        <f xml:space="preserve"> InputsTS!O$139</f>
        <v>0</v>
      </c>
      <c r="P20" s="70">
        <f xml:space="preserve"> InputsTS!P$139</f>
        <v>208.40302079999998</v>
      </c>
      <c r="Q20" s="70">
        <f xml:space="preserve"> InputsTS!Q$139</f>
        <v>18932.703311639998</v>
      </c>
      <c r="R20" s="70">
        <f xml:space="preserve"> InputsTS!R$139</f>
        <v>21141.878503235002</v>
      </c>
      <c r="S20" s="70">
        <f xml:space="preserve"> InputsTS!S$139</f>
        <v>19561.305804201929</v>
      </c>
      <c r="T20" s="70">
        <f xml:space="preserve"> InputsTS!T$139</f>
        <v>21763.435878573706</v>
      </c>
      <c r="U20" s="70">
        <f xml:space="preserve"> InputsTS!U$139</f>
        <v>18838.865346680577</v>
      </c>
      <c r="V20" s="70">
        <f xml:space="preserve"> InputsTS!V$139</f>
        <v>47496.291331017768</v>
      </c>
      <c r="W20" s="70">
        <f xml:space="preserve"> InputsTS!W$139</f>
        <v>0</v>
      </c>
      <c r="X20" s="70">
        <f xml:space="preserve"> InputsTS!X$139</f>
        <v>0</v>
      </c>
      <c r="Y20" s="70">
        <f xml:space="preserve"> InputsTS!Y$139</f>
        <v>0</v>
      </c>
      <c r="Z20" s="70">
        <f xml:space="preserve"> InputsTS!Z$139</f>
        <v>0</v>
      </c>
      <c r="AA20" s="70">
        <f xml:space="preserve"> InputsTS!AA$139</f>
        <v>0</v>
      </c>
      <c r="AB20" s="76">
        <f xml:space="preserve"> InputsTS!AB$139</f>
        <v>0</v>
      </c>
      <c r="AC20" s="70">
        <f xml:space="preserve"> InputsTS!AC$139</f>
        <v>0</v>
      </c>
      <c r="AD20" s="70">
        <f xml:space="preserve"> InputsTS!AD$139</f>
        <v>0</v>
      </c>
      <c r="AE20" s="70">
        <f xml:space="preserve"> InputsTS!AE$139</f>
        <v>0</v>
      </c>
      <c r="AF20" s="70">
        <f xml:space="preserve"> InputsTS!AF$139</f>
        <v>0</v>
      </c>
      <c r="AG20" s="70">
        <f xml:space="preserve"> InputsTS!AG$139</f>
        <v>0</v>
      </c>
      <c r="AH20" s="70">
        <f xml:space="preserve"> InputsTS!AH$139</f>
        <v>0</v>
      </c>
      <c r="AI20" s="70">
        <f xml:space="preserve"> InputsTS!AI$139</f>
        <v>0</v>
      </c>
      <c r="AJ20" s="70">
        <f xml:space="preserve"> InputsTS!AJ$139</f>
        <v>0</v>
      </c>
      <c r="AK20" s="70">
        <f xml:space="preserve"> InputsTS!AK$139</f>
        <v>0</v>
      </c>
      <c r="AL20" s="70">
        <f xml:space="preserve"> InputsTS!AL$139</f>
        <v>0</v>
      </c>
      <c r="AM20" s="70">
        <f xml:space="preserve"> InputsTS!AM$139</f>
        <v>0</v>
      </c>
      <c r="AN20" s="70">
        <f xml:space="preserve"> InputsTS!AN$139</f>
        <v>0</v>
      </c>
      <c r="AO20" s="70">
        <f xml:space="preserve"> InputsTS!AO$139</f>
        <v>0</v>
      </c>
      <c r="AP20" s="70">
        <f xml:space="preserve"> InputsTS!AP$139</f>
        <v>0</v>
      </c>
      <c r="AQ20" s="70">
        <f xml:space="preserve"> InputsTS!AQ$139</f>
        <v>0</v>
      </c>
      <c r="AR20" s="70">
        <f xml:space="preserve"> InputsTS!AR$139</f>
        <v>0</v>
      </c>
      <c r="AS20" s="70">
        <f xml:space="preserve"> InputsTS!AS$139</f>
        <v>0</v>
      </c>
      <c r="AT20" s="70">
        <f xml:space="preserve"> InputsTS!AT$139</f>
        <v>0</v>
      </c>
      <c r="AU20" s="70">
        <f xml:space="preserve"> InputsTS!AU$139</f>
        <v>0</v>
      </c>
      <c r="AV20" s="70">
        <f xml:space="preserve"> InputsTS!AV$139</f>
        <v>0</v>
      </c>
    </row>
    <row r="21" spans="1:48" s="70" customFormat="1" ht="15" customHeight="1">
      <c r="E21" s="70" t="str">
        <f xml:space="preserve"> InputsTS!E$50</f>
        <v>Cobalt Production (FS22)</v>
      </c>
      <c r="F21" s="70">
        <f xml:space="preserve"> InputsTS!F$50</f>
        <v>0</v>
      </c>
      <c r="G21" s="70" t="str">
        <f xml:space="preserve"> InputsTS!G$50</f>
        <v>tonnes</v>
      </c>
      <c r="H21" s="70">
        <f xml:space="preserve"> InputsTS!H$50</f>
        <v>0</v>
      </c>
      <c r="I21" s="70">
        <f xml:space="preserve"> InputsTS!I$50</f>
        <v>0</v>
      </c>
      <c r="J21" s="70">
        <f xml:space="preserve"> InputsTS!J$50</f>
        <v>0</v>
      </c>
      <c r="K21" s="70">
        <f xml:space="preserve"> InputsTS!K$50</f>
        <v>0</v>
      </c>
      <c r="L21" s="70">
        <f xml:space="preserve"> InputsTS!L$50</f>
        <v>0</v>
      </c>
      <c r="M21" s="70">
        <f xml:space="preserve"> InputsTS!M$50</f>
        <v>0</v>
      </c>
      <c r="N21" s="70">
        <f xml:space="preserve"> InputsTS!N$50</f>
        <v>0</v>
      </c>
      <c r="O21" s="70">
        <f xml:space="preserve"> InputsTS!O$50</f>
        <v>0</v>
      </c>
      <c r="P21" s="70">
        <f xml:space="preserve"> InputsTS!P$50</f>
        <v>0</v>
      </c>
      <c r="Q21" s="70">
        <f xml:space="preserve"> InputsTS!Q$50</f>
        <v>0</v>
      </c>
      <c r="R21" s="70">
        <f xml:space="preserve"> InputsTS!R$50</f>
        <v>16392</v>
      </c>
      <c r="S21" s="70">
        <f xml:space="preserve"> InputsTS!S$50</f>
        <v>20740</v>
      </c>
      <c r="T21" s="70">
        <f xml:space="preserve"> InputsTS!T$50</f>
        <v>22473</v>
      </c>
      <c r="U21" s="70">
        <f xml:space="preserve"> InputsTS!U$50</f>
        <v>20558</v>
      </c>
      <c r="V21" s="70">
        <f xml:space="preserve"> InputsTS!V$50</f>
        <v>20343</v>
      </c>
      <c r="W21" s="70">
        <f xml:space="preserve"> InputsTS!W$50</f>
        <v>20257</v>
      </c>
      <c r="X21" s="70">
        <f xml:space="preserve"> InputsTS!X$50</f>
        <v>19749</v>
      </c>
      <c r="Y21" s="70">
        <f xml:space="preserve"> InputsTS!Y$50</f>
        <v>18650</v>
      </c>
      <c r="Z21" s="70">
        <f xml:space="preserve"> InputsTS!Z$50</f>
        <v>20104</v>
      </c>
      <c r="AA21" s="70">
        <f xml:space="preserve"> InputsTS!AA$50</f>
        <v>20075</v>
      </c>
      <c r="AB21" s="70">
        <f xml:space="preserve"> InputsTS!AB$50</f>
        <v>18960</v>
      </c>
      <c r="AC21" s="70">
        <f xml:space="preserve"> InputsTS!AC$50</f>
        <v>21319</v>
      </c>
      <c r="AD21" s="70">
        <f xml:space="preserve"> InputsTS!AD$50</f>
        <v>22064</v>
      </c>
      <c r="AE21" s="70">
        <f xml:space="preserve"> InputsTS!AE$50</f>
        <v>0</v>
      </c>
      <c r="AF21" s="70">
        <f xml:space="preserve"> InputsTS!AF$50</f>
        <v>0</v>
      </c>
      <c r="AG21" s="70">
        <f xml:space="preserve"> InputsTS!AG$50</f>
        <v>0</v>
      </c>
      <c r="AH21" s="70">
        <f xml:space="preserve"> InputsTS!AH$50</f>
        <v>0</v>
      </c>
      <c r="AI21" s="70">
        <f xml:space="preserve"> InputsTS!AI$50</f>
        <v>0</v>
      </c>
      <c r="AJ21" s="70">
        <f xml:space="preserve"> InputsTS!AJ$50</f>
        <v>0</v>
      </c>
      <c r="AK21" s="70">
        <f xml:space="preserve"> InputsTS!AK$50</f>
        <v>0</v>
      </c>
      <c r="AL21" s="70">
        <f xml:space="preserve"> InputsTS!AL$50</f>
        <v>0</v>
      </c>
      <c r="AM21" s="70">
        <f xml:space="preserve"> InputsTS!AM$50</f>
        <v>0</v>
      </c>
      <c r="AN21" s="70">
        <f xml:space="preserve"> InputsTS!AN$50</f>
        <v>0</v>
      </c>
      <c r="AO21" s="70">
        <f xml:space="preserve"> InputsTS!AO$50</f>
        <v>0</v>
      </c>
      <c r="AP21" s="70">
        <f xml:space="preserve"> InputsTS!AP$50</f>
        <v>0</v>
      </c>
      <c r="AQ21" s="70">
        <f xml:space="preserve"> InputsTS!AQ$50</f>
        <v>0</v>
      </c>
      <c r="AR21" s="70">
        <f xml:space="preserve"> InputsTS!AR$50</f>
        <v>0</v>
      </c>
      <c r="AS21" s="70">
        <f xml:space="preserve"> InputsTS!AS$50</f>
        <v>0</v>
      </c>
      <c r="AT21" s="70">
        <f xml:space="preserve"> InputsTS!AT$50</f>
        <v>0</v>
      </c>
      <c r="AU21" s="70">
        <f xml:space="preserve"> InputsTS!AU$50</f>
        <v>0</v>
      </c>
      <c r="AV21" s="70">
        <f xml:space="preserve"> InputsTS!AV$50</f>
        <v>0</v>
      </c>
    </row>
    <row r="22" spans="1:48" s="310" customFormat="1" ht="15" customHeight="1">
      <c r="A22" s="346"/>
      <c r="B22" s="220"/>
      <c r="C22" s="309"/>
      <c r="D22" s="844"/>
      <c r="E22" s="310" t="s">
        <v>1193</v>
      </c>
      <c r="G22" s="310" t="str">
        <f xml:space="preserve"> G21</f>
        <v>tonnes</v>
      </c>
      <c r="H22" s="310">
        <f xml:space="preserve"> Kamoto_2019TR!H$27</f>
        <v>0</v>
      </c>
      <c r="J22" s="310">
        <f xml:space="preserve"> SUM(L22:AV22)</f>
        <v>280825.10633243999</v>
      </c>
      <c r="K22" s="310">
        <f xml:space="preserve"> Kamoto_2019TR!K$27</f>
        <v>0</v>
      </c>
      <c r="L22" s="310">
        <f t="shared" ref="L22" si="2" xml:space="preserve"> IF(L21 &lt;&gt; 0, L21, L20)</f>
        <v>0</v>
      </c>
      <c r="M22" s="310">
        <f t="shared" ref="M22" si="3" xml:space="preserve"> IF(M21 &lt;&gt; 0, M21, M20)</f>
        <v>0</v>
      </c>
      <c r="N22" s="310">
        <f t="shared" ref="N22" si="4" xml:space="preserve"> IF(N21 &lt;&gt; 0, N21, N20)</f>
        <v>0</v>
      </c>
      <c r="O22" s="310">
        <f t="shared" ref="O22" si="5" xml:space="preserve"> IF(O21 &lt;&gt; 0, O21, O20)</f>
        <v>0</v>
      </c>
      <c r="P22" s="310">
        <f t="shared" ref="P22:AV22" si="6" xml:space="preserve"> IF(P21 &lt;&gt; 0, P21, P20)</f>
        <v>208.40302079999998</v>
      </c>
      <c r="Q22" s="310">
        <f t="shared" si="6"/>
        <v>18932.703311639998</v>
      </c>
      <c r="R22" s="310">
        <f t="shared" si="6"/>
        <v>16392</v>
      </c>
      <c r="S22" s="310">
        <f t="shared" si="6"/>
        <v>20740</v>
      </c>
      <c r="T22" s="310">
        <f t="shared" si="6"/>
        <v>22473</v>
      </c>
      <c r="U22" s="310">
        <f t="shared" si="6"/>
        <v>20558</v>
      </c>
      <c r="V22" s="310">
        <f t="shared" si="6"/>
        <v>20343</v>
      </c>
      <c r="W22" s="310">
        <f t="shared" si="6"/>
        <v>20257</v>
      </c>
      <c r="X22" s="310">
        <f t="shared" si="6"/>
        <v>19749</v>
      </c>
      <c r="Y22" s="310">
        <f t="shared" si="6"/>
        <v>18650</v>
      </c>
      <c r="Z22" s="310">
        <f t="shared" si="6"/>
        <v>20104</v>
      </c>
      <c r="AA22" s="310">
        <f t="shared" si="6"/>
        <v>20075</v>
      </c>
      <c r="AB22" s="310">
        <f t="shared" si="6"/>
        <v>18960</v>
      </c>
      <c r="AC22" s="310">
        <f t="shared" si="6"/>
        <v>21319</v>
      </c>
      <c r="AD22" s="310">
        <f t="shared" si="6"/>
        <v>22064</v>
      </c>
      <c r="AE22" s="310">
        <f t="shared" si="6"/>
        <v>0</v>
      </c>
      <c r="AF22" s="310">
        <f t="shared" si="6"/>
        <v>0</v>
      </c>
      <c r="AG22" s="310">
        <f t="shared" si="6"/>
        <v>0</v>
      </c>
      <c r="AH22" s="310">
        <f t="shared" si="6"/>
        <v>0</v>
      </c>
      <c r="AI22" s="310">
        <f t="shared" si="6"/>
        <v>0</v>
      </c>
      <c r="AJ22" s="310">
        <f t="shared" si="6"/>
        <v>0</v>
      </c>
      <c r="AK22" s="310">
        <f t="shared" si="6"/>
        <v>0</v>
      </c>
      <c r="AL22" s="310">
        <f t="shared" si="6"/>
        <v>0</v>
      </c>
      <c r="AM22" s="310">
        <f t="shared" si="6"/>
        <v>0</v>
      </c>
      <c r="AN22" s="310">
        <f t="shared" si="6"/>
        <v>0</v>
      </c>
      <c r="AO22" s="310">
        <f t="shared" si="6"/>
        <v>0</v>
      </c>
      <c r="AP22" s="310">
        <f t="shared" si="6"/>
        <v>0</v>
      </c>
      <c r="AQ22" s="310">
        <f t="shared" si="6"/>
        <v>0</v>
      </c>
      <c r="AR22" s="310">
        <f t="shared" si="6"/>
        <v>0</v>
      </c>
      <c r="AS22" s="310">
        <f t="shared" si="6"/>
        <v>0</v>
      </c>
      <c r="AT22" s="310">
        <f t="shared" si="6"/>
        <v>0</v>
      </c>
      <c r="AU22" s="310">
        <f t="shared" si="6"/>
        <v>0</v>
      </c>
      <c r="AV22" s="310">
        <f t="shared" si="6"/>
        <v>0</v>
      </c>
    </row>
    <row r="23" spans="1:48" s="108" customFormat="1" ht="15" customHeight="1">
      <c r="D23" s="843"/>
    </row>
    <row r="24" spans="1:48" s="258" customFormat="1" ht="15" customHeight="1">
      <c r="A24" s="345"/>
      <c r="B24" s="79"/>
      <c r="C24" s="256" t="s">
        <v>796</v>
      </c>
      <c r="D24" s="257"/>
      <c r="H24" s="307"/>
      <c r="AB24" s="6"/>
    </row>
    <row r="25" spans="1:48" s="81" customFormat="1" ht="15" customHeight="1">
      <c r="A25" s="411"/>
      <c r="B25" s="79"/>
      <c r="C25" s="80"/>
      <c r="D25" s="845"/>
      <c r="E25" s="268" t="str">
        <f xml:space="preserve"> InputsTS!E$18</f>
        <v>Cobalt production sensitivity (forecast period)</v>
      </c>
      <c r="F25" s="268">
        <f xml:space="preserve"> InputsTS!F$18</f>
        <v>0</v>
      </c>
      <c r="G25" s="268" t="str">
        <f xml:space="preserve"> InputsTS!G$18</f>
        <v>%</v>
      </c>
      <c r="H25" s="268">
        <f xml:space="preserve"> InputsTS!H$18</f>
        <v>0</v>
      </c>
      <c r="I25" s="268">
        <f xml:space="preserve"> InputsTS!I$18</f>
        <v>0</v>
      </c>
      <c r="J25" s="268">
        <f xml:space="preserve"> InputsTS!J$18</f>
        <v>0</v>
      </c>
      <c r="K25" s="268">
        <f xml:space="preserve"> InputsTS!K$18</f>
        <v>0</v>
      </c>
      <c r="L25" s="268">
        <f xml:space="preserve"> InputsTS!L$18</f>
        <v>1</v>
      </c>
      <c r="M25" s="268">
        <f xml:space="preserve"> InputsTS!M$18</f>
        <v>1</v>
      </c>
      <c r="N25" s="268">
        <f xml:space="preserve"> InputsTS!N$18</f>
        <v>1</v>
      </c>
      <c r="O25" s="268">
        <f xml:space="preserve"> InputsTS!O$18</f>
        <v>1</v>
      </c>
      <c r="P25" s="268">
        <f xml:space="preserve"> InputsTS!P$18</f>
        <v>1</v>
      </c>
      <c r="Q25" s="268">
        <f xml:space="preserve"> InputsTS!Q$18</f>
        <v>1</v>
      </c>
      <c r="R25" s="268">
        <f xml:space="preserve"> InputsTS!R$18</f>
        <v>1</v>
      </c>
      <c r="S25" s="268">
        <f xml:space="preserve"> InputsTS!S$18</f>
        <v>1</v>
      </c>
      <c r="T25" s="268">
        <f xml:space="preserve"> InputsTS!T$18</f>
        <v>1</v>
      </c>
      <c r="U25" s="268">
        <f xml:space="preserve"> InputsTS!U$18</f>
        <v>1</v>
      </c>
      <c r="V25" s="268">
        <f xml:space="preserve"> InputsTS!V$18</f>
        <v>1</v>
      </c>
      <c r="W25" s="268">
        <f xml:space="preserve"> InputsTS!W$18</f>
        <v>1</v>
      </c>
      <c r="X25" s="268">
        <f xml:space="preserve"> InputsTS!X$18</f>
        <v>1</v>
      </c>
      <c r="Y25" s="268">
        <f xml:space="preserve"> InputsTS!Y$18</f>
        <v>1</v>
      </c>
      <c r="Z25" s="268">
        <f xml:space="preserve"> InputsTS!Z$18</f>
        <v>1</v>
      </c>
      <c r="AA25" s="268">
        <f xml:space="preserve"> InputsTS!AA$18</f>
        <v>1</v>
      </c>
      <c r="AB25" s="268">
        <f xml:space="preserve"> InputsTS!AB$18</f>
        <v>1</v>
      </c>
      <c r="AC25" s="268">
        <f xml:space="preserve"> InputsTS!AC$18</f>
        <v>1</v>
      </c>
      <c r="AD25" s="268">
        <f xml:space="preserve"> InputsTS!AD$18</f>
        <v>1</v>
      </c>
      <c r="AE25" s="268">
        <f xml:space="preserve"> InputsTS!AE$18</f>
        <v>1</v>
      </c>
      <c r="AF25" s="268">
        <f xml:space="preserve"> InputsTS!AF$18</f>
        <v>1</v>
      </c>
      <c r="AG25" s="268">
        <f xml:space="preserve"> InputsTS!AG$18</f>
        <v>1</v>
      </c>
      <c r="AH25" s="268">
        <f xml:space="preserve"> InputsTS!AH$18</f>
        <v>1</v>
      </c>
      <c r="AI25" s="268">
        <f xml:space="preserve"> InputsTS!AI$18</f>
        <v>1</v>
      </c>
      <c r="AJ25" s="268">
        <f xml:space="preserve"> InputsTS!AJ$18</f>
        <v>1</v>
      </c>
      <c r="AK25" s="268">
        <f xml:space="preserve"> InputsTS!AK$18</f>
        <v>1</v>
      </c>
      <c r="AL25" s="268">
        <f xml:space="preserve"> InputsTS!AL$18</f>
        <v>1</v>
      </c>
      <c r="AM25" s="268">
        <f xml:space="preserve"> InputsTS!AM$18</f>
        <v>1</v>
      </c>
      <c r="AN25" s="268">
        <f xml:space="preserve"> InputsTS!AN$18</f>
        <v>1</v>
      </c>
      <c r="AO25" s="268">
        <f xml:space="preserve"> InputsTS!AO$18</f>
        <v>1</v>
      </c>
      <c r="AP25" s="268">
        <f xml:space="preserve"> InputsTS!AP$18</f>
        <v>1</v>
      </c>
      <c r="AQ25" s="268">
        <f xml:space="preserve"> InputsTS!AQ$18</f>
        <v>1</v>
      </c>
      <c r="AR25" s="268">
        <f xml:space="preserve"> InputsTS!AR$18</f>
        <v>1</v>
      </c>
      <c r="AS25" s="268">
        <f xml:space="preserve"> InputsTS!AS$18</f>
        <v>1</v>
      </c>
      <c r="AT25" s="268">
        <f xml:space="preserve"> InputsTS!AT$18</f>
        <v>1</v>
      </c>
      <c r="AU25" s="268">
        <f xml:space="preserve"> InputsTS!AU$18</f>
        <v>1</v>
      </c>
      <c r="AV25" s="268">
        <f xml:space="preserve"> InputsTS!AV$18</f>
        <v>1</v>
      </c>
    </row>
    <row r="26" spans="1:48" s="258" customFormat="1" ht="15" customHeight="1">
      <c r="A26" s="374"/>
      <c r="C26" s="256"/>
      <c r="D26" s="257"/>
      <c r="E26" s="6" t="s">
        <v>1195</v>
      </c>
      <c r="G26" s="258" t="s">
        <v>231</v>
      </c>
      <c r="J26" s="258">
        <f xml:space="preserve"> SUM(L26:AV26)</f>
        <v>280.82510633243999</v>
      </c>
      <c r="L26" s="310">
        <f t="shared" ref="L26:AV26" si="7" xml:space="preserve"> ( L22 / 1000 ) * L25</f>
        <v>0</v>
      </c>
      <c r="M26" s="310">
        <f t="shared" si="7"/>
        <v>0</v>
      </c>
      <c r="N26" s="310">
        <f t="shared" si="7"/>
        <v>0</v>
      </c>
      <c r="O26" s="310">
        <f t="shared" si="7"/>
        <v>0</v>
      </c>
      <c r="P26" s="310">
        <f t="shared" si="7"/>
        <v>0.20840302079999998</v>
      </c>
      <c r="Q26" s="310">
        <f t="shared" si="7"/>
        <v>18.932703311639997</v>
      </c>
      <c r="R26" s="310">
        <f t="shared" si="7"/>
        <v>16.391999999999999</v>
      </c>
      <c r="S26" s="310">
        <f t="shared" si="7"/>
        <v>20.74</v>
      </c>
      <c r="T26" s="310">
        <f t="shared" si="7"/>
        <v>22.472999999999999</v>
      </c>
      <c r="U26" s="310">
        <f t="shared" si="7"/>
        <v>20.558</v>
      </c>
      <c r="V26" s="310">
        <f t="shared" si="7"/>
        <v>20.343</v>
      </c>
      <c r="W26" s="310">
        <f t="shared" si="7"/>
        <v>20.257000000000001</v>
      </c>
      <c r="X26" s="310">
        <f t="shared" si="7"/>
        <v>19.748999999999999</v>
      </c>
      <c r="Y26" s="310">
        <f t="shared" si="7"/>
        <v>18.649999999999999</v>
      </c>
      <c r="Z26" s="310">
        <f t="shared" si="7"/>
        <v>20.103999999999999</v>
      </c>
      <c r="AA26" s="310">
        <f t="shared" si="7"/>
        <v>20.074999999999999</v>
      </c>
      <c r="AB26" s="310">
        <f t="shared" si="7"/>
        <v>18.96</v>
      </c>
      <c r="AC26" s="310">
        <f t="shared" si="7"/>
        <v>21.318999999999999</v>
      </c>
      <c r="AD26" s="310">
        <f t="shared" si="7"/>
        <v>22.064</v>
      </c>
      <c r="AE26" s="310">
        <f t="shared" si="7"/>
        <v>0</v>
      </c>
      <c r="AF26" s="310">
        <f t="shared" si="7"/>
        <v>0</v>
      </c>
      <c r="AG26" s="310">
        <f t="shared" si="7"/>
        <v>0</v>
      </c>
      <c r="AH26" s="310">
        <f t="shared" si="7"/>
        <v>0</v>
      </c>
      <c r="AI26" s="310">
        <f t="shared" si="7"/>
        <v>0</v>
      </c>
      <c r="AJ26" s="310">
        <f t="shared" si="7"/>
        <v>0</v>
      </c>
      <c r="AK26" s="310">
        <f t="shared" si="7"/>
        <v>0</v>
      </c>
      <c r="AL26" s="310">
        <f t="shared" si="7"/>
        <v>0</v>
      </c>
      <c r="AM26" s="310">
        <f t="shared" si="7"/>
        <v>0</v>
      </c>
      <c r="AN26" s="310">
        <f t="shared" si="7"/>
        <v>0</v>
      </c>
      <c r="AO26" s="310">
        <f t="shared" si="7"/>
        <v>0</v>
      </c>
      <c r="AP26" s="310">
        <f t="shared" si="7"/>
        <v>0</v>
      </c>
      <c r="AQ26" s="310">
        <f t="shared" si="7"/>
        <v>0</v>
      </c>
      <c r="AR26" s="310">
        <f t="shared" si="7"/>
        <v>0</v>
      </c>
      <c r="AS26" s="310">
        <f t="shared" si="7"/>
        <v>0</v>
      </c>
      <c r="AT26" s="310">
        <f t="shared" si="7"/>
        <v>0</v>
      </c>
      <c r="AU26" s="310">
        <f t="shared" si="7"/>
        <v>0</v>
      </c>
      <c r="AV26" s="310">
        <f t="shared" si="7"/>
        <v>0</v>
      </c>
    </row>
    <row r="27" spans="1:48" s="6" customFormat="1" ht="15" customHeight="1">
      <c r="A27" s="349"/>
      <c r="B27" s="95"/>
      <c r="C27" s="96"/>
      <c r="D27" s="369"/>
    </row>
    <row r="28" spans="1:48" s="258" customFormat="1" ht="15" customHeight="1">
      <c r="A28" s="345"/>
      <c r="B28" s="255"/>
      <c r="C28" s="256" t="s">
        <v>651</v>
      </c>
      <c r="D28" s="257"/>
      <c r="H28" s="307"/>
      <c r="AB28" s="6"/>
    </row>
    <row r="29" spans="1:48" s="6" customFormat="1" ht="15" customHeight="1">
      <c r="A29" s="347"/>
      <c r="B29" s="95"/>
      <c r="C29" s="96"/>
      <c r="D29" s="369"/>
      <c r="E29" s="6" t="str">
        <f t="shared" ref="E29:AV29" si="8" xml:space="preserve"> E$16</f>
        <v>Copper production 2022Fs + actuals</v>
      </c>
      <c r="F29" s="6">
        <f t="shared" si="8"/>
        <v>0</v>
      </c>
      <c r="G29" s="6" t="str">
        <f t="shared" si="8"/>
        <v>KT Cu</v>
      </c>
      <c r="H29" s="6">
        <f t="shared" si="8"/>
        <v>0</v>
      </c>
      <c r="I29" s="6">
        <f t="shared" si="8"/>
        <v>0</v>
      </c>
      <c r="J29" s="6">
        <f t="shared" si="8"/>
        <v>1421.0743320093752</v>
      </c>
      <c r="K29" s="6">
        <f t="shared" si="8"/>
        <v>0</v>
      </c>
      <c r="L29" s="6">
        <f t="shared" si="8"/>
        <v>0</v>
      </c>
      <c r="M29" s="6">
        <f t="shared" si="8"/>
        <v>0</v>
      </c>
      <c r="N29" s="6">
        <f t="shared" si="8"/>
        <v>0</v>
      </c>
      <c r="O29" s="6">
        <f t="shared" si="8"/>
        <v>0</v>
      </c>
      <c r="P29" s="6">
        <f t="shared" si="8"/>
        <v>9.2255633513999982</v>
      </c>
      <c r="Q29" s="6">
        <f t="shared" si="8"/>
        <v>95.205768657975369</v>
      </c>
      <c r="R29" s="6">
        <f t="shared" si="8"/>
        <v>80.311999999999998</v>
      </c>
      <c r="S29" s="6">
        <f t="shared" si="8"/>
        <v>94.807000000000002</v>
      </c>
      <c r="T29" s="6">
        <f t="shared" si="8"/>
        <v>97.94</v>
      </c>
      <c r="U29" s="6">
        <f t="shared" si="8"/>
        <v>102.006</v>
      </c>
      <c r="V29" s="6">
        <f t="shared" si="8"/>
        <v>104.669</v>
      </c>
      <c r="W29" s="6">
        <f t="shared" si="8"/>
        <v>105.101</v>
      </c>
      <c r="X29" s="6">
        <f t="shared" si="8"/>
        <v>105.002</v>
      </c>
      <c r="Y29" s="6">
        <f t="shared" si="8"/>
        <v>105.956</v>
      </c>
      <c r="Z29" s="6">
        <f t="shared" si="8"/>
        <v>105.003</v>
      </c>
      <c r="AA29" s="6">
        <f t="shared" si="8"/>
        <v>104.33199999999999</v>
      </c>
      <c r="AB29" s="6">
        <f t="shared" si="8"/>
        <v>105.002</v>
      </c>
      <c r="AC29" s="6">
        <f t="shared" si="8"/>
        <v>104.504</v>
      </c>
      <c r="AD29" s="6">
        <f t="shared" si="8"/>
        <v>102.009</v>
      </c>
      <c r="AE29" s="6">
        <f t="shared" si="8"/>
        <v>0</v>
      </c>
      <c r="AF29" s="6">
        <f t="shared" si="8"/>
        <v>0</v>
      </c>
      <c r="AG29" s="6">
        <f t="shared" si="8"/>
        <v>0</v>
      </c>
      <c r="AH29" s="6">
        <f t="shared" si="8"/>
        <v>0</v>
      </c>
      <c r="AI29" s="6">
        <f t="shared" si="8"/>
        <v>0</v>
      </c>
      <c r="AJ29" s="6">
        <f t="shared" si="8"/>
        <v>0</v>
      </c>
      <c r="AK29" s="6">
        <f t="shared" si="8"/>
        <v>0</v>
      </c>
      <c r="AL29" s="6">
        <f t="shared" si="8"/>
        <v>0</v>
      </c>
      <c r="AM29" s="6">
        <f t="shared" si="8"/>
        <v>0</v>
      </c>
      <c r="AN29" s="6">
        <f t="shared" si="8"/>
        <v>0</v>
      </c>
      <c r="AO29" s="6">
        <f t="shared" si="8"/>
        <v>0</v>
      </c>
      <c r="AP29" s="6">
        <f t="shared" si="8"/>
        <v>0</v>
      </c>
      <c r="AQ29" s="6">
        <f t="shared" si="8"/>
        <v>0</v>
      </c>
      <c r="AR29" s="6">
        <f t="shared" si="8"/>
        <v>0</v>
      </c>
      <c r="AS29" s="6">
        <f t="shared" si="8"/>
        <v>0</v>
      </c>
      <c r="AT29" s="6">
        <f t="shared" si="8"/>
        <v>0</v>
      </c>
      <c r="AU29" s="6">
        <f t="shared" si="8"/>
        <v>0</v>
      </c>
      <c r="AV29" s="6">
        <f t="shared" si="8"/>
        <v>0</v>
      </c>
    </row>
    <row r="30" spans="1:48" s="373" customFormat="1" ht="15" customHeight="1">
      <c r="A30" s="370"/>
      <c r="B30" s="371"/>
      <c r="C30" s="372"/>
      <c r="D30" s="846"/>
      <c r="E30" s="373" t="s">
        <v>652</v>
      </c>
      <c r="F30" s="81">
        <f>SUM(L26:AV26) / SUM(L29:AV29)</f>
        <v>0.19761464971037651</v>
      </c>
      <c r="G30" s="373" t="s">
        <v>653</v>
      </c>
      <c r="L30" s="81">
        <f t="shared" ref="L30:AV30" si="9" xml:space="preserve"> IFERROR(L26 / L29, 0)</f>
        <v>0</v>
      </c>
      <c r="M30" s="81">
        <f t="shared" si="9"/>
        <v>0</v>
      </c>
      <c r="N30" s="81">
        <f t="shared" si="9"/>
        <v>0</v>
      </c>
      <c r="O30" s="81">
        <f t="shared" si="9"/>
        <v>0</v>
      </c>
      <c r="P30" s="81">
        <f t="shared" si="9"/>
        <v>2.2589733858190283E-2</v>
      </c>
      <c r="Q30" s="81">
        <f t="shared" si="9"/>
        <v>0.19886088394134308</v>
      </c>
      <c r="R30" s="81">
        <f t="shared" si="9"/>
        <v>0.20410399442175514</v>
      </c>
      <c r="S30" s="81">
        <f t="shared" si="9"/>
        <v>0.21876021812735344</v>
      </c>
      <c r="T30" s="81">
        <f t="shared" si="9"/>
        <v>0.22945681029201551</v>
      </c>
      <c r="U30" s="81">
        <f t="shared" si="9"/>
        <v>0.20153716448052075</v>
      </c>
      <c r="V30" s="81">
        <f t="shared" si="9"/>
        <v>0.19435553984465315</v>
      </c>
      <c r="W30" s="81">
        <f t="shared" si="9"/>
        <v>0.19273841352603688</v>
      </c>
      <c r="X30" s="81">
        <f t="shared" si="9"/>
        <v>0.18808213176891869</v>
      </c>
      <c r="Y30" s="81">
        <f t="shared" si="9"/>
        <v>0.1760164596625014</v>
      </c>
      <c r="Z30" s="81">
        <f t="shared" si="9"/>
        <v>0.19146119634677103</v>
      </c>
      <c r="AA30" s="81">
        <f t="shared" si="9"/>
        <v>0.19241459954759807</v>
      </c>
      <c r="AB30" s="81">
        <f t="shared" si="9"/>
        <v>0.18056798918115846</v>
      </c>
      <c r="AC30" s="81">
        <f t="shared" si="9"/>
        <v>0.20400176069815507</v>
      </c>
      <c r="AD30" s="81">
        <f t="shared" si="9"/>
        <v>0.21629464066896059</v>
      </c>
      <c r="AE30" s="81">
        <f t="shared" si="9"/>
        <v>0</v>
      </c>
      <c r="AF30" s="81">
        <f t="shared" si="9"/>
        <v>0</v>
      </c>
      <c r="AG30" s="81">
        <f t="shared" si="9"/>
        <v>0</v>
      </c>
      <c r="AH30" s="81">
        <f t="shared" si="9"/>
        <v>0</v>
      </c>
      <c r="AI30" s="81">
        <f t="shared" si="9"/>
        <v>0</v>
      </c>
      <c r="AJ30" s="81">
        <f t="shared" si="9"/>
        <v>0</v>
      </c>
      <c r="AK30" s="81">
        <f t="shared" si="9"/>
        <v>0</v>
      </c>
      <c r="AL30" s="81">
        <f t="shared" si="9"/>
        <v>0</v>
      </c>
      <c r="AM30" s="81">
        <f t="shared" si="9"/>
        <v>0</v>
      </c>
      <c r="AN30" s="81">
        <f t="shared" si="9"/>
        <v>0</v>
      </c>
      <c r="AO30" s="81">
        <f t="shared" si="9"/>
        <v>0</v>
      </c>
      <c r="AP30" s="81">
        <f t="shared" si="9"/>
        <v>0</v>
      </c>
      <c r="AQ30" s="81">
        <f t="shared" si="9"/>
        <v>0</v>
      </c>
      <c r="AR30" s="81">
        <f t="shared" si="9"/>
        <v>0</v>
      </c>
      <c r="AS30" s="81">
        <f t="shared" si="9"/>
        <v>0</v>
      </c>
      <c r="AT30" s="81">
        <f t="shared" si="9"/>
        <v>0</v>
      </c>
      <c r="AU30" s="81">
        <f t="shared" si="9"/>
        <v>0</v>
      </c>
      <c r="AV30" s="81">
        <f t="shared" si="9"/>
        <v>0</v>
      </c>
    </row>
    <row r="31" spans="1:48" s="266" customFormat="1" ht="15" customHeight="1">
      <c r="A31" s="265"/>
      <c r="B31" s="262"/>
      <c r="C31" s="313"/>
      <c r="D31" s="319"/>
    </row>
    <row r="32" spans="1:48" s="160" customFormat="1" ht="15" customHeight="1">
      <c r="A32" s="164" t="s">
        <v>624</v>
      </c>
      <c r="B32" s="162"/>
      <c r="C32" s="315"/>
      <c r="D32" s="386"/>
      <c r="E32" s="162"/>
      <c r="F32" s="162"/>
      <c r="G32" s="162"/>
      <c r="H32" s="162"/>
    </row>
    <row r="33" spans="1:48" s="6" customFormat="1" ht="15" customHeight="1">
      <c r="A33" s="349"/>
      <c r="B33" s="95"/>
      <c r="C33" s="96"/>
      <c r="D33" s="369"/>
    </row>
    <row r="34" spans="1:48" s="266" customFormat="1" ht="15" customHeight="1">
      <c r="A34" s="261"/>
      <c r="B34" s="255" t="s">
        <v>629</v>
      </c>
      <c r="C34" s="312"/>
      <c r="D34" s="319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  <c r="AB34" s="262"/>
      <c r="AC34" s="262"/>
    </row>
    <row r="35" spans="1:48" s="266" customFormat="1" ht="15" customHeight="1">
      <c r="A35" s="265"/>
      <c r="B35" s="255"/>
      <c r="C35" s="313" t="s">
        <v>625</v>
      </c>
      <c r="D35" s="319"/>
    </row>
    <row r="36" spans="1:48" s="267" customFormat="1" ht="15" customHeight="1">
      <c r="B36" s="359"/>
      <c r="C36" s="360"/>
      <c r="D36" s="525"/>
      <c r="E36" s="76" t="str">
        <f xml:space="preserve"> InputsTS!E$192</f>
        <v>IMF WEO April 2024 Copper, grade A cathode, LME spot price, CIF European ports,</v>
      </c>
      <c r="F36" s="76">
        <f xml:space="preserve"> InputsTS!F$192</f>
        <v>0</v>
      </c>
      <c r="G36" s="76" t="str">
        <f xml:space="preserve"> InputsTS!G$192</f>
        <v>US$ per metric tonne</v>
      </c>
      <c r="H36" s="76">
        <f xml:space="preserve"> InputsTS!H$192</f>
        <v>0</v>
      </c>
      <c r="I36" s="76" t="str">
        <f xml:space="preserve"> InputsTS!I$192</f>
        <v>to add, from WEO file</v>
      </c>
      <c r="J36" s="76">
        <f xml:space="preserve"> InputsTS!J$192</f>
        <v>0</v>
      </c>
      <c r="K36" s="76">
        <f xml:space="preserve"> InputsTS!K$192</f>
        <v>0</v>
      </c>
      <c r="L36" s="76">
        <f xml:space="preserve"> InputsTS!L$192</f>
        <v>6863.3969999999999</v>
      </c>
      <c r="M36" s="76">
        <f xml:space="preserve"> InputsTS!M$192</f>
        <v>5510.4570000000003</v>
      </c>
      <c r="N36" s="76">
        <f xml:space="preserve"> InputsTS!N$192</f>
        <v>4867.8969999999999</v>
      </c>
      <c r="O36" s="76">
        <f xml:space="preserve"> InputsTS!O$192</f>
        <v>6169.94</v>
      </c>
      <c r="P36" s="76">
        <f xml:space="preserve"> InputsTS!P$192</f>
        <v>6529.7979999999998</v>
      </c>
      <c r="Q36" s="76">
        <f xml:space="preserve"> InputsTS!Q$192</f>
        <v>6010.1450000000004</v>
      </c>
      <c r="R36" s="76">
        <f xml:space="preserve"> InputsTS!R$192</f>
        <v>6174.558</v>
      </c>
      <c r="S36" s="76">
        <f xml:space="preserve"> InputsTS!S$192</f>
        <v>9317.4089999999997</v>
      </c>
      <c r="T36" s="76">
        <f xml:space="preserve"> InputsTS!T$192</f>
        <v>8828.9169999999995</v>
      </c>
      <c r="U36" s="76">
        <f xml:space="preserve"> InputsTS!U$192</f>
        <v>8490.7620000000006</v>
      </c>
      <c r="V36" s="76">
        <f xml:space="preserve"> InputsTS!V$192</f>
        <v>8550.723</v>
      </c>
      <c r="W36" s="76">
        <f xml:space="preserve"> InputsTS!W$192</f>
        <v>0</v>
      </c>
      <c r="X36" s="76">
        <f xml:space="preserve"> InputsTS!X$192</f>
        <v>0</v>
      </c>
      <c r="Y36" s="76">
        <f xml:space="preserve"> InputsTS!Y$192</f>
        <v>0</v>
      </c>
      <c r="Z36" s="76">
        <f xml:space="preserve"> InputsTS!Z$192</f>
        <v>0</v>
      </c>
      <c r="AA36" s="76">
        <f xml:space="preserve"> InputsTS!AA$192</f>
        <v>0</v>
      </c>
      <c r="AB36" s="76">
        <f xml:space="preserve"> InputsTS!AB$192</f>
        <v>0</v>
      </c>
      <c r="AC36" s="76">
        <f xml:space="preserve"> InputsTS!AC$192</f>
        <v>0</v>
      </c>
      <c r="AD36" s="76">
        <f xml:space="preserve"> InputsTS!AD$192</f>
        <v>0</v>
      </c>
      <c r="AE36" s="76">
        <f xml:space="preserve"> InputsTS!AE$192</f>
        <v>0</v>
      </c>
      <c r="AF36" s="76">
        <f xml:space="preserve"> InputsTS!AF$192</f>
        <v>0</v>
      </c>
      <c r="AG36" s="76">
        <f xml:space="preserve"> InputsTS!AG$192</f>
        <v>0</v>
      </c>
      <c r="AH36" s="76">
        <f xml:space="preserve"> InputsTS!AH$192</f>
        <v>0</v>
      </c>
      <c r="AI36" s="76">
        <f xml:space="preserve"> InputsTS!AI$192</f>
        <v>0</v>
      </c>
      <c r="AJ36" s="76">
        <f xml:space="preserve"> InputsTS!AJ$192</f>
        <v>0</v>
      </c>
      <c r="AK36" s="76">
        <f xml:space="preserve"> InputsTS!AK$192</f>
        <v>0</v>
      </c>
      <c r="AL36" s="76">
        <f xml:space="preserve"> InputsTS!AL$192</f>
        <v>0</v>
      </c>
      <c r="AM36" s="76">
        <f xml:space="preserve"> InputsTS!AM$192</f>
        <v>0</v>
      </c>
      <c r="AN36" s="76">
        <f xml:space="preserve"> InputsTS!AN$192</f>
        <v>0</v>
      </c>
      <c r="AO36" s="76">
        <f xml:space="preserve"> InputsTS!AO$192</f>
        <v>0</v>
      </c>
      <c r="AP36" s="76">
        <f xml:space="preserve"> InputsTS!AP$192</f>
        <v>0</v>
      </c>
      <c r="AQ36" s="76">
        <f xml:space="preserve"> InputsTS!AQ$192</f>
        <v>0</v>
      </c>
      <c r="AR36" s="76">
        <f xml:space="preserve"> InputsTS!AR$192</f>
        <v>0</v>
      </c>
      <c r="AS36" s="76">
        <f xml:space="preserve"> InputsTS!AS$192</f>
        <v>0</v>
      </c>
      <c r="AT36" s="76">
        <f xml:space="preserve"> InputsTS!AT$192</f>
        <v>0</v>
      </c>
      <c r="AU36" s="76">
        <f xml:space="preserve"> InputsTS!AU$192</f>
        <v>0</v>
      </c>
      <c r="AV36" s="76">
        <f xml:space="preserve"> InputsTS!AV$192</f>
        <v>0</v>
      </c>
    </row>
    <row r="37" spans="1:48" s="266" customFormat="1" ht="15" customHeight="1">
      <c r="A37" s="265"/>
      <c r="B37" s="262"/>
      <c r="C37" s="313"/>
      <c r="D37" s="319"/>
      <c r="E37" s="46"/>
      <c r="F37" s="258"/>
      <c r="G37" s="258"/>
      <c r="H37" s="258"/>
      <c r="I37" s="258"/>
      <c r="J37" s="258"/>
      <c r="K37" s="258"/>
      <c r="L37" s="258"/>
      <c r="M37" s="258"/>
      <c r="N37" s="258"/>
      <c r="O37" s="258"/>
      <c r="P37" s="258"/>
      <c r="Q37" s="258"/>
      <c r="R37" s="258"/>
      <c r="S37" s="258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258"/>
      <c r="AG37" s="258"/>
      <c r="AH37" s="258"/>
      <c r="AI37" s="258"/>
      <c r="AJ37" s="258"/>
      <c r="AK37" s="258"/>
      <c r="AL37" s="258"/>
      <c r="AM37" s="258"/>
      <c r="AN37" s="258"/>
      <c r="AO37" s="258"/>
      <c r="AP37" s="258"/>
      <c r="AQ37" s="258"/>
      <c r="AR37" s="258"/>
      <c r="AS37" s="258"/>
      <c r="AT37" s="258"/>
      <c r="AU37" s="258"/>
      <c r="AV37" s="258"/>
    </row>
    <row r="38" spans="1:48" s="266" customFormat="1" ht="15" customHeight="1">
      <c r="A38" s="265"/>
      <c r="B38" s="262"/>
      <c r="C38" s="313" t="s">
        <v>626</v>
      </c>
      <c r="D38" s="319"/>
      <c r="E38" s="46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  <c r="AG38" s="258"/>
      <c r="AH38" s="258"/>
      <c r="AI38" s="258"/>
      <c r="AJ38" s="258"/>
      <c r="AK38" s="258"/>
      <c r="AL38" s="258"/>
      <c r="AM38" s="258"/>
      <c r="AN38" s="258"/>
      <c r="AO38" s="258"/>
      <c r="AP38" s="258"/>
      <c r="AQ38" s="258"/>
      <c r="AR38" s="258"/>
      <c r="AS38" s="258"/>
      <c r="AT38" s="258"/>
      <c r="AU38" s="258"/>
      <c r="AV38" s="258"/>
    </row>
    <row r="39" spans="1:48" s="266" customFormat="1" ht="15" customHeight="1">
      <c r="A39" s="265"/>
      <c r="B39" s="262"/>
      <c r="C39" s="313"/>
      <c r="D39" s="319"/>
      <c r="E39" s="39" t="str">
        <f xml:space="preserve"> InputsCon!E$38</f>
        <v>Copper forecast price</v>
      </c>
      <c r="F39" s="526" t="str">
        <f xml:space="preserve"> InputsCon!F$38</f>
        <v>IMF_WEO</v>
      </c>
      <c r="G39" s="39" t="str">
        <f xml:space="preserve"> InputsCon!G$38</f>
        <v>option selected</v>
      </c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58"/>
      <c r="AJ39" s="258"/>
      <c r="AK39" s="258"/>
      <c r="AL39" s="258"/>
      <c r="AM39" s="258"/>
      <c r="AN39" s="258"/>
      <c r="AO39" s="258"/>
      <c r="AP39" s="258"/>
      <c r="AQ39" s="258"/>
      <c r="AR39" s="258"/>
      <c r="AS39" s="258"/>
      <c r="AT39" s="258"/>
      <c r="AU39" s="258"/>
      <c r="AV39" s="258"/>
    </row>
    <row r="40" spans="1:48" s="267" customFormat="1" ht="15" customHeight="1">
      <c r="B40" s="359"/>
      <c r="C40" s="360"/>
      <c r="D40" s="525"/>
      <c r="E40" s="76" t="str">
        <f xml:space="preserve"> InputsTS!E$231</f>
        <v>Cu forecast: IMF_WEO</v>
      </c>
      <c r="F40" s="300" t="str">
        <f xml:space="preserve"> InputsTS!F$231</f>
        <v>IMF_WEO</v>
      </c>
      <c r="G40" s="76" t="str">
        <f xml:space="preserve"> InputsTS!G$231</f>
        <v>$ / tonne</v>
      </c>
      <c r="H40" s="76">
        <f xml:space="preserve"> InputsTS!H$231</f>
        <v>0</v>
      </c>
      <c r="I40" s="76">
        <f xml:space="preserve"> InputsTS!I$231</f>
        <v>0</v>
      </c>
      <c r="J40" s="76">
        <f xml:space="preserve"> InputsTS!J$231</f>
        <v>0</v>
      </c>
      <c r="K40" s="76">
        <f xml:space="preserve"> InputsTS!K$231</f>
        <v>0</v>
      </c>
      <c r="L40" s="76">
        <f xml:space="preserve"> InputsTS!L$231</f>
        <v>6863.3969999999999</v>
      </c>
      <c r="M40" s="76">
        <f xml:space="preserve"> InputsTS!M$231</f>
        <v>5510.4570000000003</v>
      </c>
      <c r="N40" s="76">
        <f xml:space="preserve"> InputsTS!N$231</f>
        <v>4867.8969999999999</v>
      </c>
      <c r="O40" s="76">
        <f xml:space="preserve"> InputsTS!O$231</f>
        <v>6169.94</v>
      </c>
      <c r="P40" s="76">
        <f xml:space="preserve"> InputsTS!P$231</f>
        <v>6529.7979999999998</v>
      </c>
      <c r="Q40" s="76">
        <f xml:space="preserve"> InputsTS!Q$231</f>
        <v>6010.1450000000004</v>
      </c>
      <c r="R40" s="76">
        <f xml:space="preserve"> InputsTS!R$231</f>
        <v>6174.558</v>
      </c>
      <c r="S40" s="76">
        <f xml:space="preserve"> InputsTS!S$231</f>
        <v>9317.4089999999997</v>
      </c>
      <c r="T40" s="76">
        <f xml:space="preserve"> InputsTS!T$231</f>
        <v>8828.9169999999995</v>
      </c>
      <c r="U40" s="76">
        <f xml:space="preserve"> InputsTS!U$231</f>
        <v>8490.7620000000006</v>
      </c>
      <c r="V40" s="76">
        <f xml:space="preserve"> InputsTS!V$231</f>
        <v>8550.723</v>
      </c>
      <c r="W40" s="76">
        <f xml:space="preserve"> InputsTS!W$231</f>
        <v>8661.2289999999994</v>
      </c>
      <c r="X40" s="76">
        <f xml:space="preserve"> InputsTS!X$231</f>
        <v>8676.2919999999995</v>
      </c>
      <c r="Y40" s="76">
        <f xml:space="preserve"> InputsTS!Y$231</f>
        <v>8667.75</v>
      </c>
      <c r="Z40" s="76">
        <f xml:space="preserve"> InputsTS!Z$231</f>
        <v>8655.625</v>
      </c>
      <c r="AA40" s="76">
        <f xml:space="preserve"> InputsTS!AA$231</f>
        <v>8668.5</v>
      </c>
      <c r="AB40" s="76">
        <f xml:space="preserve"> InputsTS!AB$231</f>
        <v>8857.0316499289966</v>
      </c>
      <c r="AC40" s="76">
        <f xml:space="preserve"> InputsTS!AC$231</f>
        <v>9034.1722829275768</v>
      </c>
      <c r="AD40" s="76">
        <f xml:space="preserve"> InputsTS!AD$231</f>
        <v>9214.855728586128</v>
      </c>
      <c r="AE40" s="76">
        <f xml:space="preserve"> InputsTS!AE$231</f>
        <v>9399.1528431578517</v>
      </c>
      <c r="AF40" s="76">
        <f xml:space="preserve"> InputsTS!AF$231</f>
        <v>9587.1359000210068</v>
      </c>
      <c r="AG40" s="76">
        <f xml:space="preserve"> InputsTS!AG$231</f>
        <v>9778.8786180214283</v>
      </c>
      <c r="AH40" s="76">
        <f xml:space="preserve"> InputsTS!AH$231</f>
        <v>9974.4561903818576</v>
      </c>
      <c r="AI40" s="76">
        <f xml:space="preserve"> InputsTS!AI$231</f>
        <v>10173.945314189496</v>
      </c>
      <c r="AJ40" s="76">
        <f xml:space="preserve"> InputsTS!AJ$231</f>
        <v>10377.424220473287</v>
      </c>
      <c r="AK40" s="76">
        <f xml:space="preserve"> InputsTS!AK$231</f>
        <v>10584.972704882754</v>
      </c>
      <c r="AL40" s="76">
        <f xml:space="preserve"> InputsTS!AL$231</f>
        <v>10796.672158980407</v>
      </c>
      <c r="AM40" s="76">
        <f xml:space="preserve"> InputsTS!AM$231</f>
        <v>11012.605602160016</v>
      </c>
      <c r="AN40" s="76">
        <f xml:space="preserve"> InputsTS!AN$231</f>
        <v>11232.857714203217</v>
      </c>
      <c r="AO40" s="76">
        <f xml:space="preserve"> InputsTS!AO$231</f>
        <v>11457.514868487282</v>
      </c>
      <c r="AP40" s="76">
        <f xml:space="preserve"> InputsTS!AP$231</f>
        <v>11686.665165857026</v>
      </c>
      <c r="AQ40" s="76">
        <f xml:space="preserve"> InputsTS!AQ$231</f>
        <v>11920.398469174168</v>
      </c>
      <c r="AR40" s="76">
        <f xml:space="preserve"> InputsTS!AR$231</f>
        <v>12158.806438557651</v>
      </c>
      <c r="AS40" s="76">
        <f xml:space="preserve"> InputsTS!AS$231</f>
        <v>12401.982567328805</v>
      </c>
      <c r="AT40" s="76">
        <f xml:space="preserve"> InputsTS!AT$231</f>
        <v>12650.022218675384</v>
      </c>
      <c r="AU40" s="76">
        <f xml:space="preserve"> InputsTS!AU$231</f>
        <v>12903.022663048891</v>
      </c>
      <c r="AV40" s="76">
        <f xml:space="preserve"> InputsTS!AV$231</f>
        <v>13161.083116309868</v>
      </c>
    </row>
    <row r="41" spans="1:48" s="266" customFormat="1" ht="15" customHeight="1">
      <c r="A41" s="265"/>
      <c r="B41" s="262"/>
      <c r="C41" s="313"/>
      <c r="D41" s="319"/>
      <c r="E41" s="46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58"/>
      <c r="AJ41" s="258"/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  <c r="AV41" s="258"/>
    </row>
    <row r="42" spans="1:48" s="266" customFormat="1" ht="15" customHeight="1">
      <c r="A42" s="265"/>
      <c r="B42" s="262"/>
      <c r="C42" s="313"/>
      <c r="D42" s="319"/>
      <c r="E42" s="266" t="str">
        <f>"Copper actual &amp; forecast price: " &amp; $F39</f>
        <v>Copper actual &amp; forecast price: IMF_WEO</v>
      </c>
      <c r="G42" s="266" t="s">
        <v>14</v>
      </c>
      <c r="L42" s="266">
        <f t="shared" ref="L42:AV42" si="10">IF(L36 &gt; 0, L36, L40 )</f>
        <v>6863.3969999999999</v>
      </c>
      <c r="M42" s="266">
        <f t="shared" si="10"/>
        <v>5510.4570000000003</v>
      </c>
      <c r="N42" s="266">
        <f t="shared" si="10"/>
        <v>4867.8969999999999</v>
      </c>
      <c r="O42" s="266">
        <f t="shared" si="10"/>
        <v>6169.94</v>
      </c>
      <c r="P42" s="266">
        <f t="shared" si="10"/>
        <v>6529.7979999999998</v>
      </c>
      <c r="Q42" s="266">
        <f t="shared" si="10"/>
        <v>6010.1450000000004</v>
      </c>
      <c r="R42" s="266">
        <f t="shared" si="10"/>
        <v>6174.558</v>
      </c>
      <c r="S42" s="266">
        <f t="shared" si="10"/>
        <v>9317.4089999999997</v>
      </c>
      <c r="T42" s="266">
        <f t="shared" si="10"/>
        <v>8828.9169999999995</v>
      </c>
      <c r="U42" s="266">
        <f t="shared" si="10"/>
        <v>8490.7620000000006</v>
      </c>
      <c r="V42" s="266">
        <f t="shared" si="10"/>
        <v>8550.723</v>
      </c>
      <c r="W42" s="266">
        <f t="shared" si="10"/>
        <v>8661.2289999999994</v>
      </c>
      <c r="X42" s="266">
        <f t="shared" si="10"/>
        <v>8676.2919999999995</v>
      </c>
      <c r="Y42" s="266">
        <f t="shared" si="10"/>
        <v>8667.75</v>
      </c>
      <c r="Z42" s="266">
        <f t="shared" si="10"/>
        <v>8655.625</v>
      </c>
      <c r="AA42" s="266">
        <f t="shared" si="10"/>
        <v>8668.5</v>
      </c>
      <c r="AB42" s="266">
        <f t="shared" si="10"/>
        <v>8857.0316499289966</v>
      </c>
      <c r="AC42" s="266">
        <f t="shared" si="10"/>
        <v>9034.1722829275768</v>
      </c>
      <c r="AD42" s="266">
        <f t="shared" si="10"/>
        <v>9214.855728586128</v>
      </c>
      <c r="AE42" s="266">
        <f t="shared" si="10"/>
        <v>9399.1528431578517</v>
      </c>
      <c r="AF42" s="266">
        <f t="shared" si="10"/>
        <v>9587.1359000210068</v>
      </c>
      <c r="AG42" s="266">
        <f t="shared" si="10"/>
        <v>9778.8786180214283</v>
      </c>
      <c r="AH42" s="266">
        <f t="shared" si="10"/>
        <v>9974.4561903818576</v>
      </c>
      <c r="AI42" s="266">
        <f t="shared" si="10"/>
        <v>10173.945314189496</v>
      </c>
      <c r="AJ42" s="266">
        <f t="shared" si="10"/>
        <v>10377.424220473287</v>
      </c>
      <c r="AK42" s="266">
        <f t="shared" si="10"/>
        <v>10584.972704882754</v>
      </c>
      <c r="AL42" s="266">
        <f t="shared" si="10"/>
        <v>10796.672158980407</v>
      </c>
      <c r="AM42" s="266">
        <f t="shared" si="10"/>
        <v>11012.605602160016</v>
      </c>
      <c r="AN42" s="266">
        <f t="shared" si="10"/>
        <v>11232.857714203217</v>
      </c>
      <c r="AO42" s="266">
        <f t="shared" si="10"/>
        <v>11457.514868487282</v>
      </c>
      <c r="AP42" s="266">
        <f t="shared" si="10"/>
        <v>11686.665165857026</v>
      </c>
      <c r="AQ42" s="266">
        <f t="shared" si="10"/>
        <v>11920.398469174168</v>
      </c>
      <c r="AR42" s="266">
        <f t="shared" si="10"/>
        <v>12158.806438557651</v>
      </c>
      <c r="AS42" s="266">
        <f t="shared" si="10"/>
        <v>12401.982567328805</v>
      </c>
      <c r="AT42" s="266">
        <f t="shared" si="10"/>
        <v>12650.022218675384</v>
      </c>
      <c r="AU42" s="266">
        <f t="shared" si="10"/>
        <v>12903.022663048891</v>
      </c>
      <c r="AV42" s="266">
        <f t="shared" si="10"/>
        <v>13161.083116309868</v>
      </c>
    </row>
    <row r="43" spans="1:48" s="266" customFormat="1" ht="15" customHeight="1">
      <c r="A43" s="261"/>
      <c r="B43" s="255"/>
      <c r="C43" s="312"/>
      <c r="D43" s="319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</row>
    <row r="44" spans="1:48" s="266" customFormat="1" ht="15" customHeight="1">
      <c r="A44" s="261"/>
      <c r="B44" s="255" t="s">
        <v>633</v>
      </c>
      <c r="C44" s="312"/>
      <c r="D44" s="319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</row>
    <row r="45" spans="1:48" s="267" customFormat="1" ht="15" customHeight="1">
      <c r="B45" s="359"/>
      <c r="C45" s="360"/>
      <c r="D45" s="525"/>
      <c r="E45" s="76" t="str">
        <f xml:space="preserve"> InputsTS!E$184</f>
        <v>Weighted average actual realised copper price (MinMin)</v>
      </c>
      <c r="F45" s="76">
        <f xml:space="preserve"> InputsTS!F$184</f>
        <v>0</v>
      </c>
      <c r="G45" s="76" t="str">
        <f xml:space="preserve"> InputsTS!G$184</f>
        <v>$ / tonne</v>
      </c>
      <c r="H45" s="76">
        <f xml:space="preserve"> InputsTS!H$184</f>
        <v>0</v>
      </c>
      <c r="I45" s="76" t="str">
        <f xml:space="preserve"> InputsTS!I$184</f>
        <v>III</v>
      </c>
      <c r="J45" s="76">
        <f xml:space="preserve"> InputsTS!J$184</f>
        <v>0</v>
      </c>
      <c r="K45" s="76">
        <f xml:space="preserve"> InputsTS!K$184</f>
        <v>0</v>
      </c>
      <c r="L45" s="76">
        <f xml:space="preserve"> InputsTS!L$184</f>
        <v>0</v>
      </c>
      <c r="M45" s="76">
        <f xml:space="preserve"> InputsTS!M$184</f>
        <v>0</v>
      </c>
      <c r="N45" s="76">
        <f xml:space="preserve"> InputsTS!N$184</f>
        <v>0</v>
      </c>
      <c r="O45" s="76">
        <f xml:space="preserve"> InputsTS!O$184</f>
        <v>0</v>
      </c>
      <c r="P45" s="76">
        <f xml:space="preserve"> InputsTS!P$184</f>
        <v>6495.8937779807957</v>
      </c>
      <c r="Q45" s="76">
        <f xml:space="preserve"> InputsTS!Q$184</f>
        <v>6002.3410912525615</v>
      </c>
      <c r="R45" s="76">
        <f xml:space="preserve"> InputsTS!R$184</f>
        <v>5830.4841091079497</v>
      </c>
      <c r="S45" s="76">
        <f xml:space="preserve"> InputsTS!S$184</f>
        <v>9162.9230906790654</v>
      </c>
      <c r="T45" s="76">
        <f xml:space="preserve"> InputsTS!T$184</f>
        <v>0</v>
      </c>
      <c r="U45" s="76">
        <f xml:space="preserve"> InputsTS!U$184</f>
        <v>0</v>
      </c>
      <c r="V45" s="76">
        <f xml:space="preserve"> InputsTS!V$184</f>
        <v>0</v>
      </c>
      <c r="W45" s="76">
        <f xml:space="preserve"> InputsTS!W$184</f>
        <v>0</v>
      </c>
      <c r="X45" s="76">
        <f xml:space="preserve"> InputsTS!X$184</f>
        <v>0</v>
      </c>
      <c r="Y45" s="76">
        <f xml:space="preserve"> InputsTS!Y$184</f>
        <v>0</v>
      </c>
      <c r="Z45" s="76">
        <f xml:space="preserve"> InputsTS!Z$184</f>
        <v>0</v>
      </c>
      <c r="AA45" s="76">
        <f xml:space="preserve"> InputsTS!AA$184</f>
        <v>0</v>
      </c>
      <c r="AB45" s="76">
        <f xml:space="preserve"> InputsTS!AB$184</f>
        <v>0</v>
      </c>
      <c r="AC45" s="76">
        <f xml:space="preserve"> InputsTS!AC$184</f>
        <v>0</v>
      </c>
      <c r="AD45" s="76">
        <f xml:space="preserve"> InputsTS!AD$184</f>
        <v>0</v>
      </c>
      <c r="AE45" s="76">
        <f xml:space="preserve"> InputsTS!AE$184</f>
        <v>0</v>
      </c>
      <c r="AF45" s="76">
        <f xml:space="preserve"> InputsTS!AF$184</f>
        <v>0</v>
      </c>
      <c r="AG45" s="76">
        <f xml:space="preserve"> InputsTS!AG$184</f>
        <v>0</v>
      </c>
      <c r="AH45" s="76">
        <f xml:space="preserve"> InputsTS!AH$184</f>
        <v>0</v>
      </c>
      <c r="AI45" s="76">
        <f xml:space="preserve"> InputsTS!AI$184</f>
        <v>0</v>
      </c>
      <c r="AJ45" s="76">
        <f xml:space="preserve"> InputsTS!AJ$184</f>
        <v>0</v>
      </c>
      <c r="AK45" s="76">
        <f xml:space="preserve"> InputsTS!AK$184</f>
        <v>0</v>
      </c>
      <c r="AL45" s="76">
        <f xml:space="preserve"> InputsTS!AL$184</f>
        <v>0</v>
      </c>
      <c r="AM45" s="76">
        <f xml:space="preserve"> InputsTS!AM$184</f>
        <v>0</v>
      </c>
      <c r="AN45" s="76">
        <f xml:space="preserve"> InputsTS!AN$184</f>
        <v>0</v>
      </c>
      <c r="AO45" s="76">
        <f xml:space="preserve"> InputsTS!AO$184</f>
        <v>0</v>
      </c>
      <c r="AP45" s="76">
        <f xml:space="preserve"> InputsTS!AP$184</f>
        <v>0</v>
      </c>
      <c r="AQ45" s="76">
        <f xml:space="preserve"> InputsTS!AQ$184</f>
        <v>0</v>
      </c>
      <c r="AR45" s="76">
        <f xml:space="preserve"> InputsTS!AR$184</f>
        <v>0</v>
      </c>
      <c r="AS45" s="76">
        <f xml:space="preserve"> InputsTS!AS$184</f>
        <v>0</v>
      </c>
      <c r="AT45" s="76">
        <f xml:space="preserve"> InputsTS!AT$184</f>
        <v>0</v>
      </c>
      <c r="AU45" s="76">
        <f xml:space="preserve"> InputsTS!AU$184</f>
        <v>0</v>
      </c>
      <c r="AV45" s="76">
        <f xml:space="preserve"> InputsTS!AV$184</f>
        <v>0</v>
      </c>
    </row>
    <row r="46" spans="1:48" s="266" customFormat="1" ht="15" customHeight="1">
      <c r="A46" s="265"/>
      <c r="B46" s="262"/>
      <c r="C46" s="313"/>
      <c r="D46" s="319"/>
      <c r="E46" s="46" t="s">
        <v>627</v>
      </c>
      <c r="F46" s="258"/>
      <c r="G46" s="323" t="s">
        <v>14</v>
      </c>
      <c r="H46" s="258"/>
      <c r="I46" s="258"/>
      <c r="J46" s="258"/>
      <c r="K46" s="258"/>
      <c r="L46" s="6">
        <f t="shared" ref="L46:AV46" si="11" xml:space="preserve"> L45</f>
        <v>0</v>
      </c>
      <c r="M46" s="6">
        <f t="shared" si="11"/>
        <v>0</v>
      </c>
      <c r="N46" s="6">
        <f t="shared" si="11"/>
        <v>0</v>
      </c>
      <c r="O46" s="6">
        <f t="shared" si="11"/>
        <v>0</v>
      </c>
      <c r="P46" s="6">
        <f t="shared" si="11"/>
        <v>6495.8937779807957</v>
      </c>
      <c r="Q46" s="6">
        <f t="shared" si="11"/>
        <v>6002.3410912525615</v>
      </c>
      <c r="R46" s="6">
        <f t="shared" si="11"/>
        <v>5830.4841091079497</v>
      </c>
      <c r="S46" s="6">
        <f t="shared" si="11"/>
        <v>9162.9230906790654</v>
      </c>
      <c r="T46" s="6">
        <f t="shared" si="11"/>
        <v>0</v>
      </c>
      <c r="U46" s="6">
        <f t="shared" si="11"/>
        <v>0</v>
      </c>
      <c r="V46" s="6">
        <f t="shared" si="11"/>
        <v>0</v>
      </c>
      <c r="W46" s="6">
        <f t="shared" si="11"/>
        <v>0</v>
      </c>
      <c r="X46" s="6">
        <f t="shared" si="11"/>
        <v>0</v>
      </c>
      <c r="Y46" s="6">
        <f t="shared" si="11"/>
        <v>0</v>
      </c>
      <c r="Z46" s="6">
        <f t="shared" si="11"/>
        <v>0</v>
      </c>
      <c r="AA46" s="6">
        <f t="shared" si="11"/>
        <v>0</v>
      </c>
      <c r="AB46" s="6">
        <f t="shared" si="11"/>
        <v>0</v>
      </c>
      <c r="AC46" s="6">
        <f t="shared" si="11"/>
        <v>0</v>
      </c>
      <c r="AD46" s="6">
        <f t="shared" si="11"/>
        <v>0</v>
      </c>
      <c r="AE46" s="6">
        <f t="shared" si="11"/>
        <v>0</v>
      </c>
      <c r="AF46" s="6">
        <f t="shared" si="11"/>
        <v>0</v>
      </c>
      <c r="AG46" s="6">
        <f t="shared" si="11"/>
        <v>0</v>
      </c>
      <c r="AH46" s="6">
        <f t="shared" si="11"/>
        <v>0</v>
      </c>
      <c r="AI46" s="6">
        <f t="shared" si="11"/>
        <v>0</v>
      </c>
      <c r="AJ46" s="6">
        <f t="shared" si="11"/>
        <v>0</v>
      </c>
      <c r="AK46" s="6">
        <f t="shared" si="11"/>
        <v>0</v>
      </c>
      <c r="AL46" s="6">
        <f t="shared" si="11"/>
        <v>0</v>
      </c>
      <c r="AM46" s="6">
        <f t="shared" si="11"/>
        <v>0</v>
      </c>
      <c r="AN46" s="6">
        <f t="shared" si="11"/>
        <v>0</v>
      </c>
      <c r="AO46" s="6">
        <f t="shared" si="11"/>
        <v>0</v>
      </c>
      <c r="AP46" s="6">
        <f t="shared" si="11"/>
        <v>0</v>
      </c>
      <c r="AQ46" s="6">
        <f t="shared" si="11"/>
        <v>0</v>
      </c>
      <c r="AR46" s="6">
        <f t="shared" si="11"/>
        <v>0</v>
      </c>
      <c r="AS46" s="6">
        <f t="shared" si="11"/>
        <v>0</v>
      </c>
      <c r="AT46" s="6">
        <f t="shared" si="11"/>
        <v>0</v>
      </c>
      <c r="AU46" s="6">
        <f t="shared" si="11"/>
        <v>0</v>
      </c>
      <c r="AV46" s="6">
        <f t="shared" si="11"/>
        <v>0</v>
      </c>
    </row>
    <row r="47" spans="1:48" s="266" customFormat="1" ht="15" customHeight="1">
      <c r="A47" s="261"/>
      <c r="B47" s="255"/>
      <c r="C47" s="312"/>
      <c r="D47" s="319"/>
      <c r="E47" s="262"/>
      <c r="F47" s="262"/>
      <c r="G47" s="262"/>
      <c r="H47" s="262"/>
      <c r="I47" s="262"/>
      <c r="J47" s="262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</row>
    <row r="48" spans="1:48" s="266" customFormat="1" ht="15" customHeight="1">
      <c r="A48" s="261"/>
      <c r="B48" s="255" t="s">
        <v>618</v>
      </c>
      <c r="C48" s="312"/>
      <c r="D48" s="319"/>
      <c r="E48" s="262"/>
      <c r="H48" s="262"/>
      <c r="I48" s="262"/>
      <c r="J48" s="262"/>
      <c r="K48" s="262"/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</row>
    <row r="49" spans="1:48" s="266" customFormat="1" ht="15" customHeight="1">
      <c r="A49" s="261"/>
      <c r="B49" s="255"/>
      <c r="C49" s="313" t="s">
        <v>724</v>
      </c>
      <c r="D49" s="319"/>
      <c r="E49" s="262"/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</row>
    <row r="50" spans="1:48" s="266" customFormat="1" ht="15" customHeight="1">
      <c r="A50" s="261"/>
      <c r="B50" s="255"/>
      <c r="C50" s="312"/>
      <c r="D50" s="319"/>
      <c r="E50" s="266" t="s">
        <v>724</v>
      </c>
      <c r="F50" s="318" t="s">
        <v>728</v>
      </c>
      <c r="G50" s="266" t="s">
        <v>518</v>
      </c>
      <c r="H50" s="262"/>
      <c r="I50" s="262"/>
      <c r="J50" s="262"/>
      <c r="K50" s="262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</row>
    <row r="51" spans="1:48" s="266" customFormat="1" ht="15" customHeight="1">
      <c r="A51" s="265"/>
      <c r="B51" s="262"/>
      <c r="C51" s="313"/>
      <c r="D51" s="319"/>
      <c r="E51" s="98" t="str">
        <f t="shared" ref="E51:AV51" si="12" xml:space="preserve"> E$46</f>
        <v>Combined realized Cu prices</v>
      </c>
      <c r="F51" s="98">
        <f t="shared" si="12"/>
        <v>0</v>
      </c>
      <c r="G51" s="98" t="str">
        <f t="shared" si="12"/>
        <v>$ / tonne</v>
      </c>
      <c r="H51" s="98">
        <f t="shared" si="12"/>
        <v>0</v>
      </c>
      <c r="I51" s="98">
        <f t="shared" si="12"/>
        <v>0</v>
      </c>
      <c r="J51" s="98">
        <f t="shared" si="12"/>
        <v>0</v>
      </c>
      <c r="K51" s="98">
        <f t="shared" si="12"/>
        <v>0</v>
      </c>
      <c r="L51" s="98">
        <f t="shared" si="12"/>
        <v>0</v>
      </c>
      <c r="M51" s="98">
        <f t="shared" si="12"/>
        <v>0</v>
      </c>
      <c r="N51" s="98">
        <f t="shared" si="12"/>
        <v>0</v>
      </c>
      <c r="O51" s="98">
        <f t="shared" si="12"/>
        <v>0</v>
      </c>
      <c r="P51" s="98">
        <f t="shared" si="12"/>
        <v>6495.8937779807957</v>
      </c>
      <c r="Q51" s="98">
        <f t="shared" si="12"/>
        <v>6002.3410912525615</v>
      </c>
      <c r="R51" s="98">
        <f t="shared" si="12"/>
        <v>5830.4841091079497</v>
      </c>
      <c r="S51" s="98">
        <f t="shared" si="12"/>
        <v>9162.9230906790654</v>
      </c>
      <c r="T51" s="98">
        <f t="shared" si="12"/>
        <v>0</v>
      </c>
      <c r="U51" s="98">
        <f t="shared" si="12"/>
        <v>0</v>
      </c>
      <c r="V51" s="98">
        <f t="shared" si="12"/>
        <v>0</v>
      </c>
      <c r="W51" s="98">
        <f t="shared" si="12"/>
        <v>0</v>
      </c>
      <c r="X51" s="98">
        <f t="shared" si="12"/>
        <v>0</v>
      </c>
      <c r="Y51" s="98">
        <f t="shared" si="12"/>
        <v>0</v>
      </c>
      <c r="Z51" s="98">
        <f t="shared" si="12"/>
        <v>0</v>
      </c>
      <c r="AA51" s="98">
        <f t="shared" si="12"/>
        <v>0</v>
      </c>
      <c r="AB51" s="98">
        <f t="shared" si="12"/>
        <v>0</v>
      </c>
      <c r="AC51" s="98">
        <f t="shared" si="12"/>
        <v>0</v>
      </c>
      <c r="AD51" s="98">
        <f t="shared" si="12"/>
        <v>0</v>
      </c>
      <c r="AE51" s="98">
        <f t="shared" si="12"/>
        <v>0</v>
      </c>
      <c r="AF51" s="98">
        <f t="shared" si="12"/>
        <v>0</v>
      </c>
      <c r="AG51" s="98">
        <f t="shared" si="12"/>
        <v>0</v>
      </c>
      <c r="AH51" s="98">
        <f t="shared" si="12"/>
        <v>0</v>
      </c>
      <c r="AI51" s="98">
        <f t="shared" si="12"/>
        <v>0</v>
      </c>
      <c r="AJ51" s="98">
        <f t="shared" si="12"/>
        <v>0</v>
      </c>
      <c r="AK51" s="98">
        <f t="shared" si="12"/>
        <v>0</v>
      </c>
      <c r="AL51" s="98">
        <f t="shared" si="12"/>
        <v>0</v>
      </c>
      <c r="AM51" s="98">
        <f t="shared" si="12"/>
        <v>0</v>
      </c>
      <c r="AN51" s="98">
        <f t="shared" si="12"/>
        <v>0</v>
      </c>
      <c r="AO51" s="98">
        <f t="shared" si="12"/>
        <v>0</v>
      </c>
      <c r="AP51" s="98">
        <f t="shared" si="12"/>
        <v>0</v>
      </c>
      <c r="AQ51" s="98">
        <f t="shared" si="12"/>
        <v>0</v>
      </c>
      <c r="AR51" s="98">
        <f t="shared" si="12"/>
        <v>0</v>
      </c>
      <c r="AS51" s="98">
        <f t="shared" si="12"/>
        <v>0</v>
      </c>
      <c r="AT51" s="98">
        <f t="shared" si="12"/>
        <v>0</v>
      </c>
      <c r="AU51" s="98">
        <f t="shared" si="12"/>
        <v>0</v>
      </c>
      <c r="AV51" s="98">
        <f t="shared" si="12"/>
        <v>0</v>
      </c>
    </row>
    <row r="52" spans="1:48" s="267" customFormat="1" ht="15" customHeight="1">
      <c r="B52" s="359"/>
      <c r="C52" s="360"/>
      <c r="D52" s="525"/>
      <c r="E52" s="76" t="str">
        <f xml:space="preserve"> InputsTS!E$192</f>
        <v>IMF WEO April 2024 Copper, grade A cathode, LME spot price, CIF European ports,</v>
      </c>
      <c r="F52" s="76">
        <f xml:space="preserve"> InputsTS!F$192</f>
        <v>0</v>
      </c>
      <c r="G52" s="76" t="str">
        <f xml:space="preserve"> InputsTS!G$192</f>
        <v>US$ per metric tonne</v>
      </c>
      <c r="H52" s="76">
        <f xml:space="preserve"> InputsTS!H$192</f>
        <v>0</v>
      </c>
      <c r="I52" s="76" t="str">
        <f xml:space="preserve"> InputsTS!I$192</f>
        <v>to add, from WEO file</v>
      </c>
      <c r="J52" s="76">
        <f xml:space="preserve"> InputsTS!J$192</f>
        <v>0</v>
      </c>
      <c r="K52" s="76">
        <f xml:space="preserve"> InputsTS!K$192</f>
        <v>0</v>
      </c>
      <c r="L52" s="76">
        <f xml:space="preserve"> InputsTS!L$192</f>
        <v>6863.3969999999999</v>
      </c>
      <c r="M52" s="76">
        <f xml:space="preserve"> InputsTS!M$192</f>
        <v>5510.4570000000003</v>
      </c>
      <c r="N52" s="76">
        <f xml:space="preserve"> InputsTS!N$192</f>
        <v>4867.8969999999999</v>
      </c>
      <c r="O52" s="76">
        <f xml:space="preserve"> InputsTS!O$192</f>
        <v>6169.94</v>
      </c>
      <c r="P52" s="76">
        <f xml:space="preserve"> InputsTS!P$192</f>
        <v>6529.7979999999998</v>
      </c>
      <c r="Q52" s="76">
        <f xml:space="preserve"> InputsTS!Q$192</f>
        <v>6010.1450000000004</v>
      </c>
      <c r="R52" s="76">
        <f xml:space="preserve"> InputsTS!R$192</f>
        <v>6174.558</v>
      </c>
      <c r="S52" s="76">
        <f xml:space="preserve"> InputsTS!S$192</f>
        <v>9317.4089999999997</v>
      </c>
      <c r="T52" s="76">
        <f xml:space="preserve"> InputsTS!T$192</f>
        <v>8828.9169999999995</v>
      </c>
      <c r="U52" s="76">
        <f xml:space="preserve"> InputsTS!U$192</f>
        <v>8490.7620000000006</v>
      </c>
      <c r="V52" s="76">
        <f xml:space="preserve"> InputsTS!V$192</f>
        <v>8550.723</v>
      </c>
      <c r="W52" s="76">
        <f xml:space="preserve"> InputsTS!W$192</f>
        <v>0</v>
      </c>
      <c r="X52" s="76">
        <f xml:space="preserve"> InputsTS!X$192</f>
        <v>0</v>
      </c>
      <c r="Y52" s="76">
        <f xml:space="preserve"> InputsTS!Y$192</f>
        <v>0</v>
      </c>
      <c r="Z52" s="76">
        <f xml:space="preserve"> InputsTS!Z$192</f>
        <v>0</v>
      </c>
      <c r="AA52" s="76">
        <f xml:space="preserve"> InputsTS!AA$192</f>
        <v>0</v>
      </c>
      <c r="AB52" s="76">
        <f xml:space="preserve"> InputsTS!AB$192</f>
        <v>0</v>
      </c>
      <c r="AC52" s="76">
        <f xml:space="preserve"> InputsTS!AC$192</f>
        <v>0</v>
      </c>
      <c r="AD52" s="76">
        <f xml:space="preserve"> InputsTS!AD$192</f>
        <v>0</v>
      </c>
      <c r="AE52" s="76">
        <f xml:space="preserve"> InputsTS!AE$192</f>
        <v>0</v>
      </c>
      <c r="AF52" s="76">
        <f xml:space="preserve"> InputsTS!AF$192</f>
        <v>0</v>
      </c>
      <c r="AG52" s="76">
        <f xml:space="preserve"> InputsTS!AG$192</f>
        <v>0</v>
      </c>
      <c r="AH52" s="76">
        <f xml:space="preserve"> InputsTS!AH$192</f>
        <v>0</v>
      </c>
      <c r="AI52" s="76">
        <f xml:space="preserve"> InputsTS!AI$192</f>
        <v>0</v>
      </c>
      <c r="AJ52" s="76">
        <f xml:space="preserve"> InputsTS!AJ$192</f>
        <v>0</v>
      </c>
      <c r="AK52" s="76">
        <f xml:space="preserve"> InputsTS!AK$192</f>
        <v>0</v>
      </c>
      <c r="AL52" s="76">
        <f xml:space="preserve"> InputsTS!AL$192</f>
        <v>0</v>
      </c>
      <c r="AM52" s="76">
        <f xml:space="preserve"> InputsTS!AM$192</f>
        <v>0</v>
      </c>
      <c r="AN52" s="76">
        <f xml:space="preserve"> InputsTS!AN$192</f>
        <v>0</v>
      </c>
      <c r="AO52" s="76">
        <f xml:space="preserve"> InputsTS!AO$192</f>
        <v>0</v>
      </c>
      <c r="AP52" s="76">
        <f xml:space="preserve"> InputsTS!AP$192</f>
        <v>0</v>
      </c>
      <c r="AQ52" s="76">
        <f xml:space="preserve"> InputsTS!AQ$192</f>
        <v>0</v>
      </c>
      <c r="AR52" s="76">
        <f xml:space="preserve"> InputsTS!AR$192</f>
        <v>0</v>
      </c>
      <c r="AS52" s="76">
        <f xml:space="preserve"> InputsTS!AS$192</f>
        <v>0</v>
      </c>
      <c r="AT52" s="76">
        <f xml:space="preserve"> InputsTS!AT$192</f>
        <v>0</v>
      </c>
      <c r="AU52" s="76">
        <f xml:space="preserve"> InputsTS!AU$192</f>
        <v>0</v>
      </c>
      <c r="AV52" s="76">
        <f xml:space="preserve"> InputsTS!AV$192</f>
        <v>0</v>
      </c>
    </row>
    <row r="53" spans="1:48" s="269" customFormat="1" ht="15" customHeight="1">
      <c r="A53" s="350"/>
      <c r="B53" s="356"/>
      <c r="C53" s="314"/>
      <c r="D53" s="847"/>
      <c r="E53" s="269" t="s">
        <v>523</v>
      </c>
      <c r="G53" s="98" t="s">
        <v>26</v>
      </c>
      <c r="K53" s="269">
        <f>IF(AND(K52&gt;0,K46&gt;0),K46/K52-1,0)</f>
        <v>0</v>
      </c>
      <c r="L53" s="362">
        <f t="shared" ref="L53:AV53" si="13" xml:space="preserve"> IFERROR(L51 / L52, 0)</f>
        <v>0</v>
      </c>
      <c r="M53" s="362">
        <f t="shared" si="13"/>
        <v>0</v>
      </c>
      <c r="N53" s="362">
        <f t="shared" si="13"/>
        <v>0</v>
      </c>
      <c r="O53" s="362">
        <f t="shared" si="13"/>
        <v>0</v>
      </c>
      <c r="P53" s="362">
        <f t="shared" si="13"/>
        <v>0.99480776862941178</v>
      </c>
      <c r="Q53" s="362">
        <f t="shared" si="13"/>
        <v>0.99870154401475519</v>
      </c>
      <c r="R53" s="362">
        <f t="shared" si="13"/>
        <v>0.94427554314137951</v>
      </c>
      <c r="S53" s="362">
        <f t="shared" si="13"/>
        <v>0.98341964924788272</v>
      </c>
      <c r="T53" s="362">
        <f t="shared" si="13"/>
        <v>0</v>
      </c>
      <c r="U53" s="362">
        <f t="shared" si="13"/>
        <v>0</v>
      </c>
      <c r="V53" s="362">
        <f t="shared" si="13"/>
        <v>0</v>
      </c>
      <c r="W53" s="362">
        <f t="shared" si="13"/>
        <v>0</v>
      </c>
      <c r="X53" s="362">
        <f t="shared" si="13"/>
        <v>0</v>
      </c>
      <c r="Y53" s="362">
        <f t="shared" si="13"/>
        <v>0</v>
      </c>
      <c r="Z53" s="362">
        <f t="shared" si="13"/>
        <v>0</v>
      </c>
      <c r="AA53" s="362">
        <f t="shared" si="13"/>
        <v>0</v>
      </c>
      <c r="AB53" s="362">
        <f t="shared" si="13"/>
        <v>0</v>
      </c>
      <c r="AC53" s="362">
        <f t="shared" si="13"/>
        <v>0</v>
      </c>
      <c r="AD53" s="362">
        <f t="shared" si="13"/>
        <v>0</v>
      </c>
      <c r="AE53" s="362">
        <f t="shared" si="13"/>
        <v>0</v>
      </c>
      <c r="AF53" s="362">
        <f t="shared" si="13"/>
        <v>0</v>
      </c>
      <c r="AG53" s="362">
        <f t="shared" si="13"/>
        <v>0</v>
      </c>
      <c r="AH53" s="362">
        <f t="shared" si="13"/>
        <v>0</v>
      </c>
      <c r="AI53" s="362">
        <f t="shared" si="13"/>
        <v>0</v>
      </c>
      <c r="AJ53" s="362">
        <f t="shared" si="13"/>
        <v>0</v>
      </c>
      <c r="AK53" s="362">
        <f t="shared" si="13"/>
        <v>0</v>
      </c>
      <c r="AL53" s="362">
        <f t="shared" si="13"/>
        <v>0</v>
      </c>
      <c r="AM53" s="362">
        <f t="shared" si="13"/>
        <v>0</v>
      </c>
      <c r="AN53" s="362">
        <f t="shared" si="13"/>
        <v>0</v>
      </c>
      <c r="AO53" s="362">
        <f t="shared" si="13"/>
        <v>0</v>
      </c>
      <c r="AP53" s="362">
        <f t="shared" si="13"/>
        <v>0</v>
      </c>
      <c r="AQ53" s="362">
        <f t="shared" si="13"/>
        <v>0</v>
      </c>
      <c r="AR53" s="362">
        <f t="shared" si="13"/>
        <v>0</v>
      </c>
      <c r="AS53" s="362">
        <f t="shared" si="13"/>
        <v>0</v>
      </c>
      <c r="AT53" s="362">
        <f t="shared" si="13"/>
        <v>0</v>
      </c>
      <c r="AU53" s="362">
        <f t="shared" si="13"/>
        <v>0</v>
      </c>
      <c r="AV53" s="362">
        <f t="shared" si="13"/>
        <v>0</v>
      </c>
    </row>
    <row r="54" spans="1:48" s="266" customFormat="1" ht="15" customHeight="1">
      <c r="A54" s="265"/>
      <c r="B54" s="262"/>
      <c r="C54" s="313"/>
      <c r="D54" s="319"/>
      <c r="E54" s="266" t="s">
        <v>617</v>
      </c>
      <c r="F54" s="269">
        <f xml:space="preserve"> AVERAGEIF(L53:AV53,"&lt;&gt; 0")</f>
        <v>0.9803011262583573</v>
      </c>
      <c r="G54" s="98" t="s">
        <v>26</v>
      </c>
    </row>
    <row r="55" spans="1:48" s="266" customFormat="1" ht="15" customHeight="1">
      <c r="A55" s="265"/>
      <c r="B55" s="262"/>
      <c r="C55" s="313"/>
      <c r="D55" s="319"/>
      <c r="F55" s="269"/>
      <c r="G55" s="98"/>
    </row>
    <row r="56" spans="1:48" s="266" customFormat="1" ht="15" customHeight="1">
      <c r="A56" s="265"/>
      <c r="B56" s="262"/>
      <c r="C56" s="313"/>
      <c r="D56" s="319"/>
      <c r="E56" s="266" t="str">
        <f t="shared" ref="E56:AV56" si="14" xml:space="preserve"> E$42</f>
        <v>Copper actual &amp; forecast price: IMF_WEO</v>
      </c>
      <c r="F56" s="266">
        <f t="shared" si="14"/>
        <v>0</v>
      </c>
      <c r="G56" s="266" t="str">
        <f t="shared" si="14"/>
        <v>$ / tonne</v>
      </c>
      <c r="H56" s="266">
        <f t="shared" si="14"/>
        <v>0</v>
      </c>
      <c r="I56" s="266">
        <f t="shared" si="14"/>
        <v>0</v>
      </c>
      <c r="J56" s="266">
        <f t="shared" si="14"/>
        <v>0</v>
      </c>
      <c r="K56" s="266">
        <f t="shared" si="14"/>
        <v>0</v>
      </c>
      <c r="L56" s="266">
        <f t="shared" si="14"/>
        <v>6863.3969999999999</v>
      </c>
      <c r="M56" s="266">
        <f t="shared" si="14"/>
        <v>5510.4570000000003</v>
      </c>
      <c r="N56" s="266">
        <f t="shared" si="14"/>
        <v>4867.8969999999999</v>
      </c>
      <c r="O56" s="266">
        <f t="shared" si="14"/>
        <v>6169.94</v>
      </c>
      <c r="P56" s="266">
        <f t="shared" si="14"/>
        <v>6529.7979999999998</v>
      </c>
      <c r="Q56" s="266">
        <f t="shared" si="14"/>
        <v>6010.1450000000004</v>
      </c>
      <c r="R56" s="266">
        <f t="shared" si="14"/>
        <v>6174.558</v>
      </c>
      <c r="S56" s="266">
        <f t="shared" si="14"/>
        <v>9317.4089999999997</v>
      </c>
      <c r="T56" s="266">
        <f t="shared" si="14"/>
        <v>8828.9169999999995</v>
      </c>
      <c r="U56" s="266">
        <f t="shared" si="14"/>
        <v>8490.7620000000006</v>
      </c>
      <c r="V56" s="266">
        <f t="shared" si="14"/>
        <v>8550.723</v>
      </c>
      <c r="W56" s="266">
        <f t="shared" si="14"/>
        <v>8661.2289999999994</v>
      </c>
      <c r="X56" s="266">
        <f t="shared" si="14"/>
        <v>8676.2919999999995</v>
      </c>
      <c r="Y56" s="266">
        <f t="shared" si="14"/>
        <v>8667.75</v>
      </c>
      <c r="Z56" s="266">
        <f t="shared" si="14"/>
        <v>8655.625</v>
      </c>
      <c r="AA56" s="266">
        <f t="shared" si="14"/>
        <v>8668.5</v>
      </c>
      <c r="AB56" s="266">
        <f t="shared" si="14"/>
        <v>8857.0316499289966</v>
      </c>
      <c r="AC56" s="266">
        <f t="shared" si="14"/>
        <v>9034.1722829275768</v>
      </c>
      <c r="AD56" s="266">
        <f t="shared" si="14"/>
        <v>9214.855728586128</v>
      </c>
      <c r="AE56" s="266">
        <f t="shared" si="14"/>
        <v>9399.1528431578517</v>
      </c>
      <c r="AF56" s="266">
        <f t="shared" si="14"/>
        <v>9587.1359000210068</v>
      </c>
      <c r="AG56" s="266">
        <f t="shared" si="14"/>
        <v>9778.8786180214283</v>
      </c>
      <c r="AH56" s="266">
        <f t="shared" si="14"/>
        <v>9974.4561903818576</v>
      </c>
      <c r="AI56" s="266">
        <f t="shared" si="14"/>
        <v>10173.945314189496</v>
      </c>
      <c r="AJ56" s="266">
        <f t="shared" si="14"/>
        <v>10377.424220473287</v>
      </c>
      <c r="AK56" s="266">
        <f t="shared" si="14"/>
        <v>10584.972704882754</v>
      </c>
      <c r="AL56" s="266">
        <f t="shared" si="14"/>
        <v>10796.672158980407</v>
      </c>
      <c r="AM56" s="266">
        <f t="shared" si="14"/>
        <v>11012.605602160016</v>
      </c>
      <c r="AN56" s="266">
        <f t="shared" si="14"/>
        <v>11232.857714203217</v>
      </c>
      <c r="AO56" s="266">
        <f t="shared" si="14"/>
        <v>11457.514868487282</v>
      </c>
      <c r="AP56" s="266">
        <f t="shared" si="14"/>
        <v>11686.665165857026</v>
      </c>
      <c r="AQ56" s="266">
        <f t="shared" si="14"/>
        <v>11920.398469174168</v>
      </c>
      <c r="AR56" s="266">
        <f t="shared" si="14"/>
        <v>12158.806438557651</v>
      </c>
      <c r="AS56" s="266">
        <f t="shared" si="14"/>
        <v>12401.982567328805</v>
      </c>
      <c r="AT56" s="266">
        <f t="shared" si="14"/>
        <v>12650.022218675384</v>
      </c>
      <c r="AU56" s="266">
        <f t="shared" si="14"/>
        <v>12903.022663048891</v>
      </c>
      <c r="AV56" s="266">
        <f t="shared" si="14"/>
        <v>13161.083116309868</v>
      </c>
    </row>
    <row r="57" spans="1:48" s="266" customFormat="1" ht="15" customHeight="1">
      <c r="A57" s="265"/>
      <c r="B57" s="262"/>
      <c r="C57" s="313"/>
      <c r="D57" s="319"/>
      <c r="E57" s="266" t="str">
        <f>"Copper realized price: " &amp; F57</f>
        <v>Copper realized price: %LME(actual)</v>
      </c>
      <c r="F57" s="319" t="str">
        <f>F50</f>
        <v>%LME(actual)</v>
      </c>
      <c r="G57" s="266" t="s">
        <v>14</v>
      </c>
      <c r="K57" s="266">
        <f xml:space="preserve"> K56 * ( 1 + $F$54 )</f>
        <v>0</v>
      </c>
      <c r="L57" s="266">
        <f t="shared" ref="L57:AV57" si="15" xml:space="preserve"> IF( L53 &lt;&gt; 0, L53, $F54) * L56</f>
        <v>6728.1958090582302</v>
      </c>
      <c r="M57" s="266">
        <f t="shared" si="15"/>
        <v>5401.9072032982494</v>
      </c>
      <c r="N57" s="266">
        <f t="shared" si="15"/>
        <v>4772.0049116096789</v>
      </c>
      <c r="O57" s="266">
        <f t="shared" si="15"/>
        <v>6048.3991309464891</v>
      </c>
      <c r="P57" s="266">
        <f t="shared" si="15"/>
        <v>6495.8937779807957</v>
      </c>
      <c r="Q57" s="266">
        <f t="shared" si="15"/>
        <v>6002.3410912525615</v>
      </c>
      <c r="R57" s="266">
        <f t="shared" si="15"/>
        <v>5830.4841091079497</v>
      </c>
      <c r="S57" s="266">
        <f t="shared" si="15"/>
        <v>9162.9230906790654</v>
      </c>
      <c r="T57" s="266">
        <f t="shared" si="15"/>
        <v>8654.9972787415572</v>
      </c>
      <c r="U57" s="266">
        <f t="shared" si="15"/>
        <v>8323.5035513916628</v>
      </c>
      <c r="V57" s="266">
        <f t="shared" si="15"/>
        <v>8382.2833872232404</v>
      </c>
      <c r="W57" s="266">
        <f t="shared" si="15"/>
        <v>8490.6125434815458</v>
      </c>
      <c r="X57" s="266">
        <f t="shared" si="15"/>
        <v>8505.3788193463752</v>
      </c>
      <c r="Y57" s="266">
        <f t="shared" si="15"/>
        <v>8497.0050871258773</v>
      </c>
      <c r="Z57" s="266">
        <f t="shared" si="15"/>
        <v>8485.1189359699947</v>
      </c>
      <c r="AA57" s="266">
        <f t="shared" si="15"/>
        <v>8497.7403129705708</v>
      </c>
      <c r="AB57" s="266">
        <f t="shared" si="15"/>
        <v>8682.5581017313125</v>
      </c>
      <c r="AC57" s="266">
        <f t="shared" si="15"/>
        <v>8856.2092637659389</v>
      </c>
      <c r="AD57" s="266">
        <f t="shared" si="15"/>
        <v>9033.3334490412562</v>
      </c>
      <c r="AE57" s="266">
        <f t="shared" si="15"/>
        <v>9214.0001180220825</v>
      </c>
      <c r="AF57" s="266">
        <f t="shared" si="15"/>
        <v>9398.2801203825238</v>
      </c>
      <c r="AG57" s="266">
        <f t="shared" si="15"/>
        <v>9586.2457227901741</v>
      </c>
      <c r="AH57" s="266">
        <f t="shared" si="15"/>
        <v>9777.9706372459787</v>
      </c>
      <c r="AI57" s="266">
        <f t="shared" si="15"/>
        <v>9973.530049990899</v>
      </c>
      <c r="AJ57" s="266">
        <f t="shared" si="15"/>
        <v>10173.00065099072</v>
      </c>
      <c r="AK57" s="266">
        <f t="shared" si="15"/>
        <v>10376.460664010534</v>
      </c>
      <c r="AL57" s="266">
        <f t="shared" si="15"/>
        <v>10583.989877290744</v>
      </c>
      <c r="AM57" s="266">
        <f t="shared" si="15"/>
        <v>10795.669674836559</v>
      </c>
      <c r="AN57" s="266">
        <f t="shared" si="15"/>
        <v>11011.583068333292</v>
      </c>
      <c r="AO57" s="266">
        <f t="shared" si="15"/>
        <v>11231.814729699958</v>
      </c>
      <c r="AP57" s="266">
        <f t="shared" si="15"/>
        <v>11456.451024293954</v>
      </c>
      <c r="AQ57" s="266">
        <f t="shared" si="15"/>
        <v>11685.580044779836</v>
      </c>
      <c r="AR57" s="266">
        <f t="shared" si="15"/>
        <v>11919.291645675432</v>
      </c>
      <c r="AS57" s="266">
        <f t="shared" si="15"/>
        <v>12157.677478588941</v>
      </c>
      <c r="AT57" s="266">
        <f t="shared" si="15"/>
        <v>12400.831028160723</v>
      </c>
      <c r="AU57" s="266">
        <f t="shared" si="15"/>
        <v>12648.847648723937</v>
      </c>
      <c r="AV57" s="266">
        <f t="shared" si="15"/>
        <v>12901.824601698414</v>
      </c>
    </row>
    <row r="58" spans="1:48" s="266" customFormat="1" ht="15" customHeight="1">
      <c r="A58" s="265"/>
      <c r="B58" s="262"/>
      <c r="C58" s="313"/>
      <c r="D58" s="319"/>
      <c r="F58" s="269"/>
      <c r="G58" s="98"/>
    </row>
    <row r="59" spans="1:48" s="266" customFormat="1" ht="15" customHeight="1">
      <c r="A59" s="265"/>
      <c r="B59" s="262"/>
      <c r="C59" s="313" t="s">
        <v>725</v>
      </c>
      <c r="D59" s="319"/>
      <c r="E59" s="262"/>
    </row>
    <row r="60" spans="1:48" s="266" customFormat="1" ht="15" customHeight="1">
      <c r="A60" s="265"/>
      <c r="B60" s="262"/>
      <c r="C60" s="313"/>
      <c r="D60" s="319"/>
      <c r="E60" s="268" t="str">
        <f xml:space="preserve"> InputsCon!E$41</f>
        <v>Copper: Realised Price vs LME for "LMEAssumed"</v>
      </c>
      <c r="F60" s="268">
        <f xml:space="preserve"> InputsCon!F$41</f>
        <v>0.95</v>
      </c>
      <c r="G60" s="268" t="str">
        <f xml:space="preserve"> InputsCon!G$41</f>
        <v>%</v>
      </c>
    </row>
    <row r="61" spans="1:48" s="266" customFormat="1" ht="15" customHeight="1">
      <c r="A61" s="265"/>
      <c r="B61" s="262"/>
      <c r="C61" s="312"/>
      <c r="D61" s="319"/>
      <c r="E61" s="266" t="s">
        <v>725</v>
      </c>
      <c r="F61" s="318" t="s">
        <v>726</v>
      </c>
      <c r="G61" s="266" t="s">
        <v>518</v>
      </c>
    </row>
    <row r="62" spans="1:48" s="266" customFormat="1" ht="15" customHeight="1">
      <c r="A62" s="265"/>
      <c r="B62" s="262"/>
      <c r="C62" s="313"/>
      <c r="D62" s="319"/>
      <c r="I62" s="279"/>
    </row>
    <row r="63" spans="1:48" s="266" customFormat="1" ht="15" customHeight="1">
      <c r="A63" s="265"/>
      <c r="B63" s="262"/>
      <c r="C63" s="313"/>
      <c r="D63" s="319"/>
      <c r="E63" s="266" t="str">
        <f t="shared" ref="E63:AV63" si="16" xml:space="preserve"> E$42</f>
        <v>Copper actual &amp; forecast price: IMF_WEO</v>
      </c>
      <c r="F63" s="266">
        <f t="shared" si="16"/>
        <v>0</v>
      </c>
      <c r="G63" s="266" t="str">
        <f t="shared" si="16"/>
        <v>$ / tonne</v>
      </c>
      <c r="H63" s="266">
        <f t="shared" si="16"/>
        <v>0</v>
      </c>
      <c r="I63" s="266">
        <f t="shared" si="16"/>
        <v>0</v>
      </c>
      <c r="J63" s="266">
        <f t="shared" si="16"/>
        <v>0</v>
      </c>
      <c r="K63" s="266">
        <f t="shared" si="16"/>
        <v>0</v>
      </c>
      <c r="L63" s="266">
        <f t="shared" si="16"/>
        <v>6863.3969999999999</v>
      </c>
      <c r="M63" s="266">
        <f t="shared" si="16"/>
        <v>5510.4570000000003</v>
      </c>
      <c r="N63" s="266">
        <f t="shared" si="16"/>
        <v>4867.8969999999999</v>
      </c>
      <c r="O63" s="266">
        <f t="shared" si="16"/>
        <v>6169.94</v>
      </c>
      <c r="P63" s="266">
        <f t="shared" si="16"/>
        <v>6529.7979999999998</v>
      </c>
      <c r="Q63" s="266">
        <f t="shared" si="16"/>
        <v>6010.1450000000004</v>
      </c>
      <c r="R63" s="266">
        <f t="shared" si="16"/>
        <v>6174.558</v>
      </c>
      <c r="S63" s="266">
        <f t="shared" si="16"/>
        <v>9317.4089999999997</v>
      </c>
      <c r="T63" s="266">
        <f t="shared" si="16"/>
        <v>8828.9169999999995</v>
      </c>
      <c r="U63" s="266">
        <f t="shared" si="16"/>
        <v>8490.7620000000006</v>
      </c>
      <c r="V63" s="266">
        <f t="shared" si="16"/>
        <v>8550.723</v>
      </c>
      <c r="W63" s="266">
        <f t="shared" si="16"/>
        <v>8661.2289999999994</v>
      </c>
      <c r="X63" s="266">
        <f t="shared" si="16"/>
        <v>8676.2919999999995</v>
      </c>
      <c r="Y63" s="266">
        <f t="shared" si="16"/>
        <v>8667.75</v>
      </c>
      <c r="Z63" s="266">
        <f t="shared" si="16"/>
        <v>8655.625</v>
      </c>
      <c r="AA63" s="266">
        <f t="shared" si="16"/>
        <v>8668.5</v>
      </c>
      <c r="AB63" s="266">
        <f t="shared" si="16"/>
        <v>8857.0316499289966</v>
      </c>
      <c r="AC63" s="266">
        <f t="shared" si="16"/>
        <v>9034.1722829275768</v>
      </c>
      <c r="AD63" s="266">
        <f t="shared" si="16"/>
        <v>9214.855728586128</v>
      </c>
      <c r="AE63" s="266">
        <f t="shared" si="16"/>
        <v>9399.1528431578517</v>
      </c>
      <c r="AF63" s="266">
        <f t="shared" si="16"/>
        <v>9587.1359000210068</v>
      </c>
      <c r="AG63" s="266">
        <f t="shared" si="16"/>
        <v>9778.8786180214283</v>
      </c>
      <c r="AH63" s="266">
        <f t="shared" si="16"/>
        <v>9974.4561903818576</v>
      </c>
      <c r="AI63" s="266">
        <f t="shared" si="16"/>
        <v>10173.945314189496</v>
      </c>
      <c r="AJ63" s="266">
        <f t="shared" si="16"/>
        <v>10377.424220473287</v>
      </c>
      <c r="AK63" s="266">
        <f t="shared" si="16"/>
        <v>10584.972704882754</v>
      </c>
      <c r="AL63" s="266">
        <f t="shared" si="16"/>
        <v>10796.672158980407</v>
      </c>
      <c r="AM63" s="266">
        <f t="shared" si="16"/>
        <v>11012.605602160016</v>
      </c>
      <c r="AN63" s="266">
        <f t="shared" si="16"/>
        <v>11232.857714203217</v>
      </c>
      <c r="AO63" s="266">
        <f t="shared" si="16"/>
        <v>11457.514868487282</v>
      </c>
      <c r="AP63" s="266">
        <f t="shared" si="16"/>
        <v>11686.665165857026</v>
      </c>
      <c r="AQ63" s="266">
        <f t="shared" si="16"/>
        <v>11920.398469174168</v>
      </c>
      <c r="AR63" s="266">
        <f t="shared" si="16"/>
        <v>12158.806438557651</v>
      </c>
      <c r="AS63" s="266">
        <f t="shared" si="16"/>
        <v>12401.982567328805</v>
      </c>
      <c r="AT63" s="266">
        <f t="shared" si="16"/>
        <v>12650.022218675384</v>
      </c>
      <c r="AU63" s="266">
        <f t="shared" si="16"/>
        <v>12903.022663048891</v>
      </c>
      <c r="AV63" s="266">
        <f t="shared" si="16"/>
        <v>13161.083116309868</v>
      </c>
    </row>
    <row r="64" spans="1:48" s="266" customFormat="1" ht="15" customHeight="1">
      <c r="A64" s="265"/>
      <c r="B64" s="262"/>
      <c r="C64" s="313"/>
      <c r="D64" s="319"/>
      <c r="E64" s="266" t="str">
        <f>"Copper realized price: " &amp; F64</f>
        <v>Copper realized price: %LME(assumed)</v>
      </c>
      <c r="F64" s="319" t="str">
        <f xml:space="preserve"> F61</f>
        <v>%LME(assumed)</v>
      </c>
      <c r="G64" s="266" t="s">
        <v>14</v>
      </c>
      <c r="K64" s="266">
        <f xml:space="preserve"> K63 * ( 1 + $F$54 )</f>
        <v>0</v>
      </c>
      <c r="L64" s="266">
        <f t="shared" ref="L64:AV64" si="17" xml:space="preserve"> L63 * $F60</f>
        <v>6520.2271499999997</v>
      </c>
      <c r="M64" s="266">
        <f t="shared" si="17"/>
        <v>5234.93415</v>
      </c>
      <c r="N64" s="266">
        <f t="shared" si="17"/>
        <v>4624.5021499999993</v>
      </c>
      <c r="O64" s="266">
        <f t="shared" si="17"/>
        <v>5861.4429999999993</v>
      </c>
      <c r="P64" s="266">
        <f t="shared" si="17"/>
        <v>6203.3080999999993</v>
      </c>
      <c r="Q64" s="266">
        <f t="shared" si="17"/>
        <v>5709.6377499999999</v>
      </c>
      <c r="R64" s="266">
        <f t="shared" si="17"/>
        <v>5865.8301000000001</v>
      </c>
      <c r="S64" s="266">
        <f t="shared" si="17"/>
        <v>8851.5385499999993</v>
      </c>
      <c r="T64" s="266">
        <f t="shared" si="17"/>
        <v>8387.4711499999994</v>
      </c>
      <c r="U64" s="266">
        <f t="shared" si="17"/>
        <v>8066.2239</v>
      </c>
      <c r="V64" s="266">
        <f t="shared" si="17"/>
        <v>8123.1868499999991</v>
      </c>
      <c r="W64" s="266">
        <f t="shared" si="17"/>
        <v>8228.1675499999983</v>
      </c>
      <c r="X64" s="266">
        <f t="shared" si="17"/>
        <v>8242.4773999999998</v>
      </c>
      <c r="Y64" s="266">
        <f t="shared" si="17"/>
        <v>8234.3624999999993</v>
      </c>
      <c r="Z64" s="266">
        <f t="shared" si="17"/>
        <v>8222.84375</v>
      </c>
      <c r="AA64" s="266">
        <f t="shared" si="17"/>
        <v>8235.0749999999989</v>
      </c>
      <c r="AB64" s="266">
        <f t="shared" si="17"/>
        <v>8414.1800674325459</v>
      </c>
      <c r="AC64" s="266">
        <f t="shared" si="17"/>
        <v>8582.4636687811981</v>
      </c>
      <c r="AD64" s="266">
        <f t="shared" si="17"/>
        <v>8754.1129421568203</v>
      </c>
      <c r="AE64" s="266">
        <f t="shared" si="17"/>
        <v>8929.1952009999586</v>
      </c>
      <c r="AF64" s="266">
        <f t="shared" si="17"/>
        <v>9107.7791050199558</v>
      </c>
      <c r="AG64" s="266">
        <f t="shared" si="17"/>
        <v>9289.9346871203561</v>
      </c>
      <c r="AH64" s="266">
        <f t="shared" si="17"/>
        <v>9475.7333808627645</v>
      </c>
      <c r="AI64" s="266">
        <f t="shared" si="17"/>
        <v>9665.2480484800199</v>
      </c>
      <c r="AJ64" s="266">
        <f t="shared" si="17"/>
        <v>9858.5530094496226</v>
      </c>
      <c r="AK64" s="266">
        <f t="shared" si="17"/>
        <v>10055.724069638616</v>
      </c>
      <c r="AL64" s="266">
        <f t="shared" si="17"/>
        <v>10256.838551031387</v>
      </c>
      <c r="AM64" s="266">
        <f t="shared" si="17"/>
        <v>10461.975322052014</v>
      </c>
      <c r="AN64" s="266">
        <f t="shared" si="17"/>
        <v>10671.214828493055</v>
      </c>
      <c r="AO64" s="266">
        <f t="shared" si="17"/>
        <v>10884.639125062917</v>
      </c>
      <c r="AP64" s="266">
        <f t="shared" si="17"/>
        <v>11102.331907564174</v>
      </c>
      <c r="AQ64" s="266">
        <f t="shared" si="17"/>
        <v>11324.378545715459</v>
      </c>
      <c r="AR64" s="266">
        <f t="shared" si="17"/>
        <v>11550.866116629768</v>
      </c>
      <c r="AS64" s="266">
        <f t="shared" si="17"/>
        <v>11781.883438962364</v>
      </c>
      <c r="AT64" s="266">
        <f t="shared" si="17"/>
        <v>12017.521107741613</v>
      </c>
      <c r="AU64" s="266">
        <f t="shared" si="17"/>
        <v>12257.871529896445</v>
      </c>
      <c r="AV64" s="266">
        <f t="shared" si="17"/>
        <v>12503.028960494374</v>
      </c>
    </row>
    <row r="65" spans="1:16384" s="258" customFormat="1" ht="15" customHeight="1">
      <c r="A65" s="345"/>
      <c r="B65" s="255"/>
      <c r="C65" s="256"/>
      <c r="D65" s="257"/>
      <c r="E65" s="258" t="str">
        <f xml:space="preserve"> E64</f>
        <v>Copper realized price: %LME(assumed)</v>
      </c>
      <c r="G65" s="258" t="s">
        <v>621</v>
      </c>
      <c r="H65" s="6"/>
      <c r="L65" s="81">
        <f t="shared" ref="L65:AV65" si="18" xml:space="preserve"> L64 / L63</f>
        <v>0.95</v>
      </c>
      <c r="M65" s="81">
        <f t="shared" si="18"/>
        <v>0.95</v>
      </c>
      <c r="N65" s="81">
        <f t="shared" si="18"/>
        <v>0.94999999999999984</v>
      </c>
      <c r="O65" s="81">
        <f t="shared" si="18"/>
        <v>0.95</v>
      </c>
      <c r="P65" s="81">
        <f t="shared" si="18"/>
        <v>0.95</v>
      </c>
      <c r="Q65" s="81">
        <f t="shared" si="18"/>
        <v>0.95</v>
      </c>
      <c r="R65" s="81">
        <f t="shared" si="18"/>
        <v>0.95000000000000007</v>
      </c>
      <c r="S65" s="81">
        <f t="shared" si="18"/>
        <v>0.95</v>
      </c>
      <c r="T65" s="81">
        <f t="shared" si="18"/>
        <v>0.95</v>
      </c>
      <c r="U65" s="81">
        <f t="shared" si="18"/>
        <v>0.95</v>
      </c>
      <c r="V65" s="81">
        <f t="shared" si="18"/>
        <v>0.95</v>
      </c>
      <c r="W65" s="81">
        <f t="shared" si="18"/>
        <v>0.94999999999999984</v>
      </c>
      <c r="X65" s="81">
        <f t="shared" si="18"/>
        <v>0.95000000000000007</v>
      </c>
      <c r="Y65" s="81">
        <f t="shared" si="18"/>
        <v>0.95</v>
      </c>
      <c r="Z65" s="81">
        <f t="shared" si="18"/>
        <v>0.95</v>
      </c>
      <c r="AA65" s="81">
        <f t="shared" si="18"/>
        <v>0.94999999999999984</v>
      </c>
      <c r="AB65" s="81">
        <f t="shared" si="18"/>
        <v>0.95</v>
      </c>
      <c r="AC65" s="81">
        <f t="shared" si="18"/>
        <v>0.95</v>
      </c>
      <c r="AD65" s="81">
        <f t="shared" si="18"/>
        <v>0.94999999999999984</v>
      </c>
      <c r="AE65" s="81">
        <f t="shared" si="18"/>
        <v>0.95</v>
      </c>
      <c r="AF65" s="81">
        <f t="shared" si="18"/>
        <v>0.95</v>
      </c>
      <c r="AG65" s="81">
        <f t="shared" si="18"/>
        <v>0.95</v>
      </c>
      <c r="AH65" s="81">
        <f t="shared" si="18"/>
        <v>0.95</v>
      </c>
      <c r="AI65" s="81">
        <f t="shared" si="18"/>
        <v>0.95</v>
      </c>
      <c r="AJ65" s="81">
        <f t="shared" si="18"/>
        <v>0.95</v>
      </c>
      <c r="AK65" s="81">
        <f t="shared" si="18"/>
        <v>0.95000000000000007</v>
      </c>
      <c r="AL65" s="81">
        <f t="shared" si="18"/>
        <v>0.95000000000000007</v>
      </c>
      <c r="AM65" s="81">
        <f t="shared" si="18"/>
        <v>0.95</v>
      </c>
      <c r="AN65" s="81">
        <f t="shared" si="18"/>
        <v>0.95</v>
      </c>
      <c r="AO65" s="81">
        <f t="shared" si="18"/>
        <v>0.94999999999999984</v>
      </c>
      <c r="AP65" s="81">
        <f t="shared" si="18"/>
        <v>0.95</v>
      </c>
      <c r="AQ65" s="81">
        <f t="shared" si="18"/>
        <v>0.95</v>
      </c>
      <c r="AR65" s="81">
        <f t="shared" si="18"/>
        <v>0.95</v>
      </c>
      <c r="AS65" s="81">
        <f t="shared" si="18"/>
        <v>0.95</v>
      </c>
      <c r="AT65" s="81">
        <f t="shared" si="18"/>
        <v>0.95</v>
      </c>
      <c r="AU65" s="81">
        <f t="shared" si="18"/>
        <v>0.95</v>
      </c>
      <c r="AV65" s="81">
        <f t="shared" si="18"/>
        <v>0.95</v>
      </c>
    </row>
    <row r="66" spans="1:16384" s="258" customFormat="1" ht="15" customHeight="1">
      <c r="A66" s="345"/>
      <c r="B66" s="255"/>
      <c r="C66" s="256"/>
      <c r="D66" s="257"/>
      <c r="H66" s="266"/>
    </row>
    <row r="67" spans="1:16384" s="266" customFormat="1" ht="15" customHeight="1">
      <c r="A67" s="265"/>
      <c r="B67" s="255" t="s">
        <v>620</v>
      </c>
      <c r="C67" s="313"/>
      <c r="D67" s="319"/>
      <c r="F67" s="318" t="s">
        <v>656</v>
      </c>
      <c r="G67" s="266" t="s">
        <v>518</v>
      </c>
    </row>
    <row r="68" spans="1:16384" s="266" customFormat="1" ht="15" customHeight="1">
      <c r="A68" s="265"/>
      <c r="B68" s="255"/>
      <c r="C68" s="313"/>
      <c r="D68" s="319"/>
      <c r="E68" s="267" t="str">
        <f xml:space="preserve"> InputsTS!E$135</f>
        <v>Third Party Marketing Charge: Cu &amp; Co</v>
      </c>
      <c r="F68" s="268">
        <f xml:space="preserve"> InputsTS!F$135</f>
        <v>8.0000000000000002E-3</v>
      </c>
      <c r="G68" s="267" t="str">
        <f xml:space="preserve"> InputsTS!G$135</f>
        <v>%</v>
      </c>
      <c r="H68" s="267">
        <f xml:space="preserve"> InputsTS!H$135</f>
        <v>0</v>
      </c>
      <c r="I68" s="76" t="str">
        <f xml:space="preserve"> InputsTS!I$135</f>
        <v>XXIX</v>
      </c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16384" s="266" customFormat="1" ht="15" customHeight="1">
      <c r="A69" s="265"/>
      <c r="B69" s="255"/>
      <c r="C69" s="313"/>
      <c r="D69" s="319"/>
      <c r="E69" s="267" t="str">
        <f xml:space="preserve"> InputsTS!E$136</f>
        <v>Som contract: placeholder assumption of third party sales: Cu</v>
      </c>
      <c r="F69" s="268">
        <f xml:space="preserve"> InputsTS!F$136</f>
        <v>0.9</v>
      </c>
      <c r="G69" s="39" t="str">
        <f xml:space="preserve"> InputsTS!G$136</f>
        <v>%</v>
      </c>
      <c r="H69" s="76">
        <f xml:space="preserve"> InputsTS!H$136</f>
        <v>0</v>
      </c>
      <c r="I69" s="76" t="str">
        <f xml:space="preserve"> InputsTS!I$136</f>
        <v>XXIX</v>
      </c>
    </row>
    <row r="70" spans="1:16384" s="266" customFormat="1" ht="15" customHeight="1">
      <c r="A70" s="265"/>
      <c r="B70" s="255"/>
      <c r="C70" s="313"/>
      <c r="D70" s="319"/>
      <c r="E70" s="266" t="s">
        <v>526</v>
      </c>
      <c r="F70" s="269">
        <f xml:space="preserve"> F69 * F68</f>
        <v>7.2000000000000007E-3</v>
      </c>
      <c r="G70" s="266" t="s">
        <v>26</v>
      </c>
    </row>
    <row r="71" spans="1:16384" s="266" customFormat="1" ht="15" customHeight="1">
      <c r="A71" s="265"/>
      <c r="B71" s="255"/>
      <c r="C71" s="313"/>
      <c r="D71" s="319"/>
    </row>
    <row r="72" spans="1:16384" s="266" customFormat="1" ht="15" customHeight="1">
      <c r="A72" s="265"/>
      <c r="B72" s="262"/>
      <c r="C72" s="313"/>
      <c r="D72" s="319"/>
      <c r="E72" s="266" t="str">
        <f t="shared" ref="E72:AV72" si="19" xml:space="preserve"> E$42</f>
        <v>Copper actual &amp; forecast price: IMF_WEO</v>
      </c>
      <c r="F72" s="266">
        <f t="shared" si="19"/>
        <v>0</v>
      </c>
      <c r="G72" s="266" t="str">
        <f t="shared" si="19"/>
        <v>$ / tonne</v>
      </c>
      <c r="H72" s="266">
        <f t="shared" si="19"/>
        <v>0</v>
      </c>
      <c r="I72" s="266">
        <f t="shared" si="19"/>
        <v>0</v>
      </c>
      <c r="J72" s="266">
        <f t="shared" si="19"/>
        <v>0</v>
      </c>
      <c r="K72" s="266">
        <f t="shared" si="19"/>
        <v>0</v>
      </c>
      <c r="L72" s="266">
        <f t="shared" si="19"/>
        <v>6863.3969999999999</v>
      </c>
      <c r="M72" s="266">
        <f t="shared" si="19"/>
        <v>5510.4570000000003</v>
      </c>
      <c r="N72" s="266">
        <f t="shared" si="19"/>
        <v>4867.8969999999999</v>
      </c>
      <c r="O72" s="266">
        <f t="shared" si="19"/>
        <v>6169.94</v>
      </c>
      <c r="P72" s="266">
        <f t="shared" si="19"/>
        <v>6529.7979999999998</v>
      </c>
      <c r="Q72" s="266">
        <f t="shared" si="19"/>
        <v>6010.1450000000004</v>
      </c>
      <c r="R72" s="266">
        <f t="shared" si="19"/>
        <v>6174.558</v>
      </c>
      <c r="S72" s="266">
        <f t="shared" si="19"/>
        <v>9317.4089999999997</v>
      </c>
      <c r="T72" s="266">
        <f t="shared" si="19"/>
        <v>8828.9169999999995</v>
      </c>
      <c r="U72" s="266">
        <f t="shared" si="19"/>
        <v>8490.7620000000006</v>
      </c>
      <c r="V72" s="266">
        <f t="shared" si="19"/>
        <v>8550.723</v>
      </c>
      <c r="W72" s="266">
        <f t="shared" si="19"/>
        <v>8661.2289999999994</v>
      </c>
      <c r="X72" s="266">
        <f t="shared" si="19"/>
        <v>8676.2919999999995</v>
      </c>
      <c r="Y72" s="266">
        <f t="shared" si="19"/>
        <v>8667.75</v>
      </c>
      <c r="Z72" s="266">
        <f t="shared" si="19"/>
        <v>8655.625</v>
      </c>
      <c r="AA72" s="266">
        <f t="shared" si="19"/>
        <v>8668.5</v>
      </c>
      <c r="AB72" s="266">
        <f t="shared" si="19"/>
        <v>8857.0316499289966</v>
      </c>
      <c r="AC72" s="266">
        <f t="shared" si="19"/>
        <v>9034.1722829275768</v>
      </c>
      <c r="AD72" s="266">
        <f t="shared" si="19"/>
        <v>9214.855728586128</v>
      </c>
      <c r="AE72" s="266">
        <f t="shared" si="19"/>
        <v>9399.1528431578517</v>
      </c>
      <c r="AF72" s="266">
        <f t="shared" si="19"/>
        <v>9587.1359000210068</v>
      </c>
      <c r="AG72" s="266">
        <f t="shared" si="19"/>
        <v>9778.8786180214283</v>
      </c>
      <c r="AH72" s="266">
        <f t="shared" si="19"/>
        <v>9974.4561903818576</v>
      </c>
      <c r="AI72" s="266">
        <f t="shared" si="19"/>
        <v>10173.945314189496</v>
      </c>
      <c r="AJ72" s="266">
        <f t="shared" si="19"/>
        <v>10377.424220473287</v>
      </c>
      <c r="AK72" s="266">
        <f t="shared" si="19"/>
        <v>10584.972704882754</v>
      </c>
      <c r="AL72" s="266">
        <f t="shared" si="19"/>
        <v>10796.672158980407</v>
      </c>
      <c r="AM72" s="266">
        <f t="shared" si="19"/>
        <v>11012.605602160016</v>
      </c>
      <c r="AN72" s="266">
        <f t="shared" si="19"/>
        <v>11232.857714203217</v>
      </c>
      <c r="AO72" s="266">
        <f t="shared" si="19"/>
        <v>11457.514868487282</v>
      </c>
      <c r="AP72" s="266">
        <f t="shared" si="19"/>
        <v>11686.665165857026</v>
      </c>
      <c r="AQ72" s="266">
        <f t="shared" si="19"/>
        <v>11920.398469174168</v>
      </c>
      <c r="AR72" s="266">
        <f t="shared" si="19"/>
        <v>12158.806438557651</v>
      </c>
      <c r="AS72" s="266">
        <f t="shared" si="19"/>
        <v>12401.982567328805</v>
      </c>
      <c r="AT72" s="266">
        <f t="shared" si="19"/>
        <v>12650.022218675384</v>
      </c>
      <c r="AU72" s="266">
        <f t="shared" si="19"/>
        <v>12903.022663048891</v>
      </c>
      <c r="AV72" s="266">
        <f t="shared" si="19"/>
        <v>13161.083116309868</v>
      </c>
    </row>
    <row r="73" spans="1:16384" s="266" customFormat="1" ht="15" customHeight="1">
      <c r="A73" s="265"/>
      <c r="B73" s="262"/>
      <c r="C73" s="313"/>
      <c r="D73" s="319"/>
      <c r="E73" s="266" t="str">
        <f xml:space="preserve"> E$70</f>
        <v>Third Party Marketing Charges</v>
      </c>
      <c r="F73" s="269">
        <f xml:space="preserve"> F$70</f>
        <v>7.2000000000000007E-3</v>
      </c>
      <c r="G73" s="266" t="str">
        <f xml:space="preserve"> G$70</f>
        <v>%</v>
      </c>
    </row>
    <row r="74" spans="1:16384" s="266" customFormat="1" ht="15" customHeight="1">
      <c r="A74" s="265"/>
      <c r="B74" s="255"/>
      <c r="C74" s="313"/>
      <c r="D74" s="319"/>
      <c r="E74" s="39" t="str">
        <f xml:space="preserve"> InputsTS!E$134</f>
        <v>Level 2 Discount</v>
      </c>
      <c r="F74" s="39">
        <f xml:space="preserve"> InputsTS!F$134</f>
        <v>317</v>
      </c>
      <c r="G74" s="39" t="str">
        <f xml:space="preserve"> InputsTS!G$134</f>
        <v>$ / tonne</v>
      </c>
      <c r="H74" s="39">
        <f xml:space="preserve"> InputsTS!H$134</f>
        <v>0</v>
      </c>
      <c r="I74" s="39" t="str">
        <f xml:space="preserve"> InputsTS!I$134</f>
        <v>XXIX</v>
      </c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16384" s="266" customFormat="1" ht="15" customHeight="1">
      <c r="A75" s="265"/>
      <c r="B75" s="255"/>
      <c r="C75" s="313"/>
      <c r="D75" s="319"/>
      <c r="E75" s="39" t="str">
        <f xml:space="preserve"> InputsCon!E$46</f>
        <v>Apply Cu transport / quality discount (1 = yes)</v>
      </c>
      <c r="F75" s="39">
        <f xml:space="preserve"> InputsCon!F$46</f>
        <v>1</v>
      </c>
      <c r="G75" s="39" t="str">
        <f xml:space="preserve"> InputsCon!G$46</f>
        <v>flag</v>
      </c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16384" s="266" customFormat="1" ht="15" customHeight="1">
      <c r="A76" s="265"/>
      <c r="B76" s="255"/>
      <c r="C76" s="313"/>
      <c r="D76" s="319"/>
      <c r="E76" s="46"/>
      <c r="F76"/>
      <c r="G7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spans="1:16384" s="223" customFormat="1" ht="15" customHeight="1">
      <c r="B77" s="809"/>
      <c r="C77" s="810"/>
      <c r="D77" s="838"/>
      <c r="E77" s="223" t="str">
        <f xml:space="preserve"> InputsTS!E$184</f>
        <v>Weighted average actual realised copper price (MinMin)</v>
      </c>
      <c r="F77" s="223">
        <f xml:space="preserve"> InputsTS!F$184</f>
        <v>0</v>
      </c>
      <c r="G77" s="223" t="str">
        <f xml:space="preserve"> InputsTS!G$184</f>
        <v>$ / tonne</v>
      </c>
      <c r="H77" s="223">
        <f xml:space="preserve"> InputsTS!H$184</f>
        <v>0</v>
      </c>
      <c r="I77" s="223" t="str">
        <f xml:space="preserve"> InputsTS!I$184</f>
        <v>III</v>
      </c>
      <c r="J77" s="223">
        <f xml:space="preserve"> InputsTS!J$184</f>
        <v>0</v>
      </c>
      <c r="K77" s="223">
        <f xml:space="preserve"> InputsTS!K$184</f>
        <v>0</v>
      </c>
      <c r="L77" s="223">
        <f xml:space="preserve"> InputsTS!L$184</f>
        <v>0</v>
      </c>
      <c r="M77" s="223">
        <f xml:space="preserve"> InputsTS!M$184</f>
        <v>0</v>
      </c>
      <c r="N77" s="223">
        <f xml:space="preserve"> InputsTS!N$184</f>
        <v>0</v>
      </c>
      <c r="O77" s="223">
        <f xml:space="preserve"> InputsTS!O$184</f>
        <v>0</v>
      </c>
      <c r="P77" s="223" t="e">
        <f xml:space="preserve"> InputsTS!#REF!</f>
        <v>#REF!</v>
      </c>
      <c r="Q77" s="223" t="e">
        <f xml:space="preserve"> InputsTS!#REF!</f>
        <v>#REF!</v>
      </c>
      <c r="R77" s="223" t="e">
        <f xml:space="preserve"> InputsTS!#REF!</f>
        <v>#REF!</v>
      </c>
      <c r="S77" s="223" t="e">
        <f xml:space="preserve"> InputsTS!#REF!</f>
        <v>#REF!</v>
      </c>
      <c r="T77" s="223">
        <f xml:space="preserve"> InputsTS!T$184</f>
        <v>0</v>
      </c>
      <c r="U77" s="223">
        <f xml:space="preserve"> InputsTS!U$184</f>
        <v>0</v>
      </c>
      <c r="V77" s="223">
        <f xml:space="preserve"> InputsTS!V$184</f>
        <v>0</v>
      </c>
      <c r="W77" s="223">
        <f xml:space="preserve"> InputsTS!W$184</f>
        <v>0</v>
      </c>
      <c r="X77" s="223">
        <f xml:space="preserve"> InputsTS!P$184</f>
        <v>6495.8937779807957</v>
      </c>
      <c r="Y77" s="223">
        <f xml:space="preserve"> InputsTS!Q$184</f>
        <v>6002.3410912525615</v>
      </c>
      <c r="Z77" s="223">
        <f xml:space="preserve"> InputsTS!R$184</f>
        <v>5830.4841091079497</v>
      </c>
      <c r="AA77" s="223">
        <f xml:space="preserve"> InputsTS!S$184</f>
        <v>9162.9230906790654</v>
      </c>
      <c r="AB77" s="223">
        <f xml:space="preserve"> InputsTS!AB$184</f>
        <v>0</v>
      </c>
      <c r="AC77" s="223">
        <f xml:space="preserve"> InputsTS!AC$184</f>
        <v>0</v>
      </c>
      <c r="AD77" s="223">
        <f xml:space="preserve"> InputsTS!AD$184</f>
        <v>0</v>
      </c>
      <c r="AE77" s="223">
        <f xml:space="preserve"> InputsTS!AE$184</f>
        <v>0</v>
      </c>
      <c r="AF77" s="223">
        <f xml:space="preserve"> InputsTS!AF$184</f>
        <v>0</v>
      </c>
      <c r="AG77" s="223">
        <f xml:space="preserve"> InputsTS!AG$184</f>
        <v>0</v>
      </c>
      <c r="AH77" s="223">
        <f xml:space="preserve"> InputsTS!AH$184</f>
        <v>0</v>
      </c>
      <c r="AI77" s="223">
        <f xml:space="preserve"> InputsTS!AI$184</f>
        <v>0</v>
      </c>
      <c r="AJ77" s="223">
        <f xml:space="preserve"> InputsTS!AJ$184</f>
        <v>0</v>
      </c>
      <c r="AK77" s="223">
        <f xml:space="preserve"> InputsTS!AK$184</f>
        <v>0</v>
      </c>
      <c r="AL77" s="223">
        <f xml:space="preserve"> InputsTS!AL$184</f>
        <v>0</v>
      </c>
      <c r="AM77" s="223">
        <f xml:space="preserve"> InputsTS!AM$184</f>
        <v>0</v>
      </c>
      <c r="AN77" s="223">
        <f xml:space="preserve"> InputsTS!AN$184</f>
        <v>0</v>
      </c>
      <c r="AO77" s="223">
        <f xml:space="preserve"> InputsTS!AO$184</f>
        <v>0</v>
      </c>
      <c r="AP77" s="223">
        <f xml:space="preserve"> InputsTS!AP$184</f>
        <v>0</v>
      </c>
      <c r="AQ77" s="223">
        <f xml:space="preserve"> InputsTS!AQ$184</f>
        <v>0</v>
      </c>
      <c r="AR77" s="223">
        <f xml:space="preserve"> InputsTS!AR$184</f>
        <v>0</v>
      </c>
      <c r="AS77" s="223">
        <f xml:space="preserve"> InputsTS!AS$184</f>
        <v>0</v>
      </c>
      <c r="AT77" s="223">
        <f xml:space="preserve"> InputsTS!AT$184</f>
        <v>0</v>
      </c>
      <c r="AU77" s="223">
        <f xml:space="preserve"> InputsTS!AU$184</f>
        <v>0</v>
      </c>
      <c r="AV77" s="223">
        <f xml:space="preserve"> InputsTS!AV$184</f>
        <v>0</v>
      </c>
      <c r="AW77" s="223">
        <f xml:space="preserve"> InputsTS!AW$184</f>
        <v>0</v>
      </c>
      <c r="AX77" s="223">
        <f xml:space="preserve"> InputsTS!AX$184</f>
        <v>0</v>
      </c>
      <c r="AY77" s="223">
        <f xml:space="preserve"> InputsTS!AY$184</f>
        <v>0</v>
      </c>
      <c r="AZ77" s="223">
        <f xml:space="preserve"> InputsTS!AZ$184</f>
        <v>0</v>
      </c>
      <c r="BA77" s="223">
        <f xml:space="preserve"> InputsTS!BA$184</f>
        <v>0</v>
      </c>
      <c r="BB77" s="223">
        <f xml:space="preserve"> InputsTS!BB$184</f>
        <v>0</v>
      </c>
      <c r="BC77" s="223">
        <f xml:space="preserve"> InputsTS!BC$184</f>
        <v>0</v>
      </c>
      <c r="BD77" s="223">
        <f xml:space="preserve"> InputsTS!BD$184</f>
        <v>0</v>
      </c>
      <c r="BE77" s="223">
        <f xml:space="preserve"> InputsTS!BE$184</f>
        <v>0</v>
      </c>
      <c r="BF77" s="223">
        <f xml:space="preserve"> InputsTS!BF$184</f>
        <v>0</v>
      </c>
      <c r="BG77" s="223">
        <f xml:space="preserve"> InputsTS!BG$184</f>
        <v>0</v>
      </c>
      <c r="BH77" s="223">
        <f xml:space="preserve"> InputsTS!BH$184</f>
        <v>0</v>
      </c>
      <c r="BI77" s="223">
        <f xml:space="preserve"> InputsTS!BI$184</f>
        <v>0</v>
      </c>
      <c r="BJ77" s="223">
        <f xml:space="preserve"> InputsTS!BJ$184</f>
        <v>0</v>
      </c>
      <c r="BK77" s="223">
        <f xml:space="preserve"> InputsTS!BK$184</f>
        <v>0</v>
      </c>
      <c r="BL77" s="223">
        <f xml:space="preserve"> InputsTS!BL$184</f>
        <v>0</v>
      </c>
      <c r="BM77" s="223">
        <f xml:space="preserve"> InputsTS!BM$184</f>
        <v>0</v>
      </c>
      <c r="BN77" s="223">
        <f xml:space="preserve"> InputsTS!BN$184</f>
        <v>0</v>
      </c>
      <c r="BO77" s="223">
        <f xml:space="preserve"> InputsTS!BO$184</f>
        <v>0</v>
      </c>
      <c r="BP77" s="223">
        <f xml:space="preserve"> InputsTS!BP$184</f>
        <v>0</v>
      </c>
      <c r="BQ77" s="223">
        <f xml:space="preserve"> InputsTS!BQ$184</f>
        <v>0</v>
      </c>
      <c r="BR77" s="223">
        <f xml:space="preserve"> InputsTS!BR$184</f>
        <v>0</v>
      </c>
      <c r="BS77" s="223">
        <f xml:space="preserve"> InputsTS!BS$184</f>
        <v>0</v>
      </c>
      <c r="BT77" s="223">
        <f xml:space="preserve"> InputsTS!BT$184</f>
        <v>0</v>
      </c>
      <c r="BU77" s="223">
        <f xml:space="preserve"> InputsTS!BU$184</f>
        <v>0</v>
      </c>
      <c r="BV77" s="223">
        <f xml:space="preserve"> InputsTS!BV$184</f>
        <v>0</v>
      </c>
      <c r="BW77" s="223">
        <f xml:space="preserve"> InputsTS!BW$184</f>
        <v>0</v>
      </c>
      <c r="BX77" s="223">
        <f xml:space="preserve"> InputsTS!BX$184</f>
        <v>0</v>
      </c>
      <c r="BY77" s="223">
        <f xml:space="preserve"> InputsTS!BY$184</f>
        <v>0</v>
      </c>
      <c r="BZ77" s="223">
        <f xml:space="preserve"> InputsTS!BZ$184</f>
        <v>0</v>
      </c>
      <c r="CA77" s="223">
        <f xml:space="preserve"> InputsTS!CA$184</f>
        <v>0</v>
      </c>
      <c r="CB77" s="223">
        <f xml:space="preserve"> InputsTS!CB$184</f>
        <v>0</v>
      </c>
      <c r="CC77" s="223">
        <f xml:space="preserve"> InputsTS!CC$184</f>
        <v>0</v>
      </c>
      <c r="CD77" s="223">
        <f xml:space="preserve"> InputsTS!CD$184</f>
        <v>0</v>
      </c>
      <c r="CE77" s="223">
        <f xml:space="preserve"> InputsTS!CE$184</f>
        <v>0</v>
      </c>
      <c r="CF77" s="223">
        <f xml:space="preserve"> InputsTS!CF$184</f>
        <v>0</v>
      </c>
      <c r="CG77" s="223">
        <f xml:space="preserve"> InputsTS!CG$184</f>
        <v>0</v>
      </c>
      <c r="CH77" s="223">
        <f xml:space="preserve"> InputsTS!CH$184</f>
        <v>0</v>
      </c>
      <c r="CI77" s="223">
        <f xml:space="preserve"> InputsTS!CI$184</f>
        <v>0</v>
      </c>
      <c r="CJ77" s="223">
        <f xml:space="preserve"> InputsTS!CJ$184</f>
        <v>0</v>
      </c>
      <c r="CK77" s="223">
        <f xml:space="preserve"> InputsTS!CK$184</f>
        <v>0</v>
      </c>
      <c r="CL77" s="223">
        <f xml:space="preserve"> InputsTS!CL$184</f>
        <v>0</v>
      </c>
      <c r="CM77" s="223">
        <f xml:space="preserve"> InputsTS!CM$184</f>
        <v>0</v>
      </c>
      <c r="CN77" s="223">
        <f xml:space="preserve"> InputsTS!CN$184</f>
        <v>0</v>
      </c>
      <c r="CO77" s="223">
        <f xml:space="preserve"> InputsTS!CO$184</f>
        <v>0</v>
      </c>
      <c r="CP77" s="223">
        <f xml:space="preserve"> InputsTS!CP$184</f>
        <v>0</v>
      </c>
      <c r="CQ77" s="223">
        <f xml:space="preserve"> InputsTS!CQ$184</f>
        <v>0</v>
      </c>
      <c r="CR77" s="223">
        <f xml:space="preserve"> InputsTS!CR$184</f>
        <v>0</v>
      </c>
      <c r="CS77" s="223">
        <f xml:space="preserve"> InputsTS!CS$184</f>
        <v>0</v>
      </c>
      <c r="CT77" s="223">
        <f xml:space="preserve"> InputsTS!CT$184</f>
        <v>0</v>
      </c>
      <c r="CU77" s="223">
        <f xml:space="preserve"> InputsTS!CU$184</f>
        <v>0</v>
      </c>
      <c r="CV77" s="223">
        <f xml:space="preserve"> InputsTS!CV$184</f>
        <v>0</v>
      </c>
      <c r="CW77" s="223">
        <f xml:space="preserve"> InputsTS!CW$184</f>
        <v>0</v>
      </c>
      <c r="CX77" s="223">
        <f xml:space="preserve"> InputsTS!CX$184</f>
        <v>0</v>
      </c>
      <c r="CY77" s="223">
        <f xml:space="preserve"> InputsTS!CY$184</f>
        <v>0</v>
      </c>
      <c r="CZ77" s="223">
        <f xml:space="preserve"> InputsTS!CZ$184</f>
        <v>0</v>
      </c>
      <c r="DA77" s="223">
        <f xml:space="preserve"> InputsTS!DA$184</f>
        <v>0</v>
      </c>
      <c r="DB77" s="223">
        <f xml:space="preserve"> InputsTS!DB$184</f>
        <v>0</v>
      </c>
      <c r="DC77" s="223">
        <f xml:space="preserve"> InputsTS!DC$184</f>
        <v>0</v>
      </c>
      <c r="DD77" s="223">
        <f xml:space="preserve"> InputsTS!DD$184</f>
        <v>0</v>
      </c>
      <c r="DE77" s="223">
        <f xml:space="preserve"> InputsTS!DE$184</f>
        <v>0</v>
      </c>
      <c r="DF77" s="223">
        <f xml:space="preserve"> InputsTS!DF$184</f>
        <v>0</v>
      </c>
      <c r="DG77" s="223">
        <f xml:space="preserve"> InputsTS!DG$184</f>
        <v>0</v>
      </c>
      <c r="DH77" s="223">
        <f xml:space="preserve"> InputsTS!DH$184</f>
        <v>0</v>
      </c>
      <c r="DI77" s="223">
        <f xml:space="preserve"> InputsTS!DI$184</f>
        <v>0</v>
      </c>
      <c r="DJ77" s="223">
        <f xml:space="preserve"> InputsTS!DJ$184</f>
        <v>0</v>
      </c>
      <c r="DK77" s="223">
        <f xml:space="preserve"> InputsTS!DK$184</f>
        <v>0</v>
      </c>
      <c r="DL77" s="223">
        <f xml:space="preserve"> InputsTS!DL$184</f>
        <v>0</v>
      </c>
      <c r="DM77" s="223">
        <f xml:space="preserve"> InputsTS!DM$184</f>
        <v>0</v>
      </c>
      <c r="DN77" s="223">
        <f xml:space="preserve"> InputsTS!DN$184</f>
        <v>0</v>
      </c>
      <c r="DO77" s="223">
        <f xml:space="preserve"> InputsTS!DO$184</f>
        <v>0</v>
      </c>
      <c r="DP77" s="223">
        <f xml:space="preserve"> InputsTS!DP$184</f>
        <v>0</v>
      </c>
      <c r="DQ77" s="223">
        <f xml:space="preserve"> InputsTS!DQ$184</f>
        <v>0</v>
      </c>
      <c r="DR77" s="223">
        <f xml:space="preserve"> InputsTS!DR$184</f>
        <v>0</v>
      </c>
      <c r="DS77" s="223">
        <f xml:space="preserve"> InputsTS!DS$184</f>
        <v>0</v>
      </c>
      <c r="DT77" s="223">
        <f xml:space="preserve"> InputsTS!DT$184</f>
        <v>0</v>
      </c>
      <c r="DU77" s="223">
        <f xml:space="preserve"> InputsTS!DU$184</f>
        <v>0</v>
      </c>
      <c r="DV77" s="223">
        <f xml:space="preserve"> InputsTS!DV$184</f>
        <v>0</v>
      </c>
      <c r="DW77" s="223">
        <f xml:space="preserve"> InputsTS!DW$184</f>
        <v>0</v>
      </c>
      <c r="DX77" s="223">
        <f xml:space="preserve"> InputsTS!DX$184</f>
        <v>0</v>
      </c>
      <c r="DY77" s="223">
        <f xml:space="preserve"> InputsTS!DY$184</f>
        <v>0</v>
      </c>
      <c r="DZ77" s="223">
        <f xml:space="preserve"> InputsTS!DZ$184</f>
        <v>0</v>
      </c>
      <c r="EA77" s="223">
        <f xml:space="preserve"> InputsTS!EA$184</f>
        <v>0</v>
      </c>
      <c r="EB77" s="223">
        <f xml:space="preserve"> InputsTS!EB$184</f>
        <v>0</v>
      </c>
      <c r="EC77" s="223">
        <f xml:space="preserve"> InputsTS!EC$184</f>
        <v>0</v>
      </c>
      <c r="ED77" s="223">
        <f xml:space="preserve"> InputsTS!ED$184</f>
        <v>0</v>
      </c>
      <c r="EE77" s="223">
        <f xml:space="preserve"> InputsTS!EE$184</f>
        <v>0</v>
      </c>
      <c r="EF77" s="223">
        <f xml:space="preserve"> InputsTS!EF$184</f>
        <v>0</v>
      </c>
      <c r="EG77" s="223">
        <f xml:space="preserve"> InputsTS!EG$184</f>
        <v>0</v>
      </c>
      <c r="EH77" s="223">
        <f xml:space="preserve"> InputsTS!EH$184</f>
        <v>0</v>
      </c>
      <c r="EI77" s="223">
        <f xml:space="preserve"> InputsTS!EI$184</f>
        <v>0</v>
      </c>
      <c r="EJ77" s="223">
        <f xml:space="preserve"> InputsTS!EJ$184</f>
        <v>0</v>
      </c>
      <c r="EK77" s="223">
        <f xml:space="preserve"> InputsTS!EK$184</f>
        <v>0</v>
      </c>
      <c r="EL77" s="223">
        <f xml:space="preserve"> InputsTS!EL$184</f>
        <v>0</v>
      </c>
      <c r="EM77" s="223">
        <f xml:space="preserve"> InputsTS!EM$184</f>
        <v>0</v>
      </c>
      <c r="EN77" s="223">
        <f xml:space="preserve"> InputsTS!EN$184</f>
        <v>0</v>
      </c>
      <c r="EO77" s="223">
        <f xml:space="preserve"> InputsTS!EO$184</f>
        <v>0</v>
      </c>
      <c r="EP77" s="223">
        <f xml:space="preserve"> InputsTS!EP$184</f>
        <v>0</v>
      </c>
      <c r="EQ77" s="223">
        <f xml:space="preserve"> InputsTS!EQ$184</f>
        <v>0</v>
      </c>
      <c r="ER77" s="223">
        <f xml:space="preserve"> InputsTS!ER$184</f>
        <v>0</v>
      </c>
      <c r="ES77" s="223">
        <f xml:space="preserve"> InputsTS!ES$184</f>
        <v>0</v>
      </c>
      <c r="ET77" s="223">
        <f xml:space="preserve"> InputsTS!ET$184</f>
        <v>0</v>
      </c>
      <c r="EU77" s="223">
        <f xml:space="preserve"> InputsTS!EU$184</f>
        <v>0</v>
      </c>
      <c r="EV77" s="223">
        <f xml:space="preserve"> InputsTS!EV$184</f>
        <v>0</v>
      </c>
      <c r="EW77" s="223">
        <f xml:space="preserve"> InputsTS!EW$184</f>
        <v>0</v>
      </c>
      <c r="EX77" s="223">
        <f xml:space="preserve"> InputsTS!EX$184</f>
        <v>0</v>
      </c>
      <c r="EY77" s="223">
        <f xml:space="preserve"> InputsTS!EY$184</f>
        <v>0</v>
      </c>
      <c r="EZ77" s="223">
        <f xml:space="preserve"> InputsTS!EZ$184</f>
        <v>0</v>
      </c>
      <c r="FA77" s="223">
        <f xml:space="preserve"> InputsTS!FA$184</f>
        <v>0</v>
      </c>
      <c r="FB77" s="223">
        <f xml:space="preserve"> InputsTS!FB$184</f>
        <v>0</v>
      </c>
      <c r="FC77" s="223">
        <f xml:space="preserve"> InputsTS!FC$184</f>
        <v>0</v>
      </c>
      <c r="FD77" s="223">
        <f xml:space="preserve"> InputsTS!FD$184</f>
        <v>0</v>
      </c>
      <c r="FE77" s="223">
        <f xml:space="preserve"> InputsTS!FE$184</f>
        <v>0</v>
      </c>
      <c r="FF77" s="223">
        <f xml:space="preserve"> InputsTS!FF$184</f>
        <v>0</v>
      </c>
      <c r="FG77" s="223">
        <f xml:space="preserve"> InputsTS!FG$184</f>
        <v>0</v>
      </c>
      <c r="FH77" s="223">
        <f xml:space="preserve"> InputsTS!FH$184</f>
        <v>0</v>
      </c>
      <c r="FI77" s="223">
        <f xml:space="preserve"> InputsTS!FI$184</f>
        <v>0</v>
      </c>
      <c r="FJ77" s="223">
        <f xml:space="preserve"> InputsTS!FJ$184</f>
        <v>0</v>
      </c>
      <c r="FK77" s="223">
        <f xml:space="preserve"> InputsTS!FK$184</f>
        <v>0</v>
      </c>
      <c r="FL77" s="223">
        <f xml:space="preserve"> InputsTS!FL$184</f>
        <v>0</v>
      </c>
      <c r="FM77" s="223">
        <f xml:space="preserve"> InputsTS!FM$184</f>
        <v>0</v>
      </c>
      <c r="FN77" s="223">
        <f xml:space="preserve"> InputsTS!FN$184</f>
        <v>0</v>
      </c>
      <c r="FO77" s="223">
        <f xml:space="preserve"> InputsTS!FO$184</f>
        <v>0</v>
      </c>
      <c r="FP77" s="223">
        <f xml:space="preserve"> InputsTS!FP$184</f>
        <v>0</v>
      </c>
      <c r="FQ77" s="223">
        <f xml:space="preserve"> InputsTS!FQ$184</f>
        <v>0</v>
      </c>
      <c r="FR77" s="223">
        <f xml:space="preserve"> InputsTS!FR$184</f>
        <v>0</v>
      </c>
      <c r="FS77" s="223">
        <f xml:space="preserve"> InputsTS!FS$184</f>
        <v>0</v>
      </c>
      <c r="FT77" s="223">
        <f xml:space="preserve"> InputsTS!FT$184</f>
        <v>0</v>
      </c>
      <c r="FU77" s="223">
        <f xml:space="preserve"> InputsTS!FU$184</f>
        <v>0</v>
      </c>
      <c r="FV77" s="223">
        <f xml:space="preserve"> InputsTS!FV$184</f>
        <v>0</v>
      </c>
      <c r="FW77" s="223">
        <f xml:space="preserve"> InputsTS!FW$184</f>
        <v>0</v>
      </c>
      <c r="FX77" s="223">
        <f xml:space="preserve"> InputsTS!FX$184</f>
        <v>0</v>
      </c>
      <c r="FY77" s="223">
        <f xml:space="preserve"> InputsTS!FY$184</f>
        <v>0</v>
      </c>
      <c r="FZ77" s="223">
        <f xml:space="preserve"> InputsTS!FZ$184</f>
        <v>0</v>
      </c>
      <c r="GA77" s="223">
        <f xml:space="preserve"> InputsTS!GA$184</f>
        <v>0</v>
      </c>
      <c r="GB77" s="223">
        <f xml:space="preserve"> InputsTS!GB$184</f>
        <v>0</v>
      </c>
      <c r="GC77" s="223">
        <f xml:space="preserve"> InputsTS!GC$184</f>
        <v>0</v>
      </c>
      <c r="GD77" s="223">
        <f xml:space="preserve"> InputsTS!GD$184</f>
        <v>0</v>
      </c>
      <c r="GE77" s="223">
        <f xml:space="preserve"> InputsTS!GE$184</f>
        <v>0</v>
      </c>
      <c r="GF77" s="223">
        <f xml:space="preserve"> InputsTS!GF$184</f>
        <v>0</v>
      </c>
      <c r="GG77" s="223">
        <f xml:space="preserve"> InputsTS!GG$184</f>
        <v>0</v>
      </c>
      <c r="GH77" s="223">
        <f xml:space="preserve"> InputsTS!GH$184</f>
        <v>0</v>
      </c>
      <c r="GI77" s="223">
        <f xml:space="preserve"> InputsTS!GI$184</f>
        <v>0</v>
      </c>
      <c r="GJ77" s="223">
        <f xml:space="preserve"> InputsTS!GJ$184</f>
        <v>0</v>
      </c>
      <c r="GK77" s="223">
        <f xml:space="preserve"> InputsTS!GK$184</f>
        <v>0</v>
      </c>
      <c r="GL77" s="223">
        <f xml:space="preserve"> InputsTS!GL$184</f>
        <v>0</v>
      </c>
      <c r="GM77" s="223">
        <f xml:space="preserve"> InputsTS!GM$184</f>
        <v>0</v>
      </c>
      <c r="GN77" s="223">
        <f xml:space="preserve"> InputsTS!GN$184</f>
        <v>0</v>
      </c>
      <c r="GO77" s="223">
        <f xml:space="preserve"> InputsTS!GO$184</f>
        <v>0</v>
      </c>
      <c r="GP77" s="223">
        <f xml:space="preserve"> InputsTS!GP$184</f>
        <v>0</v>
      </c>
      <c r="GQ77" s="223">
        <f xml:space="preserve"> InputsTS!GQ$184</f>
        <v>0</v>
      </c>
      <c r="GR77" s="223">
        <f xml:space="preserve"> InputsTS!GR$184</f>
        <v>0</v>
      </c>
      <c r="GS77" s="223">
        <f xml:space="preserve"> InputsTS!GS$184</f>
        <v>0</v>
      </c>
      <c r="GT77" s="223">
        <f xml:space="preserve"> InputsTS!GT$184</f>
        <v>0</v>
      </c>
      <c r="GU77" s="223">
        <f xml:space="preserve"> InputsTS!GU$184</f>
        <v>0</v>
      </c>
      <c r="GV77" s="223">
        <f xml:space="preserve"> InputsTS!GV$184</f>
        <v>0</v>
      </c>
      <c r="GW77" s="223">
        <f xml:space="preserve"> InputsTS!GW$184</f>
        <v>0</v>
      </c>
      <c r="GX77" s="223">
        <f xml:space="preserve"> InputsTS!GX$184</f>
        <v>0</v>
      </c>
      <c r="GY77" s="223">
        <f xml:space="preserve"> InputsTS!GY$184</f>
        <v>0</v>
      </c>
      <c r="GZ77" s="223">
        <f xml:space="preserve"> InputsTS!GZ$184</f>
        <v>0</v>
      </c>
      <c r="HA77" s="223">
        <f xml:space="preserve"> InputsTS!HA$184</f>
        <v>0</v>
      </c>
      <c r="HB77" s="223">
        <f xml:space="preserve"> InputsTS!HB$184</f>
        <v>0</v>
      </c>
      <c r="HC77" s="223">
        <f xml:space="preserve"> InputsTS!HC$184</f>
        <v>0</v>
      </c>
      <c r="HD77" s="223">
        <f xml:space="preserve"> InputsTS!HD$184</f>
        <v>0</v>
      </c>
      <c r="HE77" s="223">
        <f xml:space="preserve"> InputsTS!HE$184</f>
        <v>0</v>
      </c>
      <c r="HF77" s="223">
        <f xml:space="preserve"> InputsTS!HF$184</f>
        <v>0</v>
      </c>
      <c r="HG77" s="223">
        <f xml:space="preserve"> InputsTS!HG$184</f>
        <v>0</v>
      </c>
      <c r="HH77" s="223">
        <f xml:space="preserve"> InputsTS!HH$184</f>
        <v>0</v>
      </c>
      <c r="HI77" s="223">
        <f xml:space="preserve"> InputsTS!HI$184</f>
        <v>0</v>
      </c>
      <c r="HJ77" s="223">
        <f xml:space="preserve"> InputsTS!HJ$184</f>
        <v>0</v>
      </c>
      <c r="HK77" s="223">
        <f xml:space="preserve"> InputsTS!HK$184</f>
        <v>0</v>
      </c>
      <c r="HL77" s="223">
        <f xml:space="preserve"> InputsTS!HL$184</f>
        <v>0</v>
      </c>
      <c r="HM77" s="223">
        <f xml:space="preserve"> InputsTS!HM$184</f>
        <v>0</v>
      </c>
      <c r="HN77" s="223">
        <f xml:space="preserve"> InputsTS!HN$184</f>
        <v>0</v>
      </c>
      <c r="HO77" s="223">
        <f xml:space="preserve"> InputsTS!HO$184</f>
        <v>0</v>
      </c>
      <c r="HP77" s="223">
        <f xml:space="preserve"> InputsTS!HP$184</f>
        <v>0</v>
      </c>
      <c r="HQ77" s="223">
        <f xml:space="preserve"> InputsTS!HQ$184</f>
        <v>0</v>
      </c>
      <c r="HR77" s="223">
        <f xml:space="preserve"> InputsTS!HR$184</f>
        <v>0</v>
      </c>
      <c r="HS77" s="223">
        <f xml:space="preserve"> InputsTS!HS$184</f>
        <v>0</v>
      </c>
      <c r="HT77" s="223">
        <f xml:space="preserve"> InputsTS!HT$184</f>
        <v>0</v>
      </c>
      <c r="HU77" s="223">
        <f xml:space="preserve"> InputsTS!HU$184</f>
        <v>0</v>
      </c>
      <c r="HV77" s="223">
        <f xml:space="preserve"> InputsTS!HV$184</f>
        <v>0</v>
      </c>
      <c r="HW77" s="223">
        <f xml:space="preserve"> InputsTS!HW$184</f>
        <v>0</v>
      </c>
      <c r="HX77" s="223">
        <f xml:space="preserve"> InputsTS!HX$184</f>
        <v>0</v>
      </c>
      <c r="HY77" s="223">
        <f xml:space="preserve"> InputsTS!HY$184</f>
        <v>0</v>
      </c>
      <c r="HZ77" s="223">
        <f xml:space="preserve"> InputsTS!HZ$184</f>
        <v>0</v>
      </c>
      <c r="IA77" s="223">
        <f xml:space="preserve"> InputsTS!IA$184</f>
        <v>0</v>
      </c>
      <c r="IB77" s="223">
        <f xml:space="preserve"> InputsTS!IB$184</f>
        <v>0</v>
      </c>
      <c r="IC77" s="223">
        <f xml:space="preserve"> InputsTS!IC$184</f>
        <v>0</v>
      </c>
      <c r="ID77" s="223">
        <f xml:space="preserve"> InputsTS!ID$184</f>
        <v>0</v>
      </c>
      <c r="IE77" s="223">
        <f xml:space="preserve"> InputsTS!IE$184</f>
        <v>0</v>
      </c>
      <c r="IF77" s="223">
        <f xml:space="preserve"> InputsTS!IF$184</f>
        <v>0</v>
      </c>
      <c r="IG77" s="223">
        <f xml:space="preserve"> InputsTS!IG$184</f>
        <v>0</v>
      </c>
      <c r="IH77" s="223">
        <f xml:space="preserve"> InputsTS!IH$184</f>
        <v>0</v>
      </c>
      <c r="II77" s="223">
        <f xml:space="preserve"> InputsTS!II$184</f>
        <v>0</v>
      </c>
      <c r="IJ77" s="223">
        <f xml:space="preserve"> InputsTS!IJ$184</f>
        <v>0</v>
      </c>
      <c r="IK77" s="223">
        <f xml:space="preserve"> InputsTS!IK$184</f>
        <v>0</v>
      </c>
      <c r="IL77" s="223">
        <f xml:space="preserve"> InputsTS!IL$184</f>
        <v>0</v>
      </c>
      <c r="IM77" s="223">
        <f xml:space="preserve"> InputsTS!IM$184</f>
        <v>0</v>
      </c>
      <c r="IN77" s="223">
        <f xml:space="preserve"> InputsTS!IN$184</f>
        <v>0</v>
      </c>
      <c r="IO77" s="223">
        <f xml:space="preserve"> InputsTS!IO$184</f>
        <v>0</v>
      </c>
      <c r="IP77" s="223">
        <f xml:space="preserve"> InputsTS!IP$184</f>
        <v>0</v>
      </c>
      <c r="IQ77" s="223">
        <f xml:space="preserve"> InputsTS!IQ$184</f>
        <v>0</v>
      </c>
      <c r="IR77" s="223">
        <f xml:space="preserve"> InputsTS!IR$184</f>
        <v>0</v>
      </c>
      <c r="IS77" s="223">
        <f xml:space="preserve"> InputsTS!IS$184</f>
        <v>0</v>
      </c>
      <c r="IT77" s="223">
        <f xml:space="preserve"> InputsTS!IT$184</f>
        <v>0</v>
      </c>
      <c r="IU77" s="223">
        <f xml:space="preserve"> InputsTS!IU$184</f>
        <v>0</v>
      </c>
      <c r="IV77" s="223">
        <f xml:space="preserve"> InputsTS!IV$184</f>
        <v>0</v>
      </c>
      <c r="IW77" s="223">
        <f xml:space="preserve"> InputsTS!IW$184</f>
        <v>0</v>
      </c>
      <c r="IX77" s="223">
        <f xml:space="preserve"> InputsTS!IX$184</f>
        <v>0</v>
      </c>
      <c r="IY77" s="223">
        <f xml:space="preserve"> InputsTS!IY$184</f>
        <v>0</v>
      </c>
      <c r="IZ77" s="223">
        <f xml:space="preserve"> InputsTS!IZ$184</f>
        <v>0</v>
      </c>
      <c r="JA77" s="223">
        <f xml:space="preserve"> InputsTS!JA$184</f>
        <v>0</v>
      </c>
      <c r="JB77" s="223">
        <f xml:space="preserve"> InputsTS!JB$184</f>
        <v>0</v>
      </c>
      <c r="JC77" s="223">
        <f xml:space="preserve"> InputsTS!JC$184</f>
        <v>0</v>
      </c>
      <c r="JD77" s="223">
        <f xml:space="preserve"> InputsTS!JD$184</f>
        <v>0</v>
      </c>
      <c r="JE77" s="223">
        <f xml:space="preserve"> InputsTS!JE$184</f>
        <v>0</v>
      </c>
      <c r="JF77" s="223">
        <f xml:space="preserve"> InputsTS!JF$184</f>
        <v>0</v>
      </c>
      <c r="JG77" s="223">
        <f xml:space="preserve"> InputsTS!JG$184</f>
        <v>0</v>
      </c>
      <c r="JH77" s="223">
        <f xml:space="preserve"> InputsTS!JH$184</f>
        <v>0</v>
      </c>
      <c r="JI77" s="223">
        <f xml:space="preserve"> InputsTS!JI$184</f>
        <v>0</v>
      </c>
      <c r="JJ77" s="223">
        <f xml:space="preserve"> InputsTS!JJ$184</f>
        <v>0</v>
      </c>
      <c r="JK77" s="223">
        <f xml:space="preserve"> InputsTS!JK$184</f>
        <v>0</v>
      </c>
      <c r="JL77" s="223">
        <f xml:space="preserve"> InputsTS!JL$184</f>
        <v>0</v>
      </c>
      <c r="JM77" s="223">
        <f xml:space="preserve"> InputsTS!JM$184</f>
        <v>0</v>
      </c>
      <c r="JN77" s="223">
        <f xml:space="preserve"> InputsTS!JN$184</f>
        <v>0</v>
      </c>
      <c r="JO77" s="223">
        <f xml:space="preserve"> InputsTS!JO$184</f>
        <v>0</v>
      </c>
      <c r="JP77" s="223">
        <f xml:space="preserve"> InputsTS!JP$184</f>
        <v>0</v>
      </c>
      <c r="JQ77" s="223">
        <f xml:space="preserve"> InputsTS!JQ$184</f>
        <v>0</v>
      </c>
      <c r="JR77" s="223">
        <f xml:space="preserve"> InputsTS!JR$184</f>
        <v>0</v>
      </c>
      <c r="JS77" s="223">
        <f xml:space="preserve"> InputsTS!JS$184</f>
        <v>0</v>
      </c>
      <c r="JT77" s="223">
        <f xml:space="preserve"> InputsTS!JT$184</f>
        <v>0</v>
      </c>
      <c r="JU77" s="223">
        <f xml:space="preserve"> InputsTS!JU$184</f>
        <v>0</v>
      </c>
      <c r="JV77" s="223">
        <f xml:space="preserve"> InputsTS!JV$184</f>
        <v>0</v>
      </c>
      <c r="JW77" s="223">
        <f xml:space="preserve"> InputsTS!JW$184</f>
        <v>0</v>
      </c>
      <c r="JX77" s="223">
        <f xml:space="preserve"> InputsTS!JX$184</f>
        <v>0</v>
      </c>
      <c r="JY77" s="223">
        <f xml:space="preserve"> InputsTS!JY$184</f>
        <v>0</v>
      </c>
      <c r="JZ77" s="223">
        <f xml:space="preserve"> InputsTS!JZ$184</f>
        <v>0</v>
      </c>
      <c r="KA77" s="223">
        <f xml:space="preserve"> InputsTS!KA$184</f>
        <v>0</v>
      </c>
      <c r="KB77" s="223">
        <f xml:space="preserve"> InputsTS!KB$184</f>
        <v>0</v>
      </c>
      <c r="KC77" s="223">
        <f xml:space="preserve"> InputsTS!KC$184</f>
        <v>0</v>
      </c>
      <c r="KD77" s="223">
        <f xml:space="preserve"> InputsTS!KD$184</f>
        <v>0</v>
      </c>
      <c r="KE77" s="223">
        <f xml:space="preserve"> InputsTS!KE$184</f>
        <v>0</v>
      </c>
      <c r="KF77" s="223">
        <f xml:space="preserve"> InputsTS!KF$184</f>
        <v>0</v>
      </c>
      <c r="KG77" s="223">
        <f xml:space="preserve"> InputsTS!KG$184</f>
        <v>0</v>
      </c>
      <c r="KH77" s="223">
        <f xml:space="preserve"> InputsTS!KH$184</f>
        <v>0</v>
      </c>
      <c r="KI77" s="223">
        <f xml:space="preserve"> InputsTS!KI$184</f>
        <v>0</v>
      </c>
      <c r="KJ77" s="223">
        <f xml:space="preserve"> InputsTS!KJ$184</f>
        <v>0</v>
      </c>
      <c r="KK77" s="223">
        <f xml:space="preserve"> InputsTS!KK$184</f>
        <v>0</v>
      </c>
      <c r="KL77" s="223">
        <f xml:space="preserve"> InputsTS!KL$184</f>
        <v>0</v>
      </c>
      <c r="KM77" s="223">
        <f xml:space="preserve"> InputsTS!KM$184</f>
        <v>0</v>
      </c>
      <c r="KN77" s="223">
        <f xml:space="preserve"> InputsTS!KN$184</f>
        <v>0</v>
      </c>
      <c r="KO77" s="223">
        <f xml:space="preserve"> InputsTS!KO$184</f>
        <v>0</v>
      </c>
      <c r="KP77" s="223">
        <f xml:space="preserve"> InputsTS!KP$184</f>
        <v>0</v>
      </c>
      <c r="KQ77" s="223">
        <f xml:space="preserve"> InputsTS!KQ$184</f>
        <v>0</v>
      </c>
      <c r="KR77" s="223">
        <f xml:space="preserve"> InputsTS!KR$184</f>
        <v>0</v>
      </c>
      <c r="KS77" s="223">
        <f xml:space="preserve"> InputsTS!KS$184</f>
        <v>0</v>
      </c>
      <c r="KT77" s="223">
        <f xml:space="preserve"> InputsTS!KT$184</f>
        <v>0</v>
      </c>
      <c r="KU77" s="223">
        <f xml:space="preserve"> InputsTS!KU$184</f>
        <v>0</v>
      </c>
      <c r="KV77" s="223">
        <f xml:space="preserve"> InputsTS!KV$184</f>
        <v>0</v>
      </c>
      <c r="KW77" s="223">
        <f xml:space="preserve"> InputsTS!KW$184</f>
        <v>0</v>
      </c>
      <c r="KX77" s="223">
        <f xml:space="preserve"> InputsTS!KX$184</f>
        <v>0</v>
      </c>
      <c r="KY77" s="223">
        <f xml:space="preserve"> InputsTS!KY$184</f>
        <v>0</v>
      </c>
      <c r="KZ77" s="223">
        <f xml:space="preserve"> InputsTS!KZ$184</f>
        <v>0</v>
      </c>
      <c r="LA77" s="223">
        <f xml:space="preserve"> InputsTS!LA$184</f>
        <v>0</v>
      </c>
      <c r="LB77" s="223">
        <f xml:space="preserve"> InputsTS!LB$184</f>
        <v>0</v>
      </c>
      <c r="LC77" s="223">
        <f xml:space="preserve"> InputsTS!LC$184</f>
        <v>0</v>
      </c>
      <c r="LD77" s="223">
        <f xml:space="preserve"> InputsTS!LD$184</f>
        <v>0</v>
      </c>
      <c r="LE77" s="223">
        <f xml:space="preserve"> InputsTS!LE$184</f>
        <v>0</v>
      </c>
      <c r="LF77" s="223">
        <f xml:space="preserve"> InputsTS!LF$184</f>
        <v>0</v>
      </c>
      <c r="LG77" s="223">
        <f xml:space="preserve"> InputsTS!LG$184</f>
        <v>0</v>
      </c>
      <c r="LH77" s="223">
        <f xml:space="preserve"> InputsTS!LH$184</f>
        <v>0</v>
      </c>
      <c r="LI77" s="223">
        <f xml:space="preserve"> InputsTS!LI$184</f>
        <v>0</v>
      </c>
      <c r="LJ77" s="223">
        <f xml:space="preserve"> InputsTS!LJ$184</f>
        <v>0</v>
      </c>
      <c r="LK77" s="223">
        <f xml:space="preserve"> InputsTS!LK$184</f>
        <v>0</v>
      </c>
      <c r="LL77" s="223">
        <f xml:space="preserve"> InputsTS!LL$184</f>
        <v>0</v>
      </c>
      <c r="LM77" s="223">
        <f xml:space="preserve"> InputsTS!LM$184</f>
        <v>0</v>
      </c>
      <c r="LN77" s="223">
        <f xml:space="preserve"> InputsTS!LN$184</f>
        <v>0</v>
      </c>
      <c r="LO77" s="223">
        <f xml:space="preserve"> InputsTS!LO$184</f>
        <v>0</v>
      </c>
      <c r="LP77" s="223">
        <f xml:space="preserve"> InputsTS!LP$184</f>
        <v>0</v>
      </c>
      <c r="LQ77" s="223">
        <f xml:space="preserve"> InputsTS!LQ$184</f>
        <v>0</v>
      </c>
      <c r="LR77" s="223">
        <f xml:space="preserve"> InputsTS!LR$184</f>
        <v>0</v>
      </c>
      <c r="LS77" s="223">
        <f xml:space="preserve"> InputsTS!LS$184</f>
        <v>0</v>
      </c>
      <c r="LT77" s="223">
        <f xml:space="preserve"> InputsTS!LT$184</f>
        <v>0</v>
      </c>
      <c r="LU77" s="223">
        <f xml:space="preserve"> InputsTS!LU$184</f>
        <v>0</v>
      </c>
      <c r="LV77" s="223">
        <f xml:space="preserve"> InputsTS!LV$184</f>
        <v>0</v>
      </c>
      <c r="LW77" s="223">
        <f xml:space="preserve"> InputsTS!LW$184</f>
        <v>0</v>
      </c>
      <c r="LX77" s="223">
        <f xml:space="preserve"> InputsTS!LX$184</f>
        <v>0</v>
      </c>
      <c r="LY77" s="223">
        <f xml:space="preserve"> InputsTS!LY$184</f>
        <v>0</v>
      </c>
      <c r="LZ77" s="223">
        <f xml:space="preserve"> InputsTS!LZ$184</f>
        <v>0</v>
      </c>
      <c r="MA77" s="223">
        <f xml:space="preserve"> InputsTS!MA$184</f>
        <v>0</v>
      </c>
      <c r="MB77" s="223">
        <f xml:space="preserve"> InputsTS!MB$184</f>
        <v>0</v>
      </c>
      <c r="MC77" s="223">
        <f xml:space="preserve"> InputsTS!MC$184</f>
        <v>0</v>
      </c>
      <c r="MD77" s="223">
        <f xml:space="preserve"> InputsTS!MD$184</f>
        <v>0</v>
      </c>
      <c r="ME77" s="223">
        <f xml:space="preserve"> InputsTS!ME$184</f>
        <v>0</v>
      </c>
      <c r="MF77" s="223">
        <f xml:space="preserve"> InputsTS!MF$184</f>
        <v>0</v>
      </c>
      <c r="MG77" s="223">
        <f xml:space="preserve"> InputsTS!MG$184</f>
        <v>0</v>
      </c>
      <c r="MH77" s="223">
        <f xml:space="preserve"> InputsTS!MH$184</f>
        <v>0</v>
      </c>
      <c r="MI77" s="223">
        <f xml:space="preserve"> InputsTS!MI$184</f>
        <v>0</v>
      </c>
      <c r="MJ77" s="223">
        <f xml:space="preserve"> InputsTS!MJ$184</f>
        <v>0</v>
      </c>
      <c r="MK77" s="223">
        <f xml:space="preserve"> InputsTS!MK$184</f>
        <v>0</v>
      </c>
      <c r="ML77" s="223">
        <f xml:space="preserve"> InputsTS!ML$184</f>
        <v>0</v>
      </c>
      <c r="MM77" s="223">
        <f xml:space="preserve"> InputsTS!MM$184</f>
        <v>0</v>
      </c>
      <c r="MN77" s="223">
        <f xml:space="preserve"> InputsTS!MN$184</f>
        <v>0</v>
      </c>
      <c r="MO77" s="223">
        <f xml:space="preserve"> InputsTS!MO$184</f>
        <v>0</v>
      </c>
      <c r="MP77" s="223">
        <f xml:space="preserve"> InputsTS!MP$184</f>
        <v>0</v>
      </c>
      <c r="MQ77" s="223">
        <f xml:space="preserve"> InputsTS!MQ$184</f>
        <v>0</v>
      </c>
      <c r="MR77" s="223">
        <f xml:space="preserve"> InputsTS!MR$184</f>
        <v>0</v>
      </c>
      <c r="MS77" s="223">
        <f xml:space="preserve"> InputsTS!MS$184</f>
        <v>0</v>
      </c>
      <c r="MT77" s="223">
        <f xml:space="preserve"> InputsTS!MT$184</f>
        <v>0</v>
      </c>
      <c r="MU77" s="223">
        <f xml:space="preserve"> InputsTS!MU$184</f>
        <v>0</v>
      </c>
      <c r="MV77" s="223">
        <f xml:space="preserve"> InputsTS!MV$184</f>
        <v>0</v>
      </c>
      <c r="MW77" s="223">
        <f xml:space="preserve"> InputsTS!MW$184</f>
        <v>0</v>
      </c>
      <c r="MX77" s="223">
        <f xml:space="preserve"> InputsTS!MX$184</f>
        <v>0</v>
      </c>
      <c r="MY77" s="223">
        <f xml:space="preserve"> InputsTS!MY$184</f>
        <v>0</v>
      </c>
      <c r="MZ77" s="223">
        <f xml:space="preserve"> InputsTS!MZ$184</f>
        <v>0</v>
      </c>
      <c r="NA77" s="223">
        <f xml:space="preserve"> InputsTS!NA$184</f>
        <v>0</v>
      </c>
      <c r="NB77" s="223">
        <f xml:space="preserve"> InputsTS!NB$184</f>
        <v>0</v>
      </c>
      <c r="NC77" s="223">
        <f xml:space="preserve"> InputsTS!NC$184</f>
        <v>0</v>
      </c>
      <c r="ND77" s="223">
        <f xml:space="preserve"> InputsTS!ND$184</f>
        <v>0</v>
      </c>
      <c r="NE77" s="223">
        <f xml:space="preserve"> InputsTS!NE$184</f>
        <v>0</v>
      </c>
      <c r="NF77" s="223">
        <f xml:space="preserve"> InputsTS!NF$184</f>
        <v>0</v>
      </c>
      <c r="NG77" s="223">
        <f xml:space="preserve"> InputsTS!NG$184</f>
        <v>0</v>
      </c>
      <c r="NH77" s="223">
        <f xml:space="preserve"> InputsTS!NH$184</f>
        <v>0</v>
      </c>
      <c r="NI77" s="223">
        <f xml:space="preserve"> InputsTS!NI$184</f>
        <v>0</v>
      </c>
      <c r="NJ77" s="223">
        <f xml:space="preserve"> InputsTS!NJ$184</f>
        <v>0</v>
      </c>
      <c r="NK77" s="223">
        <f xml:space="preserve"> InputsTS!NK$184</f>
        <v>0</v>
      </c>
      <c r="NL77" s="223">
        <f xml:space="preserve"> InputsTS!NL$184</f>
        <v>0</v>
      </c>
      <c r="NM77" s="223">
        <f xml:space="preserve"> InputsTS!NM$184</f>
        <v>0</v>
      </c>
      <c r="NN77" s="223">
        <f xml:space="preserve"> InputsTS!NN$184</f>
        <v>0</v>
      </c>
      <c r="NO77" s="223">
        <f xml:space="preserve"> InputsTS!NO$184</f>
        <v>0</v>
      </c>
      <c r="NP77" s="223">
        <f xml:space="preserve"> InputsTS!NP$184</f>
        <v>0</v>
      </c>
      <c r="NQ77" s="223">
        <f xml:space="preserve"> InputsTS!NQ$184</f>
        <v>0</v>
      </c>
      <c r="NR77" s="223">
        <f xml:space="preserve"> InputsTS!NR$184</f>
        <v>0</v>
      </c>
      <c r="NS77" s="223">
        <f xml:space="preserve"> InputsTS!NS$184</f>
        <v>0</v>
      </c>
      <c r="NT77" s="223">
        <f xml:space="preserve"> InputsTS!NT$184</f>
        <v>0</v>
      </c>
      <c r="NU77" s="223">
        <f xml:space="preserve"> InputsTS!NU$184</f>
        <v>0</v>
      </c>
      <c r="NV77" s="223">
        <f xml:space="preserve"> InputsTS!NV$184</f>
        <v>0</v>
      </c>
      <c r="NW77" s="223">
        <f xml:space="preserve"> InputsTS!NW$184</f>
        <v>0</v>
      </c>
      <c r="NX77" s="223">
        <f xml:space="preserve"> InputsTS!NX$184</f>
        <v>0</v>
      </c>
      <c r="NY77" s="223">
        <f xml:space="preserve"> InputsTS!NY$184</f>
        <v>0</v>
      </c>
      <c r="NZ77" s="223">
        <f xml:space="preserve"> InputsTS!NZ$184</f>
        <v>0</v>
      </c>
      <c r="OA77" s="223">
        <f xml:space="preserve"> InputsTS!OA$184</f>
        <v>0</v>
      </c>
      <c r="OB77" s="223">
        <f xml:space="preserve"> InputsTS!OB$184</f>
        <v>0</v>
      </c>
      <c r="OC77" s="223">
        <f xml:space="preserve"> InputsTS!OC$184</f>
        <v>0</v>
      </c>
      <c r="OD77" s="223">
        <f xml:space="preserve"> InputsTS!OD$184</f>
        <v>0</v>
      </c>
      <c r="OE77" s="223">
        <f xml:space="preserve"> InputsTS!OE$184</f>
        <v>0</v>
      </c>
      <c r="OF77" s="223">
        <f xml:space="preserve"> InputsTS!OF$184</f>
        <v>0</v>
      </c>
      <c r="OG77" s="223">
        <f xml:space="preserve"> InputsTS!OG$184</f>
        <v>0</v>
      </c>
      <c r="OH77" s="223">
        <f xml:space="preserve"> InputsTS!OH$184</f>
        <v>0</v>
      </c>
      <c r="OI77" s="223">
        <f xml:space="preserve"> InputsTS!OI$184</f>
        <v>0</v>
      </c>
      <c r="OJ77" s="223">
        <f xml:space="preserve"> InputsTS!OJ$184</f>
        <v>0</v>
      </c>
      <c r="OK77" s="223">
        <f xml:space="preserve"> InputsTS!OK$184</f>
        <v>0</v>
      </c>
      <c r="OL77" s="223">
        <f xml:space="preserve"> InputsTS!OL$184</f>
        <v>0</v>
      </c>
      <c r="OM77" s="223">
        <f xml:space="preserve"> InputsTS!OM$184</f>
        <v>0</v>
      </c>
      <c r="ON77" s="223">
        <f xml:space="preserve"> InputsTS!ON$184</f>
        <v>0</v>
      </c>
      <c r="OO77" s="223">
        <f xml:space="preserve"> InputsTS!OO$184</f>
        <v>0</v>
      </c>
      <c r="OP77" s="223">
        <f xml:space="preserve"> InputsTS!OP$184</f>
        <v>0</v>
      </c>
      <c r="OQ77" s="223">
        <f xml:space="preserve"> InputsTS!OQ$184</f>
        <v>0</v>
      </c>
      <c r="OR77" s="223">
        <f xml:space="preserve"> InputsTS!OR$184</f>
        <v>0</v>
      </c>
      <c r="OS77" s="223">
        <f xml:space="preserve"> InputsTS!OS$184</f>
        <v>0</v>
      </c>
      <c r="OT77" s="223">
        <f xml:space="preserve"> InputsTS!OT$184</f>
        <v>0</v>
      </c>
      <c r="OU77" s="223">
        <f xml:space="preserve"> InputsTS!OU$184</f>
        <v>0</v>
      </c>
      <c r="OV77" s="223">
        <f xml:space="preserve"> InputsTS!OV$184</f>
        <v>0</v>
      </c>
      <c r="OW77" s="223">
        <f xml:space="preserve"> InputsTS!OW$184</f>
        <v>0</v>
      </c>
      <c r="OX77" s="223">
        <f xml:space="preserve"> InputsTS!OX$184</f>
        <v>0</v>
      </c>
      <c r="OY77" s="223">
        <f xml:space="preserve"> InputsTS!OY$184</f>
        <v>0</v>
      </c>
      <c r="OZ77" s="223">
        <f xml:space="preserve"> InputsTS!OZ$184</f>
        <v>0</v>
      </c>
      <c r="PA77" s="223">
        <f xml:space="preserve"> InputsTS!PA$184</f>
        <v>0</v>
      </c>
      <c r="PB77" s="223">
        <f xml:space="preserve"> InputsTS!PB$184</f>
        <v>0</v>
      </c>
      <c r="PC77" s="223">
        <f xml:space="preserve"> InputsTS!PC$184</f>
        <v>0</v>
      </c>
      <c r="PD77" s="223">
        <f xml:space="preserve"> InputsTS!PD$184</f>
        <v>0</v>
      </c>
      <c r="PE77" s="223">
        <f xml:space="preserve"> InputsTS!PE$184</f>
        <v>0</v>
      </c>
      <c r="PF77" s="223">
        <f xml:space="preserve"> InputsTS!PF$184</f>
        <v>0</v>
      </c>
      <c r="PG77" s="223">
        <f xml:space="preserve"> InputsTS!PG$184</f>
        <v>0</v>
      </c>
      <c r="PH77" s="223">
        <f xml:space="preserve"> InputsTS!PH$184</f>
        <v>0</v>
      </c>
      <c r="PI77" s="223">
        <f xml:space="preserve"> InputsTS!PI$184</f>
        <v>0</v>
      </c>
      <c r="PJ77" s="223">
        <f xml:space="preserve"> InputsTS!PJ$184</f>
        <v>0</v>
      </c>
      <c r="PK77" s="223">
        <f xml:space="preserve"> InputsTS!PK$184</f>
        <v>0</v>
      </c>
      <c r="PL77" s="223">
        <f xml:space="preserve"> InputsTS!PL$184</f>
        <v>0</v>
      </c>
      <c r="PM77" s="223">
        <f xml:space="preserve"> InputsTS!PM$184</f>
        <v>0</v>
      </c>
      <c r="PN77" s="223">
        <f xml:space="preserve"> InputsTS!PN$184</f>
        <v>0</v>
      </c>
      <c r="PO77" s="223">
        <f xml:space="preserve"> InputsTS!PO$184</f>
        <v>0</v>
      </c>
      <c r="PP77" s="223">
        <f xml:space="preserve"> InputsTS!PP$184</f>
        <v>0</v>
      </c>
      <c r="PQ77" s="223">
        <f xml:space="preserve"> InputsTS!PQ$184</f>
        <v>0</v>
      </c>
      <c r="PR77" s="223">
        <f xml:space="preserve"> InputsTS!PR$184</f>
        <v>0</v>
      </c>
      <c r="PS77" s="223">
        <f xml:space="preserve"> InputsTS!PS$184</f>
        <v>0</v>
      </c>
      <c r="PT77" s="223">
        <f xml:space="preserve"> InputsTS!PT$184</f>
        <v>0</v>
      </c>
      <c r="PU77" s="223">
        <f xml:space="preserve"> InputsTS!PU$184</f>
        <v>0</v>
      </c>
      <c r="PV77" s="223">
        <f xml:space="preserve"> InputsTS!PV$184</f>
        <v>0</v>
      </c>
      <c r="PW77" s="223">
        <f xml:space="preserve"> InputsTS!PW$184</f>
        <v>0</v>
      </c>
      <c r="PX77" s="223">
        <f xml:space="preserve"> InputsTS!PX$184</f>
        <v>0</v>
      </c>
      <c r="PY77" s="223">
        <f xml:space="preserve"> InputsTS!PY$184</f>
        <v>0</v>
      </c>
      <c r="PZ77" s="223">
        <f xml:space="preserve"> InputsTS!PZ$184</f>
        <v>0</v>
      </c>
      <c r="QA77" s="223">
        <f xml:space="preserve"> InputsTS!QA$184</f>
        <v>0</v>
      </c>
      <c r="QB77" s="223">
        <f xml:space="preserve"> InputsTS!QB$184</f>
        <v>0</v>
      </c>
      <c r="QC77" s="223">
        <f xml:space="preserve"> InputsTS!QC$184</f>
        <v>0</v>
      </c>
      <c r="QD77" s="223">
        <f xml:space="preserve"> InputsTS!QD$184</f>
        <v>0</v>
      </c>
      <c r="QE77" s="223">
        <f xml:space="preserve"> InputsTS!QE$184</f>
        <v>0</v>
      </c>
      <c r="QF77" s="223">
        <f xml:space="preserve"> InputsTS!QF$184</f>
        <v>0</v>
      </c>
      <c r="QG77" s="223">
        <f xml:space="preserve"> InputsTS!QG$184</f>
        <v>0</v>
      </c>
      <c r="QH77" s="223">
        <f xml:space="preserve"> InputsTS!QH$184</f>
        <v>0</v>
      </c>
      <c r="QI77" s="223">
        <f xml:space="preserve"> InputsTS!QI$184</f>
        <v>0</v>
      </c>
      <c r="QJ77" s="223">
        <f xml:space="preserve"> InputsTS!QJ$184</f>
        <v>0</v>
      </c>
      <c r="QK77" s="223">
        <f xml:space="preserve"> InputsTS!QK$184</f>
        <v>0</v>
      </c>
      <c r="QL77" s="223">
        <f xml:space="preserve"> InputsTS!QL$184</f>
        <v>0</v>
      </c>
      <c r="QM77" s="223">
        <f xml:space="preserve"> InputsTS!QM$184</f>
        <v>0</v>
      </c>
      <c r="QN77" s="223">
        <f xml:space="preserve"> InputsTS!QN$184</f>
        <v>0</v>
      </c>
      <c r="QO77" s="223">
        <f xml:space="preserve"> InputsTS!QO$184</f>
        <v>0</v>
      </c>
      <c r="QP77" s="223">
        <f xml:space="preserve"> InputsTS!QP$184</f>
        <v>0</v>
      </c>
      <c r="QQ77" s="223">
        <f xml:space="preserve"> InputsTS!QQ$184</f>
        <v>0</v>
      </c>
      <c r="QR77" s="223">
        <f xml:space="preserve"> InputsTS!QR$184</f>
        <v>0</v>
      </c>
      <c r="QS77" s="223">
        <f xml:space="preserve"> InputsTS!QS$184</f>
        <v>0</v>
      </c>
      <c r="QT77" s="223">
        <f xml:space="preserve"> InputsTS!QT$184</f>
        <v>0</v>
      </c>
      <c r="QU77" s="223">
        <f xml:space="preserve"> InputsTS!QU$184</f>
        <v>0</v>
      </c>
      <c r="QV77" s="223">
        <f xml:space="preserve"> InputsTS!QV$184</f>
        <v>0</v>
      </c>
      <c r="QW77" s="223">
        <f xml:space="preserve"> InputsTS!QW$184</f>
        <v>0</v>
      </c>
      <c r="QX77" s="223">
        <f xml:space="preserve"> InputsTS!QX$184</f>
        <v>0</v>
      </c>
      <c r="QY77" s="223">
        <f xml:space="preserve"> InputsTS!QY$184</f>
        <v>0</v>
      </c>
      <c r="QZ77" s="223">
        <f xml:space="preserve"> InputsTS!QZ$184</f>
        <v>0</v>
      </c>
      <c r="RA77" s="223">
        <f xml:space="preserve"> InputsTS!RA$184</f>
        <v>0</v>
      </c>
      <c r="RB77" s="223">
        <f xml:space="preserve"> InputsTS!RB$184</f>
        <v>0</v>
      </c>
      <c r="RC77" s="223">
        <f xml:space="preserve"> InputsTS!RC$184</f>
        <v>0</v>
      </c>
      <c r="RD77" s="223">
        <f xml:space="preserve"> InputsTS!RD$184</f>
        <v>0</v>
      </c>
      <c r="RE77" s="223">
        <f xml:space="preserve"> InputsTS!RE$184</f>
        <v>0</v>
      </c>
      <c r="RF77" s="223">
        <f xml:space="preserve"> InputsTS!RF$184</f>
        <v>0</v>
      </c>
      <c r="RG77" s="223">
        <f xml:space="preserve"> InputsTS!RG$184</f>
        <v>0</v>
      </c>
      <c r="RH77" s="223">
        <f xml:space="preserve"> InputsTS!RH$184</f>
        <v>0</v>
      </c>
      <c r="RI77" s="223">
        <f xml:space="preserve"> InputsTS!RI$184</f>
        <v>0</v>
      </c>
      <c r="RJ77" s="223">
        <f xml:space="preserve"> InputsTS!RJ$184</f>
        <v>0</v>
      </c>
      <c r="RK77" s="223">
        <f xml:space="preserve"> InputsTS!RK$184</f>
        <v>0</v>
      </c>
      <c r="RL77" s="223">
        <f xml:space="preserve"> InputsTS!RL$184</f>
        <v>0</v>
      </c>
      <c r="RM77" s="223">
        <f xml:space="preserve"> InputsTS!RM$184</f>
        <v>0</v>
      </c>
      <c r="RN77" s="223">
        <f xml:space="preserve"> InputsTS!RN$184</f>
        <v>0</v>
      </c>
      <c r="RO77" s="223">
        <f xml:space="preserve"> InputsTS!RO$184</f>
        <v>0</v>
      </c>
      <c r="RP77" s="223">
        <f xml:space="preserve"> InputsTS!RP$184</f>
        <v>0</v>
      </c>
      <c r="RQ77" s="223">
        <f xml:space="preserve"> InputsTS!RQ$184</f>
        <v>0</v>
      </c>
      <c r="RR77" s="223">
        <f xml:space="preserve"> InputsTS!RR$184</f>
        <v>0</v>
      </c>
      <c r="RS77" s="223">
        <f xml:space="preserve"> InputsTS!RS$184</f>
        <v>0</v>
      </c>
      <c r="RT77" s="223">
        <f xml:space="preserve"> InputsTS!RT$184</f>
        <v>0</v>
      </c>
      <c r="RU77" s="223">
        <f xml:space="preserve"> InputsTS!RU$184</f>
        <v>0</v>
      </c>
      <c r="RV77" s="223">
        <f xml:space="preserve"> InputsTS!RV$184</f>
        <v>0</v>
      </c>
      <c r="RW77" s="223">
        <f xml:space="preserve"> InputsTS!RW$184</f>
        <v>0</v>
      </c>
      <c r="RX77" s="223">
        <f xml:space="preserve"> InputsTS!RX$184</f>
        <v>0</v>
      </c>
      <c r="RY77" s="223">
        <f xml:space="preserve"> InputsTS!RY$184</f>
        <v>0</v>
      </c>
      <c r="RZ77" s="223">
        <f xml:space="preserve"> InputsTS!RZ$184</f>
        <v>0</v>
      </c>
      <c r="SA77" s="223">
        <f xml:space="preserve"> InputsTS!SA$184</f>
        <v>0</v>
      </c>
      <c r="SB77" s="223">
        <f xml:space="preserve"> InputsTS!SB$184</f>
        <v>0</v>
      </c>
      <c r="SC77" s="223">
        <f xml:space="preserve"> InputsTS!SC$184</f>
        <v>0</v>
      </c>
      <c r="SD77" s="223">
        <f xml:space="preserve"> InputsTS!SD$184</f>
        <v>0</v>
      </c>
      <c r="SE77" s="223">
        <f xml:space="preserve"> InputsTS!SE$184</f>
        <v>0</v>
      </c>
      <c r="SF77" s="223">
        <f xml:space="preserve"> InputsTS!SF$184</f>
        <v>0</v>
      </c>
      <c r="SG77" s="223">
        <f xml:space="preserve"> InputsTS!SG$184</f>
        <v>0</v>
      </c>
      <c r="SH77" s="223">
        <f xml:space="preserve"> InputsTS!SH$184</f>
        <v>0</v>
      </c>
      <c r="SI77" s="223">
        <f xml:space="preserve"> InputsTS!SI$184</f>
        <v>0</v>
      </c>
      <c r="SJ77" s="223">
        <f xml:space="preserve"> InputsTS!SJ$184</f>
        <v>0</v>
      </c>
      <c r="SK77" s="223">
        <f xml:space="preserve"> InputsTS!SK$184</f>
        <v>0</v>
      </c>
      <c r="SL77" s="223">
        <f xml:space="preserve"> InputsTS!SL$184</f>
        <v>0</v>
      </c>
      <c r="SM77" s="223">
        <f xml:space="preserve"> InputsTS!SM$184</f>
        <v>0</v>
      </c>
      <c r="SN77" s="223">
        <f xml:space="preserve"> InputsTS!SN$184</f>
        <v>0</v>
      </c>
      <c r="SO77" s="223">
        <f xml:space="preserve"> InputsTS!SO$184</f>
        <v>0</v>
      </c>
      <c r="SP77" s="223">
        <f xml:space="preserve"> InputsTS!SP$184</f>
        <v>0</v>
      </c>
      <c r="SQ77" s="223">
        <f xml:space="preserve"> InputsTS!SQ$184</f>
        <v>0</v>
      </c>
      <c r="SR77" s="223">
        <f xml:space="preserve"> InputsTS!SR$184</f>
        <v>0</v>
      </c>
      <c r="SS77" s="223">
        <f xml:space="preserve"> InputsTS!SS$184</f>
        <v>0</v>
      </c>
      <c r="ST77" s="223">
        <f xml:space="preserve"> InputsTS!ST$184</f>
        <v>0</v>
      </c>
      <c r="SU77" s="223">
        <f xml:space="preserve"> InputsTS!SU$184</f>
        <v>0</v>
      </c>
      <c r="SV77" s="223">
        <f xml:space="preserve"> InputsTS!SV$184</f>
        <v>0</v>
      </c>
      <c r="SW77" s="223">
        <f xml:space="preserve"> InputsTS!SW$184</f>
        <v>0</v>
      </c>
      <c r="SX77" s="223">
        <f xml:space="preserve"> InputsTS!SX$184</f>
        <v>0</v>
      </c>
      <c r="SY77" s="223">
        <f xml:space="preserve"> InputsTS!SY$184</f>
        <v>0</v>
      </c>
      <c r="SZ77" s="223">
        <f xml:space="preserve"> InputsTS!SZ$184</f>
        <v>0</v>
      </c>
      <c r="TA77" s="223">
        <f xml:space="preserve"> InputsTS!TA$184</f>
        <v>0</v>
      </c>
      <c r="TB77" s="223">
        <f xml:space="preserve"> InputsTS!TB$184</f>
        <v>0</v>
      </c>
      <c r="TC77" s="223">
        <f xml:space="preserve"> InputsTS!TC$184</f>
        <v>0</v>
      </c>
      <c r="TD77" s="223">
        <f xml:space="preserve"> InputsTS!TD$184</f>
        <v>0</v>
      </c>
      <c r="TE77" s="223">
        <f xml:space="preserve"> InputsTS!TE$184</f>
        <v>0</v>
      </c>
      <c r="TF77" s="223">
        <f xml:space="preserve"> InputsTS!TF$184</f>
        <v>0</v>
      </c>
      <c r="TG77" s="223">
        <f xml:space="preserve"> InputsTS!TG$184</f>
        <v>0</v>
      </c>
      <c r="TH77" s="223">
        <f xml:space="preserve"> InputsTS!TH$184</f>
        <v>0</v>
      </c>
      <c r="TI77" s="223">
        <f xml:space="preserve"> InputsTS!TI$184</f>
        <v>0</v>
      </c>
      <c r="TJ77" s="223">
        <f xml:space="preserve"> InputsTS!TJ$184</f>
        <v>0</v>
      </c>
      <c r="TK77" s="223">
        <f xml:space="preserve"> InputsTS!TK$184</f>
        <v>0</v>
      </c>
      <c r="TL77" s="223">
        <f xml:space="preserve"> InputsTS!TL$184</f>
        <v>0</v>
      </c>
      <c r="TM77" s="223">
        <f xml:space="preserve"> InputsTS!TM$184</f>
        <v>0</v>
      </c>
      <c r="TN77" s="223">
        <f xml:space="preserve"> InputsTS!TN$184</f>
        <v>0</v>
      </c>
      <c r="TO77" s="223">
        <f xml:space="preserve"> InputsTS!TO$184</f>
        <v>0</v>
      </c>
      <c r="TP77" s="223">
        <f xml:space="preserve"> InputsTS!TP$184</f>
        <v>0</v>
      </c>
      <c r="TQ77" s="223">
        <f xml:space="preserve"> InputsTS!TQ$184</f>
        <v>0</v>
      </c>
      <c r="TR77" s="223">
        <f xml:space="preserve"> InputsTS!TR$184</f>
        <v>0</v>
      </c>
      <c r="TS77" s="223">
        <f xml:space="preserve"> InputsTS!TS$184</f>
        <v>0</v>
      </c>
      <c r="TT77" s="223">
        <f xml:space="preserve"> InputsTS!TT$184</f>
        <v>0</v>
      </c>
      <c r="TU77" s="223">
        <f xml:space="preserve"> InputsTS!TU$184</f>
        <v>0</v>
      </c>
      <c r="TV77" s="223">
        <f xml:space="preserve"> InputsTS!TV$184</f>
        <v>0</v>
      </c>
      <c r="TW77" s="223">
        <f xml:space="preserve"> InputsTS!TW$184</f>
        <v>0</v>
      </c>
      <c r="TX77" s="223">
        <f xml:space="preserve"> InputsTS!TX$184</f>
        <v>0</v>
      </c>
      <c r="TY77" s="223">
        <f xml:space="preserve"> InputsTS!TY$184</f>
        <v>0</v>
      </c>
      <c r="TZ77" s="223">
        <f xml:space="preserve"> InputsTS!TZ$184</f>
        <v>0</v>
      </c>
      <c r="UA77" s="223">
        <f xml:space="preserve"> InputsTS!UA$184</f>
        <v>0</v>
      </c>
      <c r="UB77" s="223">
        <f xml:space="preserve"> InputsTS!UB$184</f>
        <v>0</v>
      </c>
      <c r="UC77" s="223">
        <f xml:space="preserve"> InputsTS!UC$184</f>
        <v>0</v>
      </c>
      <c r="UD77" s="223">
        <f xml:space="preserve"> InputsTS!UD$184</f>
        <v>0</v>
      </c>
      <c r="UE77" s="223">
        <f xml:space="preserve"> InputsTS!UE$184</f>
        <v>0</v>
      </c>
      <c r="UF77" s="223">
        <f xml:space="preserve"> InputsTS!UF$184</f>
        <v>0</v>
      </c>
      <c r="UG77" s="223">
        <f xml:space="preserve"> InputsTS!UG$184</f>
        <v>0</v>
      </c>
      <c r="UH77" s="223">
        <f xml:space="preserve"> InputsTS!UH$184</f>
        <v>0</v>
      </c>
      <c r="UI77" s="223">
        <f xml:space="preserve"> InputsTS!UI$184</f>
        <v>0</v>
      </c>
      <c r="UJ77" s="223">
        <f xml:space="preserve"> InputsTS!UJ$184</f>
        <v>0</v>
      </c>
      <c r="UK77" s="223">
        <f xml:space="preserve"> InputsTS!UK$184</f>
        <v>0</v>
      </c>
      <c r="UL77" s="223">
        <f xml:space="preserve"> InputsTS!UL$184</f>
        <v>0</v>
      </c>
      <c r="UM77" s="223">
        <f xml:space="preserve"> InputsTS!UM$184</f>
        <v>0</v>
      </c>
      <c r="UN77" s="223">
        <f xml:space="preserve"> InputsTS!UN$184</f>
        <v>0</v>
      </c>
      <c r="UO77" s="223">
        <f xml:space="preserve"> InputsTS!UO$184</f>
        <v>0</v>
      </c>
      <c r="UP77" s="223">
        <f xml:space="preserve"> InputsTS!UP$184</f>
        <v>0</v>
      </c>
      <c r="UQ77" s="223">
        <f xml:space="preserve"> InputsTS!UQ$184</f>
        <v>0</v>
      </c>
      <c r="UR77" s="223">
        <f xml:space="preserve"> InputsTS!UR$184</f>
        <v>0</v>
      </c>
      <c r="US77" s="223">
        <f xml:space="preserve"> InputsTS!US$184</f>
        <v>0</v>
      </c>
      <c r="UT77" s="223">
        <f xml:space="preserve"> InputsTS!UT$184</f>
        <v>0</v>
      </c>
      <c r="UU77" s="223">
        <f xml:space="preserve"> InputsTS!UU$184</f>
        <v>0</v>
      </c>
      <c r="UV77" s="223">
        <f xml:space="preserve"> InputsTS!UV$184</f>
        <v>0</v>
      </c>
      <c r="UW77" s="223">
        <f xml:space="preserve"> InputsTS!UW$184</f>
        <v>0</v>
      </c>
      <c r="UX77" s="223">
        <f xml:space="preserve"> InputsTS!UX$184</f>
        <v>0</v>
      </c>
      <c r="UY77" s="223">
        <f xml:space="preserve"> InputsTS!UY$184</f>
        <v>0</v>
      </c>
      <c r="UZ77" s="223">
        <f xml:space="preserve"> InputsTS!UZ$184</f>
        <v>0</v>
      </c>
      <c r="VA77" s="223">
        <f xml:space="preserve"> InputsTS!VA$184</f>
        <v>0</v>
      </c>
      <c r="VB77" s="223">
        <f xml:space="preserve"> InputsTS!VB$184</f>
        <v>0</v>
      </c>
      <c r="VC77" s="223">
        <f xml:space="preserve"> InputsTS!VC$184</f>
        <v>0</v>
      </c>
      <c r="VD77" s="223">
        <f xml:space="preserve"> InputsTS!VD$184</f>
        <v>0</v>
      </c>
      <c r="VE77" s="223">
        <f xml:space="preserve"> InputsTS!VE$184</f>
        <v>0</v>
      </c>
      <c r="VF77" s="223">
        <f xml:space="preserve"> InputsTS!VF$184</f>
        <v>0</v>
      </c>
      <c r="VG77" s="223">
        <f xml:space="preserve"> InputsTS!VG$184</f>
        <v>0</v>
      </c>
      <c r="VH77" s="223">
        <f xml:space="preserve"> InputsTS!VH$184</f>
        <v>0</v>
      </c>
      <c r="VI77" s="223">
        <f xml:space="preserve"> InputsTS!VI$184</f>
        <v>0</v>
      </c>
      <c r="VJ77" s="223">
        <f xml:space="preserve"> InputsTS!VJ$184</f>
        <v>0</v>
      </c>
      <c r="VK77" s="223">
        <f xml:space="preserve"> InputsTS!VK$184</f>
        <v>0</v>
      </c>
      <c r="VL77" s="223">
        <f xml:space="preserve"> InputsTS!VL$184</f>
        <v>0</v>
      </c>
      <c r="VM77" s="223">
        <f xml:space="preserve"> InputsTS!VM$184</f>
        <v>0</v>
      </c>
      <c r="VN77" s="223">
        <f xml:space="preserve"> InputsTS!VN$184</f>
        <v>0</v>
      </c>
      <c r="VO77" s="223">
        <f xml:space="preserve"> InputsTS!VO$184</f>
        <v>0</v>
      </c>
      <c r="VP77" s="223">
        <f xml:space="preserve"> InputsTS!VP$184</f>
        <v>0</v>
      </c>
      <c r="VQ77" s="223">
        <f xml:space="preserve"> InputsTS!VQ$184</f>
        <v>0</v>
      </c>
      <c r="VR77" s="223">
        <f xml:space="preserve"> InputsTS!VR$184</f>
        <v>0</v>
      </c>
      <c r="VS77" s="223">
        <f xml:space="preserve"> InputsTS!VS$184</f>
        <v>0</v>
      </c>
      <c r="VT77" s="223">
        <f xml:space="preserve"> InputsTS!VT$184</f>
        <v>0</v>
      </c>
      <c r="VU77" s="223">
        <f xml:space="preserve"> InputsTS!VU$184</f>
        <v>0</v>
      </c>
      <c r="VV77" s="223">
        <f xml:space="preserve"> InputsTS!VV$184</f>
        <v>0</v>
      </c>
      <c r="VW77" s="223">
        <f xml:space="preserve"> InputsTS!VW$184</f>
        <v>0</v>
      </c>
      <c r="VX77" s="223">
        <f xml:space="preserve"> InputsTS!VX$184</f>
        <v>0</v>
      </c>
      <c r="VY77" s="223">
        <f xml:space="preserve"> InputsTS!VY$184</f>
        <v>0</v>
      </c>
      <c r="VZ77" s="223">
        <f xml:space="preserve"> InputsTS!VZ$184</f>
        <v>0</v>
      </c>
      <c r="WA77" s="223">
        <f xml:space="preserve"> InputsTS!WA$184</f>
        <v>0</v>
      </c>
      <c r="WB77" s="223">
        <f xml:space="preserve"> InputsTS!WB$184</f>
        <v>0</v>
      </c>
      <c r="WC77" s="223">
        <f xml:space="preserve"> InputsTS!WC$184</f>
        <v>0</v>
      </c>
      <c r="WD77" s="223">
        <f xml:space="preserve"> InputsTS!WD$184</f>
        <v>0</v>
      </c>
      <c r="WE77" s="223">
        <f xml:space="preserve"> InputsTS!WE$184</f>
        <v>0</v>
      </c>
      <c r="WF77" s="223">
        <f xml:space="preserve"> InputsTS!WF$184</f>
        <v>0</v>
      </c>
      <c r="WG77" s="223">
        <f xml:space="preserve"> InputsTS!WG$184</f>
        <v>0</v>
      </c>
      <c r="WH77" s="223">
        <f xml:space="preserve"> InputsTS!WH$184</f>
        <v>0</v>
      </c>
      <c r="WI77" s="223">
        <f xml:space="preserve"> InputsTS!WI$184</f>
        <v>0</v>
      </c>
      <c r="WJ77" s="223">
        <f xml:space="preserve"> InputsTS!WJ$184</f>
        <v>0</v>
      </c>
      <c r="WK77" s="223">
        <f xml:space="preserve"> InputsTS!WK$184</f>
        <v>0</v>
      </c>
      <c r="WL77" s="223">
        <f xml:space="preserve"> InputsTS!WL$184</f>
        <v>0</v>
      </c>
      <c r="WM77" s="223">
        <f xml:space="preserve"> InputsTS!WM$184</f>
        <v>0</v>
      </c>
      <c r="WN77" s="223">
        <f xml:space="preserve"> InputsTS!WN$184</f>
        <v>0</v>
      </c>
      <c r="WO77" s="223">
        <f xml:space="preserve"> InputsTS!WO$184</f>
        <v>0</v>
      </c>
      <c r="WP77" s="223">
        <f xml:space="preserve"> InputsTS!WP$184</f>
        <v>0</v>
      </c>
      <c r="WQ77" s="223">
        <f xml:space="preserve"> InputsTS!WQ$184</f>
        <v>0</v>
      </c>
      <c r="WR77" s="223">
        <f xml:space="preserve"> InputsTS!WR$184</f>
        <v>0</v>
      </c>
      <c r="WS77" s="223">
        <f xml:space="preserve"> InputsTS!WS$184</f>
        <v>0</v>
      </c>
      <c r="WT77" s="223">
        <f xml:space="preserve"> InputsTS!WT$184</f>
        <v>0</v>
      </c>
      <c r="WU77" s="223">
        <f xml:space="preserve"> InputsTS!WU$184</f>
        <v>0</v>
      </c>
      <c r="WV77" s="223">
        <f xml:space="preserve"> InputsTS!WV$184</f>
        <v>0</v>
      </c>
      <c r="WW77" s="223">
        <f xml:space="preserve"> InputsTS!WW$184</f>
        <v>0</v>
      </c>
      <c r="WX77" s="223">
        <f xml:space="preserve"> InputsTS!WX$184</f>
        <v>0</v>
      </c>
      <c r="WY77" s="223">
        <f xml:space="preserve"> InputsTS!WY$184</f>
        <v>0</v>
      </c>
      <c r="WZ77" s="223">
        <f xml:space="preserve"> InputsTS!WZ$184</f>
        <v>0</v>
      </c>
      <c r="XA77" s="223">
        <f xml:space="preserve"> InputsTS!XA$184</f>
        <v>0</v>
      </c>
      <c r="XB77" s="223">
        <f xml:space="preserve"> InputsTS!XB$184</f>
        <v>0</v>
      </c>
      <c r="XC77" s="223">
        <f xml:space="preserve"> InputsTS!XC$184</f>
        <v>0</v>
      </c>
      <c r="XD77" s="223">
        <f xml:space="preserve"> InputsTS!XD$184</f>
        <v>0</v>
      </c>
      <c r="XE77" s="223">
        <f xml:space="preserve"> InputsTS!XE$184</f>
        <v>0</v>
      </c>
      <c r="XF77" s="223">
        <f xml:space="preserve"> InputsTS!XF$184</f>
        <v>0</v>
      </c>
      <c r="XG77" s="223">
        <f xml:space="preserve"> InputsTS!XG$184</f>
        <v>0</v>
      </c>
      <c r="XH77" s="223">
        <f xml:space="preserve"> InputsTS!XH$184</f>
        <v>0</v>
      </c>
      <c r="XI77" s="223">
        <f xml:space="preserve"> InputsTS!XI$184</f>
        <v>0</v>
      </c>
      <c r="XJ77" s="223">
        <f xml:space="preserve"> InputsTS!XJ$184</f>
        <v>0</v>
      </c>
      <c r="XK77" s="223">
        <f xml:space="preserve"> InputsTS!XK$184</f>
        <v>0</v>
      </c>
      <c r="XL77" s="223">
        <f xml:space="preserve"> InputsTS!XL$184</f>
        <v>0</v>
      </c>
      <c r="XM77" s="223">
        <f xml:space="preserve"> InputsTS!XM$184</f>
        <v>0</v>
      </c>
      <c r="XN77" s="223">
        <f xml:space="preserve"> InputsTS!XN$184</f>
        <v>0</v>
      </c>
      <c r="XO77" s="223">
        <f xml:space="preserve"> InputsTS!XO$184</f>
        <v>0</v>
      </c>
      <c r="XP77" s="223">
        <f xml:space="preserve"> InputsTS!XP$184</f>
        <v>0</v>
      </c>
      <c r="XQ77" s="223">
        <f xml:space="preserve"> InputsTS!XQ$184</f>
        <v>0</v>
      </c>
      <c r="XR77" s="223">
        <f xml:space="preserve"> InputsTS!XR$184</f>
        <v>0</v>
      </c>
      <c r="XS77" s="223">
        <f xml:space="preserve"> InputsTS!XS$184</f>
        <v>0</v>
      </c>
      <c r="XT77" s="223">
        <f xml:space="preserve"> InputsTS!XT$184</f>
        <v>0</v>
      </c>
      <c r="XU77" s="223">
        <f xml:space="preserve"> InputsTS!XU$184</f>
        <v>0</v>
      </c>
      <c r="XV77" s="223">
        <f xml:space="preserve"> InputsTS!XV$184</f>
        <v>0</v>
      </c>
      <c r="XW77" s="223">
        <f xml:space="preserve"> InputsTS!XW$184</f>
        <v>0</v>
      </c>
      <c r="XX77" s="223">
        <f xml:space="preserve"> InputsTS!XX$184</f>
        <v>0</v>
      </c>
      <c r="XY77" s="223">
        <f xml:space="preserve"> InputsTS!XY$184</f>
        <v>0</v>
      </c>
      <c r="XZ77" s="223">
        <f xml:space="preserve"> InputsTS!XZ$184</f>
        <v>0</v>
      </c>
      <c r="YA77" s="223">
        <f xml:space="preserve"> InputsTS!YA$184</f>
        <v>0</v>
      </c>
      <c r="YB77" s="223">
        <f xml:space="preserve"> InputsTS!YB$184</f>
        <v>0</v>
      </c>
      <c r="YC77" s="223">
        <f xml:space="preserve"> InputsTS!YC$184</f>
        <v>0</v>
      </c>
      <c r="YD77" s="223">
        <f xml:space="preserve"> InputsTS!YD$184</f>
        <v>0</v>
      </c>
      <c r="YE77" s="223">
        <f xml:space="preserve"> InputsTS!YE$184</f>
        <v>0</v>
      </c>
      <c r="YF77" s="223">
        <f xml:space="preserve"> InputsTS!YF$184</f>
        <v>0</v>
      </c>
      <c r="YG77" s="223">
        <f xml:space="preserve"> InputsTS!YG$184</f>
        <v>0</v>
      </c>
      <c r="YH77" s="223">
        <f xml:space="preserve"> InputsTS!YH$184</f>
        <v>0</v>
      </c>
      <c r="YI77" s="223">
        <f xml:space="preserve"> InputsTS!YI$184</f>
        <v>0</v>
      </c>
      <c r="YJ77" s="223">
        <f xml:space="preserve"> InputsTS!YJ$184</f>
        <v>0</v>
      </c>
      <c r="YK77" s="223">
        <f xml:space="preserve"> InputsTS!YK$184</f>
        <v>0</v>
      </c>
      <c r="YL77" s="223">
        <f xml:space="preserve"> InputsTS!YL$184</f>
        <v>0</v>
      </c>
      <c r="YM77" s="223">
        <f xml:space="preserve"> InputsTS!YM$184</f>
        <v>0</v>
      </c>
      <c r="YN77" s="223">
        <f xml:space="preserve"> InputsTS!YN$184</f>
        <v>0</v>
      </c>
      <c r="YO77" s="223">
        <f xml:space="preserve"> InputsTS!YO$184</f>
        <v>0</v>
      </c>
      <c r="YP77" s="223">
        <f xml:space="preserve"> InputsTS!YP$184</f>
        <v>0</v>
      </c>
      <c r="YQ77" s="223">
        <f xml:space="preserve"> InputsTS!YQ$184</f>
        <v>0</v>
      </c>
      <c r="YR77" s="223">
        <f xml:space="preserve"> InputsTS!YR$184</f>
        <v>0</v>
      </c>
      <c r="YS77" s="223">
        <f xml:space="preserve"> InputsTS!YS$184</f>
        <v>0</v>
      </c>
      <c r="YT77" s="223">
        <f xml:space="preserve"> InputsTS!YT$184</f>
        <v>0</v>
      </c>
      <c r="YU77" s="223">
        <f xml:space="preserve"> InputsTS!YU$184</f>
        <v>0</v>
      </c>
      <c r="YV77" s="223">
        <f xml:space="preserve"> InputsTS!YV$184</f>
        <v>0</v>
      </c>
      <c r="YW77" s="223">
        <f xml:space="preserve"> InputsTS!YW$184</f>
        <v>0</v>
      </c>
      <c r="YX77" s="223">
        <f xml:space="preserve"> InputsTS!YX$184</f>
        <v>0</v>
      </c>
      <c r="YY77" s="223">
        <f xml:space="preserve"> InputsTS!YY$184</f>
        <v>0</v>
      </c>
      <c r="YZ77" s="223">
        <f xml:space="preserve"> InputsTS!YZ$184</f>
        <v>0</v>
      </c>
      <c r="ZA77" s="223">
        <f xml:space="preserve"> InputsTS!ZA$184</f>
        <v>0</v>
      </c>
      <c r="ZB77" s="223">
        <f xml:space="preserve"> InputsTS!ZB$184</f>
        <v>0</v>
      </c>
      <c r="ZC77" s="223">
        <f xml:space="preserve"> InputsTS!ZC$184</f>
        <v>0</v>
      </c>
      <c r="ZD77" s="223">
        <f xml:space="preserve"> InputsTS!ZD$184</f>
        <v>0</v>
      </c>
      <c r="ZE77" s="223">
        <f xml:space="preserve"> InputsTS!ZE$184</f>
        <v>0</v>
      </c>
      <c r="ZF77" s="223">
        <f xml:space="preserve"> InputsTS!ZF$184</f>
        <v>0</v>
      </c>
      <c r="ZG77" s="223">
        <f xml:space="preserve"> InputsTS!ZG$184</f>
        <v>0</v>
      </c>
      <c r="ZH77" s="223">
        <f xml:space="preserve"> InputsTS!ZH$184</f>
        <v>0</v>
      </c>
      <c r="ZI77" s="223">
        <f xml:space="preserve"> InputsTS!ZI$184</f>
        <v>0</v>
      </c>
      <c r="ZJ77" s="223">
        <f xml:space="preserve"> InputsTS!ZJ$184</f>
        <v>0</v>
      </c>
      <c r="ZK77" s="223">
        <f xml:space="preserve"> InputsTS!ZK$184</f>
        <v>0</v>
      </c>
      <c r="ZL77" s="223">
        <f xml:space="preserve"> InputsTS!ZL$184</f>
        <v>0</v>
      </c>
      <c r="ZM77" s="223">
        <f xml:space="preserve"> InputsTS!ZM$184</f>
        <v>0</v>
      </c>
      <c r="ZN77" s="223">
        <f xml:space="preserve"> InputsTS!ZN$184</f>
        <v>0</v>
      </c>
      <c r="ZO77" s="223">
        <f xml:space="preserve"> InputsTS!ZO$184</f>
        <v>0</v>
      </c>
      <c r="ZP77" s="223">
        <f xml:space="preserve"> InputsTS!ZP$184</f>
        <v>0</v>
      </c>
      <c r="ZQ77" s="223">
        <f xml:space="preserve"> InputsTS!ZQ$184</f>
        <v>0</v>
      </c>
      <c r="ZR77" s="223">
        <f xml:space="preserve"> InputsTS!ZR$184</f>
        <v>0</v>
      </c>
      <c r="ZS77" s="223">
        <f xml:space="preserve"> InputsTS!ZS$184</f>
        <v>0</v>
      </c>
      <c r="ZT77" s="223">
        <f xml:space="preserve"> InputsTS!ZT$184</f>
        <v>0</v>
      </c>
      <c r="ZU77" s="223">
        <f xml:space="preserve"> InputsTS!ZU$184</f>
        <v>0</v>
      </c>
      <c r="ZV77" s="223">
        <f xml:space="preserve"> InputsTS!ZV$184</f>
        <v>0</v>
      </c>
      <c r="ZW77" s="223">
        <f xml:space="preserve"> InputsTS!ZW$184</f>
        <v>0</v>
      </c>
      <c r="ZX77" s="223">
        <f xml:space="preserve"> InputsTS!ZX$184</f>
        <v>0</v>
      </c>
      <c r="ZY77" s="223">
        <f xml:space="preserve"> InputsTS!ZY$184</f>
        <v>0</v>
      </c>
      <c r="ZZ77" s="223">
        <f xml:space="preserve"> InputsTS!ZZ$184</f>
        <v>0</v>
      </c>
      <c r="AAA77" s="223">
        <f xml:space="preserve"> InputsTS!AAA$184</f>
        <v>0</v>
      </c>
      <c r="AAB77" s="223">
        <f xml:space="preserve"> InputsTS!AAB$184</f>
        <v>0</v>
      </c>
      <c r="AAC77" s="223">
        <f xml:space="preserve"> InputsTS!AAC$184</f>
        <v>0</v>
      </c>
      <c r="AAD77" s="223">
        <f xml:space="preserve"> InputsTS!AAD$184</f>
        <v>0</v>
      </c>
      <c r="AAE77" s="223">
        <f xml:space="preserve"> InputsTS!AAE$184</f>
        <v>0</v>
      </c>
      <c r="AAF77" s="223">
        <f xml:space="preserve"> InputsTS!AAF$184</f>
        <v>0</v>
      </c>
      <c r="AAG77" s="223">
        <f xml:space="preserve"> InputsTS!AAG$184</f>
        <v>0</v>
      </c>
      <c r="AAH77" s="223">
        <f xml:space="preserve"> InputsTS!AAH$184</f>
        <v>0</v>
      </c>
      <c r="AAI77" s="223">
        <f xml:space="preserve"> InputsTS!AAI$184</f>
        <v>0</v>
      </c>
      <c r="AAJ77" s="223">
        <f xml:space="preserve"> InputsTS!AAJ$184</f>
        <v>0</v>
      </c>
      <c r="AAK77" s="223">
        <f xml:space="preserve"> InputsTS!AAK$184</f>
        <v>0</v>
      </c>
      <c r="AAL77" s="223">
        <f xml:space="preserve"> InputsTS!AAL$184</f>
        <v>0</v>
      </c>
      <c r="AAM77" s="223">
        <f xml:space="preserve"> InputsTS!AAM$184</f>
        <v>0</v>
      </c>
      <c r="AAN77" s="223">
        <f xml:space="preserve"> InputsTS!AAN$184</f>
        <v>0</v>
      </c>
      <c r="AAO77" s="223">
        <f xml:space="preserve"> InputsTS!AAO$184</f>
        <v>0</v>
      </c>
      <c r="AAP77" s="223">
        <f xml:space="preserve"> InputsTS!AAP$184</f>
        <v>0</v>
      </c>
      <c r="AAQ77" s="223">
        <f xml:space="preserve"> InputsTS!AAQ$184</f>
        <v>0</v>
      </c>
      <c r="AAR77" s="223">
        <f xml:space="preserve"> InputsTS!AAR$184</f>
        <v>0</v>
      </c>
      <c r="AAS77" s="223">
        <f xml:space="preserve"> InputsTS!AAS$184</f>
        <v>0</v>
      </c>
      <c r="AAT77" s="223">
        <f xml:space="preserve"> InputsTS!AAT$184</f>
        <v>0</v>
      </c>
      <c r="AAU77" s="223">
        <f xml:space="preserve"> InputsTS!AAU$184</f>
        <v>0</v>
      </c>
      <c r="AAV77" s="223">
        <f xml:space="preserve"> InputsTS!AAV$184</f>
        <v>0</v>
      </c>
      <c r="AAW77" s="223">
        <f xml:space="preserve"> InputsTS!AAW$184</f>
        <v>0</v>
      </c>
      <c r="AAX77" s="223">
        <f xml:space="preserve"> InputsTS!AAX$184</f>
        <v>0</v>
      </c>
      <c r="AAY77" s="223">
        <f xml:space="preserve"> InputsTS!AAY$184</f>
        <v>0</v>
      </c>
      <c r="AAZ77" s="223">
        <f xml:space="preserve"> InputsTS!AAZ$184</f>
        <v>0</v>
      </c>
      <c r="ABA77" s="223">
        <f xml:space="preserve"> InputsTS!ABA$184</f>
        <v>0</v>
      </c>
      <c r="ABB77" s="223">
        <f xml:space="preserve"> InputsTS!ABB$184</f>
        <v>0</v>
      </c>
      <c r="ABC77" s="223">
        <f xml:space="preserve"> InputsTS!ABC$184</f>
        <v>0</v>
      </c>
      <c r="ABD77" s="223">
        <f xml:space="preserve"> InputsTS!ABD$184</f>
        <v>0</v>
      </c>
      <c r="ABE77" s="223">
        <f xml:space="preserve"> InputsTS!ABE$184</f>
        <v>0</v>
      </c>
      <c r="ABF77" s="223">
        <f xml:space="preserve"> InputsTS!ABF$184</f>
        <v>0</v>
      </c>
      <c r="ABG77" s="223">
        <f xml:space="preserve"> InputsTS!ABG$184</f>
        <v>0</v>
      </c>
      <c r="ABH77" s="223">
        <f xml:space="preserve"> InputsTS!ABH$184</f>
        <v>0</v>
      </c>
      <c r="ABI77" s="223">
        <f xml:space="preserve"> InputsTS!ABI$184</f>
        <v>0</v>
      </c>
      <c r="ABJ77" s="223">
        <f xml:space="preserve"> InputsTS!ABJ$184</f>
        <v>0</v>
      </c>
      <c r="ABK77" s="223">
        <f xml:space="preserve"> InputsTS!ABK$184</f>
        <v>0</v>
      </c>
      <c r="ABL77" s="223">
        <f xml:space="preserve"> InputsTS!ABL$184</f>
        <v>0</v>
      </c>
      <c r="ABM77" s="223">
        <f xml:space="preserve"> InputsTS!ABM$184</f>
        <v>0</v>
      </c>
      <c r="ABN77" s="223">
        <f xml:space="preserve"> InputsTS!ABN$184</f>
        <v>0</v>
      </c>
      <c r="ABO77" s="223">
        <f xml:space="preserve"> InputsTS!ABO$184</f>
        <v>0</v>
      </c>
      <c r="ABP77" s="223">
        <f xml:space="preserve"> InputsTS!ABP$184</f>
        <v>0</v>
      </c>
      <c r="ABQ77" s="223">
        <f xml:space="preserve"> InputsTS!ABQ$184</f>
        <v>0</v>
      </c>
      <c r="ABR77" s="223">
        <f xml:space="preserve"> InputsTS!ABR$184</f>
        <v>0</v>
      </c>
      <c r="ABS77" s="223">
        <f xml:space="preserve"> InputsTS!ABS$184</f>
        <v>0</v>
      </c>
      <c r="ABT77" s="223">
        <f xml:space="preserve"> InputsTS!ABT$184</f>
        <v>0</v>
      </c>
      <c r="ABU77" s="223">
        <f xml:space="preserve"> InputsTS!ABU$184</f>
        <v>0</v>
      </c>
      <c r="ABV77" s="223">
        <f xml:space="preserve"> InputsTS!ABV$184</f>
        <v>0</v>
      </c>
      <c r="ABW77" s="223">
        <f xml:space="preserve"> InputsTS!ABW$184</f>
        <v>0</v>
      </c>
      <c r="ABX77" s="223">
        <f xml:space="preserve"> InputsTS!ABX$184</f>
        <v>0</v>
      </c>
      <c r="ABY77" s="223">
        <f xml:space="preserve"> InputsTS!ABY$184</f>
        <v>0</v>
      </c>
      <c r="ABZ77" s="223">
        <f xml:space="preserve"> InputsTS!ABZ$184</f>
        <v>0</v>
      </c>
      <c r="ACA77" s="223">
        <f xml:space="preserve"> InputsTS!ACA$184</f>
        <v>0</v>
      </c>
      <c r="ACB77" s="223">
        <f xml:space="preserve"> InputsTS!ACB$184</f>
        <v>0</v>
      </c>
      <c r="ACC77" s="223">
        <f xml:space="preserve"> InputsTS!ACC$184</f>
        <v>0</v>
      </c>
      <c r="ACD77" s="223">
        <f xml:space="preserve"> InputsTS!ACD$184</f>
        <v>0</v>
      </c>
      <c r="ACE77" s="223">
        <f xml:space="preserve"> InputsTS!ACE$184</f>
        <v>0</v>
      </c>
      <c r="ACF77" s="223">
        <f xml:space="preserve"> InputsTS!ACF$184</f>
        <v>0</v>
      </c>
      <c r="ACG77" s="223">
        <f xml:space="preserve"> InputsTS!ACG$184</f>
        <v>0</v>
      </c>
      <c r="ACH77" s="223">
        <f xml:space="preserve"> InputsTS!ACH$184</f>
        <v>0</v>
      </c>
      <c r="ACI77" s="223">
        <f xml:space="preserve"> InputsTS!ACI$184</f>
        <v>0</v>
      </c>
      <c r="ACJ77" s="223">
        <f xml:space="preserve"> InputsTS!ACJ$184</f>
        <v>0</v>
      </c>
      <c r="ACK77" s="223">
        <f xml:space="preserve"> InputsTS!ACK$184</f>
        <v>0</v>
      </c>
      <c r="ACL77" s="223">
        <f xml:space="preserve"> InputsTS!ACL$184</f>
        <v>0</v>
      </c>
      <c r="ACM77" s="223">
        <f xml:space="preserve"> InputsTS!ACM$184</f>
        <v>0</v>
      </c>
      <c r="ACN77" s="223">
        <f xml:space="preserve"> InputsTS!ACN$184</f>
        <v>0</v>
      </c>
      <c r="ACO77" s="223">
        <f xml:space="preserve"> InputsTS!ACO$184</f>
        <v>0</v>
      </c>
      <c r="ACP77" s="223">
        <f xml:space="preserve"> InputsTS!ACP$184</f>
        <v>0</v>
      </c>
      <c r="ACQ77" s="223">
        <f xml:space="preserve"> InputsTS!ACQ$184</f>
        <v>0</v>
      </c>
      <c r="ACR77" s="223">
        <f xml:space="preserve"> InputsTS!ACR$184</f>
        <v>0</v>
      </c>
      <c r="ACS77" s="223">
        <f xml:space="preserve"> InputsTS!ACS$184</f>
        <v>0</v>
      </c>
      <c r="ACT77" s="223">
        <f xml:space="preserve"> InputsTS!ACT$184</f>
        <v>0</v>
      </c>
      <c r="ACU77" s="223">
        <f xml:space="preserve"> InputsTS!ACU$184</f>
        <v>0</v>
      </c>
      <c r="ACV77" s="223">
        <f xml:space="preserve"> InputsTS!ACV$184</f>
        <v>0</v>
      </c>
      <c r="ACW77" s="223">
        <f xml:space="preserve"> InputsTS!ACW$184</f>
        <v>0</v>
      </c>
      <c r="ACX77" s="223">
        <f xml:space="preserve"> InputsTS!ACX$184</f>
        <v>0</v>
      </c>
      <c r="ACY77" s="223">
        <f xml:space="preserve"> InputsTS!ACY$184</f>
        <v>0</v>
      </c>
      <c r="ACZ77" s="223">
        <f xml:space="preserve"> InputsTS!ACZ$184</f>
        <v>0</v>
      </c>
      <c r="ADA77" s="223">
        <f xml:space="preserve"> InputsTS!ADA$184</f>
        <v>0</v>
      </c>
      <c r="ADB77" s="223">
        <f xml:space="preserve"> InputsTS!ADB$184</f>
        <v>0</v>
      </c>
      <c r="ADC77" s="223">
        <f xml:space="preserve"> InputsTS!ADC$184</f>
        <v>0</v>
      </c>
      <c r="ADD77" s="223">
        <f xml:space="preserve"> InputsTS!ADD$184</f>
        <v>0</v>
      </c>
      <c r="ADE77" s="223">
        <f xml:space="preserve"> InputsTS!ADE$184</f>
        <v>0</v>
      </c>
      <c r="ADF77" s="223">
        <f xml:space="preserve"> InputsTS!ADF$184</f>
        <v>0</v>
      </c>
      <c r="ADG77" s="223">
        <f xml:space="preserve"> InputsTS!ADG$184</f>
        <v>0</v>
      </c>
      <c r="ADH77" s="223">
        <f xml:space="preserve"> InputsTS!ADH$184</f>
        <v>0</v>
      </c>
      <c r="ADI77" s="223">
        <f xml:space="preserve"> InputsTS!ADI$184</f>
        <v>0</v>
      </c>
      <c r="ADJ77" s="223">
        <f xml:space="preserve"> InputsTS!ADJ$184</f>
        <v>0</v>
      </c>
      <c r="ADK77" s="223">
        <f xml:space="preserve"> InputsTS!ADK$184</f>
        <v>0</v>
      </c>
      <c r="ADL77" s="223">
        <f xml:space="preserve"> InputsTS!ADL$184</f>
        <v>0</v>
      </c>
      <c r="ADM77" s="223">
        <f xml:space="preserve"> InputsTS!ADM$184</f>
        <v>0</v>
      </c>
      <c r="ADN77" s="223">
        <f xml:space="preserve"> InputsTS!ADN$184</f>
        <v>0</v>
      </c>
      <c r="ADO77" s="223">
        <f xml:space="preserve"> InputsTS!ADO$184</f>
        <v>0</v>
      </c>
      <c r="ADP77" s="223">
        <f xml:space="preserve"> InputsTS!ADP$184</f>
        <v>0</v>
      </c>
      <c r="ADQ77" s="223">
        <f xml:space="preserve"> InputsTS!ADQ$184</f>
        <v>0</v>
      </c>
      <c r="ADR77" s="223">
        <f xml:space="preserve"> InputsTS!ADR$184</f>
        <v>0</v>
      </c>
      <c r="ADS77" s="223">
        <f xml:space="preserve"> InputsTS!ADS$184</f>
        <v>0</v>
      </c>
      <c r="ADT77" s="223">
        <f xml:space="preserve"> InputsTS!ADT$184</f>
        <v>0</v>
      </c>
      <c r="ADU77" s="223">
        <f xml:space="preserve"> InputsTS!ADU$184</f>
        <v>0</v>
      </c>
      <c r="ADV77" s="223">
        <f xml:space="preserve"> InputsTS!ADV$184</f>
        <v>0</v>
      </c>
      <c r="ADW77" s="223">
        <f xml:space="preserve"> InputsTS!ADW$184</f>
        <v>0</v>
      </c>
      <c r="ADX77" s="223">
        <f xml:space="preserve"> InputsTS!ADX$184</f>
        <v>0</v>
      </c>
      <c r="ADY77" s="223">
        <f xml:space="preserve"> InputsTS!ADY$184</f>
        <v>0</v>
      </c>
      <c r="ADZ77" s="223">
        <f xml:space="preserve"> InputsTS!ADZ$184</f>
        <v>0</v>
      </c>
      <c r="AEA77" s="223">
        <f xml:space="preserve"> InputsTS!AEA$184</f>
        <v>0</v>
      </c>
      <c r="AEB77" s="223">
        <f xml:space="preserve"> InputsTS!AEB$184</f>
        <v>0</v>
      </c>
      <c r="AEC77" s="223">
        <f xml:space="preserve"> InputsTS!AEC$184</f>
        <v>0</v>
      </c>
      <c r="AED77" s="223">
        <f xml:space="preserve"> InputsTS!AED$184</f>
        <v>0</v>
      </c>
      <c r="AEE77" s="223">
        <f xml:space="preserve"> InputsTS!AEE$184</f>
        <v>0</v>
      </c>
      <c r="AEF77" s="223">
        <f xml:space="preserve"> InputsTS!AEF$184</f>
        <v>0</v>
      </c>
      <c r="AEG77" s="223">
        <f xml:space="preserve"> InputsTS!AEG$184</f>
        <v>0</v>
      </c>
      <c r="AEH77" s="223">
        <f xml:space="preserve"> InputsTS!AEH$184</f>
        <v>0</v>
      </c>
      <c r="AEI77" s="223">
        <f xml:space="preserve"> InputsTS!AEI$184</f>
        <v>0</v>
      </c>
      <c r="AEJ77" s="223">
        <f xml:space="preserve"> InputsTS!AEJ$184</f>
        <v>0</v>
      </c>
      <c r="AEK77" s="223">
        <f xml:space="preserve"> InputsTS!AEK$184</f>
        <v>0</v>
      </c>
      <c r="AEL77" s="223">
        <f xml:space="preserve"> InputsTS!AEL$184</f>
        <v>0</v>
      </c>
      <c r="AEM77" s="223">
        <f xml:space="preserve"> InputsTS!AEM$184</f>
        <v>0</v>
      </c>
      <c r="AEN77" s="223">
        <f xml:space="preserve"> InputsTS!AEN$184</f>
        <v>0</v>
      </c>
      <c r="AEO77" s="223">
        <f xml:space="preserve"> InputsTS!AEO$184</f>
        <v>0</v>
      </c>
      <c r="AEP77" s="223">
        <f xml:space="preserve"> InputsTS!AEP$184</f>
        <v>0</v>
      </c>
      <c r="AEQ77" s="223">
        <f xml:space="preserve"> InputsTS!AEQ$184</f>
        <v>0</v>
      </c>
      <c r="AER77" s="223">
        <f xml:space="preserve"> InputsTS!AER$184</f>
        <v>0</v>
      </c>
      <c r="AES77" s="223">
        <f xml:space="preserve"> InputsTS!AES$184</f>
        <v>0</v>
      </c>
      <c r="AET77" s="223">
        <f xml:space="preserve"> InputsTS!AET$184</f>
        <v>0</v>
      </c>
      <c r="AEU77" s="223">
        <f xml:space="preserve"> InputsTS!AEU$184</f>
        <v>0</v>
      </c>
      <c r="AEV77" s="223">
        <f xml:space="preserve"> InputsTS!AEV$184</f>
        <v>0</v>
      </c>
      <c r="AEW77" s="223">
        <f xml:space="preserve"> InputsTS!AEW$184</f>
        <v>0</v>
      </c>
      <c r="AEX77" s="223">
        <f xml:space="preserve"> InputsTS!AEX$184</f>
        <v>0</v>
      </c>
      <c r="AEY77" s="223">
        <f xml:space="preserve"> InputsTS!AEY$184</f>
        <v>0</v>
      </c>
      <c r="AEZ77" s="223">
        <f xml:space="preserve"> InputsTS!AEZ$184</f>
        <v>0</v>
      </c>
      <c r="AFA77" s="223">
        <f xml:space="preserve"> InputsTS!AFA$184</f>
        <v>0</v>
      </c>
      <c r="AFB77" s="223">
        <f xml:space="preserve"> InputsTS!AFB$184</f>
        <v>0</v>
      </c>
      <c r="AFC77" s="223">
        <f xml:space="preserve"> InputsTS!AFC$184</f>
        <v>0</v>
      </c>
      <c r="AFD77" s="223">
        <f xml:space="preserve"> InputsTS!AFD$184</f>
        <v>0</v>
      </c>
      <c r="AFE77" s="223">
        <f xml:space="preserve"> InputsTS!AFE$184</f>
        <v>0</v>
      </c>
      <c r="AFF77" s="223">
        <f xml:space="preserve"> InputsTS!AFF$184</f>
        <v>0</v>
      </c>
      <c r="AFG77" s="223">
        <f xml:space="preserve"> InputsTS!AFG$184</f>
        <v>0</v>
      </c>
      <c r="AFH77" s="223">
        <f xml:space="preserve"> InputsTS!AFH$184</f>
        <v>0</v>
      </c>
      <c r="AFI77" s="223">
        <f xml:space="preserve"> InputsTS!AFI$184</f>
        <v>0</v>
      </c>
      <c r="AFJ77" s="223">
        <f xml:space="preserve"> InputsTS!AFJ$184</f>
        <v>0</v>
      </c>
      <c r="AFK77" s="223">
        <f xml:space="preserve"> InputsTS!AFK$184</f>
        <v>0</v>
      </c>
      <c r="AFL77" s="223">
        <f xml:space="preserve"> InputsTS!AFL$184</f>
        <v>0</v>
      </c>
      <c r="AFM77" s="223">
        <f xml:space="preserve"> InputsTS!AFM$184</f>
        <v>0</v>
      </c>
      <c r="AFN77" s="223">
        <f xml:space="preserve"> InputsTS!AFN$184</f>
        <v>0</v>
      </c>
      <c r="AFO77" s="223">
        <f xml:space="preserve"> InputsTS!AFO$184</f>
        <v>0</v>
      </c>
      <c r="AFP77" s="223">
        <f xml:space="preserve"> InputsTS!AFP$184</f>
        <v>0</v>
      </c>
      <c r="AFQ77" s="223">
        <f xml:space="preserve"> InputsTS!AFQ$184</f>
        <v>0</v>
      </c>
      <c r="AFR77" s="223">
        <f xml:space="preserve"> InputsTS!AFR$184</f>
        <v>0</v>
      </c>
      <c r="AFS77" s="223">
        <f xml:space="preserve"> InputsTS!AFS$184</f>
        <v>0</v>
      </c>
      <c r="AFT77" s="223">
        <f xml:space="preserve"> InputsTS!AFT$184</f>
        <v>0</v>
      </c>
      <c r="AFU77" s="223">
        <f xml:space="preserve"> InputsTS!AFU$184</f>
        <v>0</v>
      </c>
      <c r="AFV77" s="223">
        <f xml:space="preserve"> InputsTS!AFV$184</f>
        <v>0</v>
      </c>
      <c r="AFW77" s="223">
        <f xml:space="preserve"> InputsTS!AFW$184</f>
        <v>0</v>
      </c>
      <c r="AFX77" s="223">
        <f xml:space="preserve"> InputsTS!AFX$184</f>
        <v>0</v>
      </c>
      <c r="AFY77" s="223">
        <f xml:space="preserve"> InputsTS!AFY$184</f>
        <v>0</v>
      </c>
      <c r="AFZ77" s="223">
        <f xml:space="preserve"> InputsTS!AFZ$184</f>
        <v>0</v>
      </c>
      <c r="AGA77" s="223">
        <f xml:space="preserve"> InputsTS!AGA$184</f>
        <v>0</v>
      </c>
      <c r="AGB77" s="223">
        <f xml:space="preserve"> InputsTS!AGB$184</f>
        <v>0</v>
      </c>
      <c r="AGC77" s="223">
        <f xml:space="preserve"> InputsTS!AGC$184</f>
        <v>0</v>
      </c>
      <c r="AGD77" s="223">
        <f xml:space="preserve"> InputsTS!AGD$184</f>
        <v>0</v>
      </c>
      <c r="AGE77" s="223">
        <f xml:space="preserve"> InputsTS!AGE$184</f>
        <v>0</v>
      </c>
      <c r="AGF77" s="223">
        <f xml:space="preserve"> InputsTS!AGF$184</f>
        <v>0</v>
      </c>
      <c r="AGG77" s="223">
        <f xml:space="preserve"> InputsTS!AGG$184</f>
        <v>0</v>
      </c>
      <c r="AGH77" s="223">
        <f xml:space="preserve"> InputsTS!AGH$184</f>
        <v>0</v>
      </c>
      <c r="AGI77" s="223">
        <f xml:space="preserve"> InputsTS!AGI$184</f>
        <v>0</v>
      </c>
      <c r="AGJ77" s="223">
        <f xml:space="preserve"> InputsTS!AGJ$184</f>
        <v>0</v>
      </c>
      <c r="AGK77" s="223">
        <f xml:space="preserve"> InputsTS!AGK$184</f>
        <v>0</v>
      </c>
      <c r="AGL77" s="223">
        <f xml:space="preserve"> InputsTS!AGL$184</f>
        <v>0</v>
      </c>
      <c r="AGM77" s="223">
        <f xml:space="preserve"> InputsTS!AGM$184</f>
        <v>0</v>
      </c>
      <c r="AGN77" s="223">
        <f xml:space="preserve"> InputsTS!AGN$184</f>
        <v>0</v>
      </c>
      <c r="AGO77" s="223">
        <f xml:space="preserve"> InputsTS!AGO$184</f>
        <v>0</v>
      </c>
      <c r="AGP77" s="223">
        <f xml:space="preserve"> InputsTS!AGP$184</f>
        <v>0</v>
      </c>
      <c r="AGQ77" s="223">
        <f xml:space="preserve"> InputsTS!AGQ$184</f>
        <v>0</v>
      </c>
      <c r="AGR77" s="223">
        <f xml:space="preserve"> InputsTS!AGR$184</f>
        <v>0</v>
      </c>
      <c r="AGS77" s="223">
        <f xml:space="preserve"> InputsTS!AGS$184</f>
        <v>0</v>
      </c>
      <c r="AGT77" s="223">
        <f xml:space="preserve"> InputsTS!AGT$184</f>
        <v>0</v>
      </c>
      <c r="AGU77" s="223">
        <f xml:space="preserve"> InputsTS!AGU$184</f>
        <v>0</v>
      </c>
      <c r="AGV77" s="223">
        <f xml:space="preserve"> InputsTS!AGV$184</f>
        <v>0</v>
      </c>
      <c r="AGW77" s="223">
        <f xml:space="preserve"> InputsTS!AGW$184</f>
        <v>0</v>
      </c>
      <c r="AGX77" s="223">
        <f xml:space="preserve"> InputsTS!AGX$184</f>
        <v>0</v>
      </c>
      <c r="AGY77" s="223">
        <f xml:space="preserve"> InputsTS!AGY$184</f>
        <v>0</v>
      </c>
      <c r="AGZ77" s="223">
        <f xml:space="preserve"> InputsTS!AGZ$184</f>
        <v>0</v>
      </c>
      <c r="AHA77" s="223">
        <f xml:space="preserve"> InputsTS!AHA$184</f>
        <v>0</v>
      </c>
      <c r="AHB77" s="223">
        <f xml:space="preserve"> InputsTS!AHB$184</f>
        <v>0</v>
      </c>
      <c r="AHC77" s="223">
        <f xml:space="preserve"> InputsTS!AHC$184</f>
        <v>0</v>
      </c>
      <c r="AHD77" s="223">
        <f xml:space="preserve"> InputsTS!AHD$184</f>
        <v>0</v>
      </c>
      <c r="AHE77" s="223">
        <f xml:space="preserve"> InputsTS!AHE$184</f>
        <v>0</v>
      </c>
      <c r="AHF77" s="223">
        <f xml:space="preserve"> InputsTS!AHF$184</f>
        <v>0</v>
      </c>
      <c r="AHG77" s="223">
        <f xml:space="preserve"> InputsTS!AHG$184</f>
        <v>0</v>
      </c>
      <c r="AHH77" s="223">
        <f xml:space="preserve"> InputsTS!AHH$184</f>
        <v>0</v>
      </c>
      <c r="AHI77" s="223">
        <f xml:space="preserve"> InputsTS!AHI$184</f>
        <v>0</v>
      </c>
      <c r="AHJ77" s="223">
        <f xml:space="preserve"> InputsTS!AHJ$184</f>
        <v>0</v>
      </c>
      <c r="AHK77" s="223">
        <f xml:space="preserve"> InputsTS!AHK$184</f>
        <v>0</v>
      </c>
      <c r="AHL77" s="223">
        <f xml:space="preserve"> InputsTS!AHL$184</f>
        <v>0</v>
      </c>
      <c r="AHM77" s="223">
        <f xml:space="preserve"> InputsTS!AHM$184</f>
        <v>0</v>
      </c>
      <c r="AHN77" s="223">
        <f xml:space="preserve"> InputsTS!AHN$184</f>
        <v>0</v>
      </c>
      <c r="AHO77" s="223">
        <f xml:space="preserve"> InputsTS!AHO$184</f>
        <v>0</v>
      </c>
      <c r="AHP77" s="223">
        <f xml:space="preserve"> InputsTS!AHP$184</f>
        <v>0</v>
      </c>
      <c r="AHQ77" s="223">
        <f xml:space="preserve"> InputsTS!AHQ$184</f>
        <v>0</v>
      </c>
      <c r="AHR77" s="223">
        <f xml:space="preserve"> InputsTS!AHR$184</f>
        <v>0</v>
      </c>
      <c r="AHS77" s="223">
        <f xml:space="preserve"> InputsTS!AHS$184</f>
        <v>0</v>
      </c>
      <c r="AHT77" s="223">
        <f xml:space="preserve"> InputsTS!AHT$184</f>
        <v>0</v>
      </c>
      <c r="AHU77" s="223">
        <f xml:space="preserve"> InputsTS!AHU$184</f>
        <v>0</v>
      </c>
      <c r="AHV77" s="223">
        <f xml:space="preserve"> InputsTS!AHV$184</f>
        <v>0</v>
      </c>
      <c r="AHW77" s="223">
        <f xml:space="preserve"> InputsTS!AHW$184</f>
        <v>0</v>
      </c>
      <c r="AHX77" s="223">
        <f xml:space="preserve"> InputsTS!AHX$184</f>
        <v>0</v>
      </c>
      <c r="AHY77" s="223">
        <f xml:space="preserve"> InputsTS!AHY$184</f>
        <v>0</v>
      </c>
      <c r="AHZ77" s="223">
        <f xml:space="preserve"> InputsTS!AHZ$184</f>
        <v>0</v>
      </c>
      <c r="AIA77" s="223">
        <f xml:space="preserve"> InputsTS!AIA$184</f>
        <v>0</v>
      </c>
      <c r="AIB77" s="223">
        <f xml:space="preserve"> InputsTS!AIB$184</f>
        <v>0</v>
      </c>
      <c r="AIC77" s="223">
        <f xml:space="preserve"> InputsTS!AIC$184</f>
        <v>0</v>
      </c>
      <c r="AID77" s="223">
        <f xml:space="preserve"> InputsTS!AID$184</f>
        <v>0</v>
      </c>
      <c r="AIE77" s="223">
        <f xml:space="preserve"> InputsTS!AIE$184</f>
        <v>0</v>
      </c>
      <c r="AIF77" s="223">
        <f xml:space="preserve"> InputsTS!AIF$184</f>
        <v>0</v>
      </c>
      <c r="AIG77" s="223">
        <f xml:space="preserve"> InputsTS!AIG$184</f>
        <v>0</v>
      </c>
      <c r="AIH77" s="223">
        <f xml:space="preserve"> InputsTS!AIH$184</f>
        <v>0</v>
      </c>
      <c r="AII77" s="223">
        <f xml:space="preserve"> InputsTS!AII$184</f>
        <v>0</v>
      </c>
      <c r="AIJ77" s="223">
        <f xml:space="preserve"> InputsTS!AIJ$184</f>
        <v>0</v>
      </c>
      <c r="AIK77" s="223">
        <f xml:space="preserve"> InputsTS!AIK$184</f>
        <v>0</v>
      </c>
      <c r="AIL77" s="223">
        <f xml:space="preserve"> InputsTS!AIL$184</f>
        <v>0</v>
      </c>
      <c r="AIM77" s="223">
        <f xml:space="preserve"> InputsTS!AIM$184</f>
        <v>0</v>
      </c>
      <c r="AIN77" s="223">
        <f xml:space="preserve"> InputsTS!AIN$184</f>
        <v>0</v>
      </c>
      <c r="AIO77" s="223">
        <f xml:space="preserve"> InputsTS!AIO$184</f>
        <v>0</v>
      </c>
      <c r="AIP77" s="223">
        <f xml:space="preserve"> InputsTS!AIP$184</f>
        <v>0</v>
      </c>
      <c r="AIQ77" s="223">
        <f xml:space="preserve"> InputsTS!AIQ$184</f>
        <v>0</v>
      </c>
      <c r="AIR77" s="223">
        <f xml:space="preserve"> InputsTS!AIR$184</f>
        <v>0</v>
      </c>
      <c r="AIS77" s="223">
        <f xml:space="preserve"> InputsTS!AIS$184</f>
        <v>0</v>
      </c>
      <c r="AIT77" s="223">
        <f xml:space="preserve"> InputsTS!AIT$184</f>
        <v>0</v>
      </c>
      <c r="AIU77" s="223">
        <f xml:space="preserve"> InputsTS!AIU$184</f>
        <v>0</v>
      </c>
      <c r="AIV77" s="223">
        <f xml:space="preserve"> InputsTS!AIV$184</f>
        <v>0</v>
      </c>
      <c r="AIW77" s="223">
        <f xml:space="preserve"> InputsTS!AIW$184</f>
        <v>0</v>
      </c>
      <c r="AIX77" s="223">
        <f xml:space="preserve"> InputsTS!AIX$184</f>
        <v>0</v>
      </c>
      <c r="AIY77" s="223">
        <f xml:space="preserve"> InputsTS!AIY$184</f>
        <v>0</v>
      </c>
      <c r="AIZ77" s="223">
        <f xml:space="preserve"> InputsTS!AIZ$184</f>
        <v>0</v>
      </c>
      <c r="AJA77" s="223">
        <f xml:space="preserve"> InputsTS!AJA$184</f>
        <v>0</v>
      </c>
      <c r="AJB77" s="223">
        <f xml:space="preserve"> InputsTS!AJB$184</f>
        <v>0</v>
      </c>
      <c r="AJC77" s="223">
        <f xml:space="preserve"> InputsTS!AJC$184</f>
        <v>0</v>
      </c>
      <c r="AJD77" s="223">
        <f xml:space="preserve"> InputsTS!AJD$184</f>
        <v>0</v>
      </c>
      <c r="AJE77" s="223">
        <f xml:space="preserve"> InputsTS!AJE$184</f>
        <v>0</v>
      </c>
      <c r="AJF77" s="223">
        <f xml:space="preserve"> InputsTS!AJF$184</f>
        <v>0</v>
      </c>
      <c r="AJG77" s="223">
        <f xml:space="preserve"> InputsTS!AJG$184</f>
        <v>0</v>
      </c>
      <c r="AJH77" s="223">
        <f xml:space="preserve"> InputsTS!AJH$184</f>
        <v>0</v>
      </c>
      <c r="AJI77" s="223">
        <f xml:space="preserve"> InputsTS!AJI$184</f>
        <v>0</v>
      </c>
      <c r="AJJ77" s="223">
        <f xml:space="preserve"> InputsTS!AJJ$184</f>
        <v>0</v>
      </c>
      <c r="AJK77" s="223">
        <f xml:space="preserve"> InputsTS!AJK$184</f>
        <v>0</v>
      </c>
      <c r="AJL77" s="223">
        <f xml:space="preserve"> InputsTS!AJL$184</f>
        <v>0</v>
      </c>
      <c r="AJM77" s="223">
        <f xml:space="preserve"> InputsTS!AJM$184</f>
        <v>0</v>
      </c>
      <c r="AJN77" s="223">
        <f xml:space="preserve"> InputsTS!AJN$184</f>
        <v>0</v>
      </c>
      <c r="AJO77" s="223">
        <f xml:space="preserve"> InputsTS!AJO$184</f>
        <v>0</v>
      </c>
      <c r="AJP77" s="223">
        <f xml:space="preserve"> InputsTS!AJP$184</f>
        <v>0</v>
      </c>
      <c r="AJQ77" s="223">
        <f xml:space="preserve"> InputsTS!AJQ$184</f>
        <v>0</v>
      </c>
      <c r="AJR77" s="223">
        <f xml:space="preserve"> InputsTS!AJR$184</f>
        <v>0</v>
      </c>
      <c r="AJS77" s="223">
        <f xml:space="preserve"> InputsTS!AJS$184</f>
        <v>0</v>
      </c>
      <c r="AJT77" s="223">
        <f xml:space="preserve"> InputsTS!AJT$184</f>
        <v>0</v>
      </c>
      <c r="AJU77" s="223">
        <f xml:space="preserve"> InputsTS!AJU$184</f>
        <v>0</v>
      </c>
      <c r="AJV77" s="223">
        <f xml:space="preserve"> InputsTS!AJV$184</f>
        <v>0</v>
      </c>
      <c r="AJW77" s="223">
        <f xml:space="preserve"> InputsTS!AJW$184</f>
        <v>0</v>
      </c>
      <c r="AJX77" s="223">
        <f xml:space="preserve"> InputsTS!AJX$184</f>
        <v>0</v>
      </c>
      <c r="AJY77" s="223">
        <f xml:space="preserve"> InputsTS!AJY$184</f>
        <v>0</v>
      </c>
      <c r="AJZ77" s="223">
        <f xml:space="preserve"> InputsTS!AJZ$184</f>
        <v>0</v>
      </c>
      <c r="AKA77" s="223">
        <f xml:space="preserve"> InputsTS!AKA$184</f>
        <v>0</v>
      </c>
      <c r="AKB77" s="223">
        <f xml:space="preserve"> InputsTS!AKB$184</f>
        <v>0</v>
      </c>
      <c r="AKC77" s="223">
        <f xml:space="preserve"> InputsTS!AKC$184</f>
        <v>0</v>
      </c>
      <c r="AKD77" s="223">
        <f xml:space="preserve"> InputsTS!AKD$184</f>
        <v>0</v>
      </c>
      <c r="AKE77" s="223">
        <f xml:space="preserve"> InputsTS!AKE$184</f>
        <v>0</v>
      </c>
      <c r="AKF77" s="223">
        <f xml:space="preserve"> InputsTS!AKF$184</f>
        <v>0</v>
      </c>
      <c r="AKG77" s="223">
        <f xml:space="preserve"> InputsTS!AKG$184</f>
        <v>0</v>
      </c>
      <c r="AKH77" s="223">
        <f xml:space="preserve"> InputsTS!AKH$184</f>
        <v>0</v>
      </c>
      <c r="AKI77" s="223">
        <f xml:space="preserve"> InputsTS!AKI$184</f>
        <v>0</v>
      </c>
      <c r="AKJ77" s="223">
        <f xml:space="preserve"> InputsTS!AKJ$184</f>
        <v>0</v>
      </c>
      <c r="AKK77" s="223">
        <f xml:space="preserve"> InputsTS!AKK$184</f>
        <v>0</v>
      </c>
      <c r="AKL77" s="223">
        <f xml:space="preserve"> InputsTS!AKL$184</f>
        <v>0</v>
      </c>
      <c r="AKM77" s="223">
        <f xml:space="preserve"> InputsTS!AKM$184</f>
        <v>0</v>
      </c>
      <c r="AKN77" s="223">
        <f xml:space="preserve"> InputsTS!AKN$184</f>
        <v>0</v>
      </c>
      <c r="AKO77" s="223">
        <f xml:space="preserve"> InputsTS!AKO$184</f>
        <v>0</v>
      </c>
      <c r="AKP77" s="223">
        <f xml:space="preserve"> InputsTS!AKP$184</f>
        <v>0</v>
      </c>
      <c r="AKQ77" s="223">
        <f xml:space="preserve"> InputsTS!AKQ$184</f>
        <v>0</v>
      </c>
      <c r="AKR77" s="223">
        <f xml:space="preserve"> InputsTS!AKR$184</f>
        <v>0</v>
      </c>
      <c r="AKS77" s="223">
        <f xml:space="preserve"> InputsTS!AKS$184</f>
        <v>0</v>
      </c>
      <c r="AKT77" s="223">
        <f xml:space="preserve"> InputsTS!AKT$184</f>
        <v>0</v>
      </c>
      <c r="AKU77" s="223">
        <f xml:space="preserve"> InputsTS!AKU$184</f>
        <v>0</v>
      </c>
      <c r="AKV77" s="223">
        <f xml:space="preserve"> InputsTS!AKV$184</f>
        <v>0</v>
      </c>
      <c r="AKW77" s="223">
        <f xml:space="preserve"> InputsTS!AKW$184</f>
        <v>0</v>
      </c>
      <c r="AKX77" s="223">
        <f xml:space="preserve"> InputsTS!AKX$184</f>
        <v>0</v>
      </c>
      <c r="AKY77" s="223">
        <f xml:space="preserve"> InputsTS!AKY$184</f>
        <v>0</v>
      </c>
      <c r="AKZ77" s="223">
        <f xml:space="preserve"> InputsTS!AKZ$184</f>
        <v>0</v>
      </c>
      <c r="ALA77" s="223">
        <f xml:space="preserve"> InputsTS!ALA$184</f>
        <v>0</v>
      </c>
      <c r="ALB77" s="223">
        <f xml:space="preserve"> InputsTS!ALB$184</f>
        <v>0</v>
      </c>
      <c r="ALC77" s="223">
        <f xml:space="preserve"> InputsTS!ALC$184</f>
        <v>0</v>
      </c>
      <c r="ALD77" s="223">
        <f xml:space="preserve"> InputsTS!ALD$184</f>
        <v>0</v>
      </c>
      <c r="ALE77" s="223">
        <f xml:space="preserve"> InputsTS!ALE$184</f>
        <v>0</v>
      </c>
      <c r="ALF77" s="223">
        <f xml:space="preserve"> InputsTS!ALF$184</f>
        <v>0</v>
      </c>
      <c r="ALG77" s="223">
        <f xml:space="preserve"> InputsTS!ALG$184</f>
        <v>0</v>
      </c>
      <c r="ALH77" s="223">
        <f xml:space="preserve"> InputsTS!ALH$184</f>
        <v>0</v>
      </c>
      <c r="ALI77" s="223">
        <f xml:space="preserve"> InputsTS!ALI$184</f>
        <v>0</v>
      </c>
      <c r="ALJ77" s="223">
        <f xml:space="preserve"> InputsTS!ALJ$184</f>
        <v>0</v>
      </c>
      <c r="ALK77" s="223">
        <f xml:space="preserve"> InputsTS!ALK$184</f>
        <v>0</v>
      </c>
      <c r="ALL77" s="223">
        <f xml:space="preserve"> InputsTS!ALL$184</f>
        <v>0</v>
      </c>
      <c r="ALM77" s="223">
        <f xml:space="preserve"> InputsTS!ALM$184</f>
        <v>0</v>
      </c>
      <c r="ALN77" s="223">
        <f xml:space="preserve"> InputsTS!ALN$184</f>
        <v>0</v>
      </c>
      <c r="ALO77" s="223">
        <f xml:space="preserve"> InputsTS!ALO$184</f>
        <v>0</v>
      </c>
      <c r="ALP77" s="223">
        <f xml:space="preserve"> InputsTS!ALP$184</f>
        <v>0</v>
      </c>
      <c r="ALQ77" s="223">
        <f xml:space="preserve"> InputsTS!ALQ$184</f>
        <v>0</v>
      </c>
      <c r="ALR77" s="223">
        <f xml:space="preserve"> InputsTS!ALR$184</f>
        <v>0</v>
      </c>
      <c r="ALS77" s="223">
        <f xml:space="preserve"> InputsTS!ALS$184</f>
        <v>0</v>
      </c>
      <c r="ALT77" s="223">
        <f xml:space="preserve"> InputsTS!ALT$184</f>
        <v>0</v>
      </c>
      <c r="ALU77" s="223">
        <f xml:space="preserve"> InputsTS!ALU$184</f>
        <v>0</v>
      </c>
      <c r="ALV77" s="223">
        <f xml:space="preserve"> InputsTS!ALV$184</f>
        <v>0</v>
      </c>
      <c r="ALW77" s="223">
        <f xml:space="preserve"> InputsTS!ALW$184</f>
        <v>0</v>
      </c>
      <c r="ALX77" s="223">
        <f xml:space="preserve"> InputsTS!ALX$184</f>
        <v>0</v>
      </c>
      <c r="ALY77" s="223">
        <f xml:space="preserve"> InputsTS!ALY$184</f>
        <v>0</v>
      </c>
      <c r="ALZ77" s="223">
        <f xml:space="preserve"> InputsTS!ALZ$184</f>
        <v>0</v>
      </c>
      <c r="AMA77" s="223">
        <f xml:space="preserve"> InputsTS!AMA$184</f>
        <v>0</v>
      </c>
      <c r="AMB77" s="223">
        <f xml:space="preserve"> InputsTS!AMB$184</f>
        <v>0</v>
      </c>
      <c r="AMC77" s="223">
        <f xml:space="preserve"> InputsTS!AMC$184</f>
        <v>0</v>
      </c>
      <c r="AMD77" s="223">
        <f xml:space="preserve"> InputsTS!AMD$184</f>
        <v>0</v>
      </c>
      <c r="AME77" s="223">
        <f xml:space="preserve"> InputsTS!AME$184</f>
        <v>0</v>
      </c>
      <c r="AMF77" s="223">
        <f xml:space="preserve"> InputsTS!AMF$184</f>
        <v>0</v>
      </c>
      <c r="AMG77" s="223">
        <f xml:space="preserve"> InputsTS!AMG$184</f>
        <v>0</v>
      </c>
      <c r="AMH77" s="223">
        <f xml:space="preserve"> InputsTS!AMH$184</f>
        <v>0</v>
      </c>
      <c r="AMI77" s="223">
        <f xml:space="preserve"> InputsTS!AMI$184</f>
        <v>0</v>
      </c>
      <c r="AMJ77" s="223">
        <f xml:space="preserve"> InputsTS!AMJ$184</f>
        <v>0</v>
      </c>
      <c r="AMK77" s="223">
        <f xml:space="preserve"> InputsTS!AMK$184</f>
        <v>0</v>
      </c>
      <c r="AML77" s="223">
        <f xml:space="preserve"> InputsTS!AML$184</f>
        <v>0</v>
      </c>
      <c r="AMM77" s="223">
        <f xml:space="preserve"> InputsTS!AMM$184</f>
        <v>0</v>
      </c>
      <c r="AMN77" s="223">
        <f xml:space="preserve"> InputsTS!AMN$184</f>
        <v>0</v>
      </c>
      <c r="AMO77" s="223">
        <f xml:space="preserve"> InputsTS!AMO$184</f>
        <v>0</v>
      </c>
      <c r="AMP77" s="223">
        <f xml:space="preserve"> InputsTS!AMP$184</f>
        <v>0</v>
      </c>
      <c r="AMQ77" s="223">
        <f xml:space="preserve"> InputsTS!AMQ$184</f>
        <v>0</v>
      </c>
      <c r="AMR77" s="223">
        <f xml:space="preserve"> InputsTS!AMR$184</f>
        <v>0</v>
      </c>
      <c r="AMS77" s="223">
        <f xml:space="preserve"> InputsTS!AMS$184</f>
        <v>0</v>
      </c>
      <c r="AMT77" s="223">
        <f xml:space="preserve"> InputsTS!AMT$184</f>
        <v>0</v>
      </c>
      <c r="AMU77" s="223">
        <f xml:space="preserve"> InputsTS!AMU$184</f>
        <v>0</v>
      </c>
      <c r="AMV77" s="223">
        <f xml:space="preserve"> InputsTS!AMV$184</f>
        <v>0</v>
      </c>
      <c r="AMW77" s="223">
        <f xml:space="preserve"> InputsTS!AMW$184</f>
        <v>0</v>
      </c>
      <c r="AMX77" s="223">
        <f xml:space="preserve"> InputsTS!AMX$184</f>
        <v>0</v>
      </c>
      <c r="AMY77" s="223">
        <f xml:space="preserve"> InputsTS!AMY$184</f>
        <v>0</v>
      </c>
      <c r="AMZ77" s="223">
        <f xml:space="preserve"> InputsTS!AMZ$184</f>
        <v>0</v>
      </c>
      <c r="ANA77" s="223">
        <f xml:space="preserve"> InputsTS!ANA$184</f>
        <v>0</v>
      </c>
      <c r="ANB77" s="223">
        <f xml:space="preserve"> InputsTS!ANB$184</f>
        <v>0</v>
      </c>
      <c r="ANC77" s="223">
        <f xml:space="preserve"> InputsTS!ANC$184</f>
        <v>0</v>
      </c>
      <c r="AND77" s="223">
        <f xml:space="preserve"> InputsTS!AND$184</f>
        <v>0</v>
      </c>
      <c r="ANE77" s="223">
        <f xml:space="preserve"> InputsTS!ANE$184</f>
        <v>0</v>
      </c>
      <c r="ANF77" s="223">
        <f xml:space="preserve"> InputsTS!ANF$184</f>
        <v>0</v>
      </c>
      <c r="ANG77" s="223">
        <f xml:space="preserve"> InputsTS!ANG$184</f>
        <v>0</v>
      </c>
      <c r="ANH77" s="223">
        <f xml:space="preserve"> InputsTS!ANH$184</f>
        <v>0</v>
      </c>
      <c r="ANI77" s="223">
        <f xml:space="preserve"> InputsTS!ANI$184</f>
        <v>0</v>
      </c>
      <c r="ANJ77" s="223">
        <f xml:space="preserve"> InputsTS!ANJ$184</f>
        <v>0</v>
      </c>
      <c r="ANK77" s="223">
        <f xml:space="preserve"> InputsTS!ANK$184</f>
        <v>0</v>
      </c>
      <c r="ANL77" s="223">
        <f xml:space="preserve"> InputsTS!ANL$184</f>
        <v>0</v>
      </c>
      <c r="ANM77" s="223">
        <f xml:space="preserve"> InputsTS!ANM$184</f>
        <v>0</v>
      </c>
      <c r="ANN77" s="223">
        <f xml:space="preserve"> InputsTS!ANN$184</f>
        <v>0</v>
      </c>
      <c r="ANO77" s="223">
        <f xml:space="preserve"> InputsTS!ANO$184</f>
        <v>0</v>
      </c>
      <c r="ANP77" s="223">
        <f xml:space="preserve"> InputsTS!ANP$184</f>
        <v>0</v>
      </c>
      <c r="ANQ77" s="223">
        <f xml:space="preserve"> InputsTS!ANQ$184</f>
        <v>0</v>
      </c>
      <c r="ANR77" s="223">
        <f xml:space="preserve"> InputsTS!ANR$184</f>
        <v>0</v>
      </c>
      <c r="ANS77" s="223">
        <f xml:space="preserve"> InputsTS!ANS$184</f>
        <v>0</v>
      </c>
      <c r="ANT77" s="223">
        <f xml:space="preserve"> InputsTS!ANT$184</f>
        <v>0</v>
      </c>
      <c r="ANU77" s="223">
        <f xml:space="preserve"> InputsTS!ANU$184</f>
        <v>0</v>
      </c>
      <c r="ANV77" s="223">
        <f xml:space="preserve"> InputsTS!ANV$184</f>
        <v>0</v>
      </c>
      <c r="ANW77" s="223">
        <f xml:space="preserve"> InputsTS!ANW$184</f>
        <v>0</v>
      </c>
      <c r="ANX77" s="223">
        <f xml:space="preserve"> InputsTS!ANX$184</f>
        <v>0</v>
      </c>
      <c r="ANY77" s="223">
        <f xml:space="preserve"> InputsTS!ANY$184</f>
        <v>0</v>
      </c>
      <c r="ANZ77" s="223">
        <f xml:space="preserve"> InputsTS!ANZ$184</f>
        <v>0</v>
      </c>
      <c r="AOA77" s="223">
        <f xml:space="preserve"> InputsTS!AOA$184</f>
        <v>0</v>
      </c>
      <c r="AOB77" s="223">
        <f xml:space="preserve"> InputsTS!AOB$184</f>
        <v>0</v>
      </c>
      <c r="AOC77" s="223">
        <f xml:space="preserve"> InputsTS!AOC$184</f>
        <v>0</v>
      </c>
      <c r="AOD77" s="223">
        <f xml:space="preserve"> InputsTS!AOD$184</f>
        <v>0</v>
      </c>
      <c r="AOE77" s="223">
        <f xml:space="preserve"> InputsTS!AOE$184</f>
        <v>0</v>
      </c>
      <c r="AOF77" s="223">
        <f xml:space="preserve"> InputsTS!AOF$184</f>
        <v>0</v>
      </c>
      <c r="AOG77" s="223">
        <f xml:space="preserve"> InputsTS!AOG$184</f>
        <v>0</v>
      </c>
      <c r="AOH77" s="223">
        <f xml:space="preserve"> InputsTS!AOH$184</f>
        <v>0</v>
      </c>
      <c r="AOI77" s="223">
        <f xml:space="preserve"> InputsTS!AOI$184</f>
        <v>0</v>
      </c>
      <c r="AOJ77" s="223">
        <f xml:space="preserve"> InputsTS!AOJ$184</f>
        <v>0</v>
      </c>
      <c r="AOK77" s="223">
        <f xml:space="preserve"> InputsTS!AOK$184</f>
        <v>0</v>
      </c>
      <c r="AOL77" s="223">
        <f xml:space="preserve"> InputsTS!AOL$184</f>
        <v>0</v>
      </c>
      <c r="AOM77" s="223">
        <f xml:space="preserve"> InputsTS!AOM$184</f>
        <v>0</v>
      </c>
      <c r="AON77" s="223">
        <f xml:space="preserve"> InputsTS!AON$184</f>
        <v>0</v>
      </c>
      <c r="AOO77" s="223">
        <f xml:space="preserve"> InputsTS!AOO$184</f>
        <v>0</v>
      </c>
      <c r="AOP77" s="223">
        <f xml:space="preserve"> InputsTS!AOP$184</f>
        <v>0</v>
      </c>
      <c r="AOQ77" s="223">
        <f xml:space="preserve"> InputsTS!AOQ$184</f>
        <v>0</v>
      </c>
      <c r="AOR77" s="223">
        <f xml:space="preserve"> InputsTS!AOR$184</f>
        <v>0</v>
      </c>
      <c r="AOS77" s="223">
        <f xml:space="preserve"> InputsTS!AOS$184</f>
        <v>0</v>
      </c>
      <c r="AOT77" s="223">
        <f xml:space="preserve"> InputsTS!AOT$184</f>
        <v>0</v>
      </c>
      <c r="AOU77" s="223">
        <f xml:space="preserve"> InputsTS!AOU$184</f>
        <v>0</v>
      </c>
      <c r="AOV77" s="223">
        <f xml:space="preserve"> InputsTS!AOV$184</f>
        <v>0</v>
      </c>
      <c r="AOW77" s="223">
        <f xml:space="preserve"> InputsTS!AOW$184</f>
        <v>0</v>
      </c>
      <c r="AOX77" s="223">
        <f xml:space="preserve"> InputsTS!AOX$184</f>
        <v>0</v>
      </c>
      <c r="AOY77" s="223">
        <f xml:space="preserve"> InputsTS!AOY$184</f>
        <v>0</v>
      </c>
      <c r="AOZ77" s="223">
        <f xml:space="preserve"> InputsTS!AOZ$184</f>
        <v>0</v>
      </c>
      <c r="APA77" s="223">
        <f xml:space="preserve"> InputsTS!APA$184</f>
        <v>0</v>
      </c>
      <c r="APB77" s="223">
        <f xml:space="preserve"> InputsTS!APB$184</f>
        <v>0</v>
      </c>
      <c r="APC77" s="223">
        <f xml:space="preserve"> InputsTS!APC$184</f>
        <v>0</v>
      </c>
      <c r="APD77" s="223">
        <f xml:space="preserve"> InputsTS!APD$184</f>
        <v>0</v>
      </c>
      <c r="APE77" s="223">
        <f xml:space="preserve"> InputsTS!APE$184</f>
        <v>0</v>
      </c>
      <c r="APF77" s="223">
        <f xml:space="preserve"> InputsTS!APF$184</f>
        <v>0</v>
      </c>
      <c r="APG77" s="223">
        <f xml:space="preserve"> InputsTS!APG$184</f>
        <v>0</v>
      </c>
      <c r="APH77" s="223">
        <f xml:space="preserve"> InputsTS!APH$184</f>
        <v>0</v>
      </c>
      <c r="API77" s="223">
        <f xml:space="preserve"> InputsTS!API$184</f>
        <v>0</v>
      </c>
      <c r="APJ77" s="223">
        <f xml:space="preserve"> InputsTS!APJ$184</f>
        <v>0</v>
      </c>
      <c r="APK77" s="223">
        <f xml:space="preserve"> InputsTS!APK$184</f>
        <v>0</v>
      </c>
      <c r="APL77" s="223">
        <f xml:space="preserve"> InputsTS!APL$184</f>
        <v>0</v>
      </c>
      <c r="APM77" s="223">
        <f xml:space="preserve"> InputsTS!APM$184</f>
        <v>0</v>
      </c>
      <c r="APN77" s="223">
        <f xml:space="preserve"> InputsTS!APN$184</f>
        <v>0</v>
      </c>
      <c r="APO77" s="223">
        <f xml:space="preserve"> InputsTS!APO$184</f>
        <v>0</v>
      </c>
      <c r="APP77" s="223">
        <f xml:space="preserve"> InputsTS!APP$184</f>
        <v>0</v>
      </c>
      <c r="APQ77" s="223">
        <f xml:space="preserve"> InputsTS!APQ$184</f>
        <v>0</v>
      </c>
      <c r="APR77" s="223">
        <f xml:space="preserve"> InputsTS!APR$184</f>
        <v>0</v>
      </c>
      <c r="APS77" s="223">
        <f xml:space="preserve"> InputsTS!APS$184</f>
        <v>0</v>
      </c>
      <c r="APT77" s="223">
        <f xml:space="preserve"> InputsTS!APT$184</f>
        <v>0</v>
      </c>
      <c r="APU77" s="223">
        <f xml:space="preserve"> InputsTS!APU$184</f>
        <v>0</v>
      </c>
      <c r="APV77" s="223">
        <f xml:space="preserve"> InputsTS!APV$184</f>
        <v>0</v>
      </c>
      <c r="APW77" s="223">
        <f xml:space="preserve"> InputsTS!APW$184</f>
        <v>0</v>
      </c>
      <c r="APX77" s="223">
        <f xml:space="preserve"> InputsTS!APX$184</f>
        <v>0</v>
      </c>
      <c r="APY77" s="223">
        <f xml:space="preserve"> InputsTS!APY$184</f>
        <v>0</v>
      </c>
      <c r="APZ77" s="223">
        <f xml:space="preserve"> InputsTS!APZ$184</f>
        <v>0</v>
      </c>
      <c r="AQA77" s="223">
        <f xml:space="preserve"> InputsTS!AQA$184</f>
        <v>0</v>
      </c>
      <c r="AQB77" s="223">
        <f xml:space="preserve"> InputsTS!AQB$184</f>
        <v>0</v>
      </c>
      <c r="AQC77" s="223">
        <f xml:space="preserve"> InputsTS!AQC$184</f>
        <v>0</v>
      </c>
      <c r="AQD77" s="223">
        <f xml:space="preserve"> InputsTS!AQD$184</f>
        <v>0</v>
      </c>
      <c r="AQE77" s="223">
        <f xml:space="preserve"> InputsTS!AQE$184</f>
        <v>0</v>
      </c>
      <c r="AQF77" s="223">
        <f xml:space="preserve"> InputsTS!AQF$184</f>
        <v>0</v>
      </c>
      <c r="AQG77" s="223">
        <f xml:space="preserve"> InputsTS!AQG$184</f>
        <v>0</v>
      </c>
      <c r="AQH77" s="223">
        <f xml:space="preserve"> InputsTS!AQH$184</f>
        <v>0</v>
      </c>
      <c r="AQI77" s="223">
        <f xml:space="preserve"> InputsTS!AQI$184</f>
        <v>0</v>
      </c>
      <c r="AQJ77" s="223">
        <f xml:space="preserve"> InputsTS!AQJ$184</f>
        <v>0</v>
      </c>
      <c r="AQK77" s="223">
        <f xml:space="preserve"> InputsTS!AQK$184</f>
        <v>0</v>
      </c>
      <c r="AQL77" s="223">
        <f xml:space="preserve"> InputsTS!AQL$184</f>
        <v>0</v>
      </c>
      <c r="AQM77" s="223">
        <f xml:space="preserve"> InputsTS!AQM$184</f>
        <v>0</v>
      </c>
      <c r="AQN77" s="223">
        <f xml:space="preserve"> InputsTS!AQN$184</f>
        <v>0</v>
      </c>
      <c r="AQO77" s="223">
        <f xml:space="preserve"> InputsTS!AQO$184</f>
        <v>0</v>
      </c>
      <c r="AQP77" s="223">
        <f xml:space="preserve"> InputsTS!AQP$184</f>
        <v>0</v>
      </c>
      <c r="AQQ77" s="223">
        <f xml:space="preserve"> InputsTS!AQQ$184</f>
        <v>0</v>
      </c>
      <c r="AQR77" s="223">
        <f xml:space="preserve"> InputsTS!AQR$184</f>
        <v>0</v>
      </c>
      <c r="AQS77" s="223">
        <f xml:space="preserve"> InputsTS!AQS$184</f>
        <v>0</v>
      </c>
      <c r="AQT77" s="223">
        <f xml:space="preserve"> InputsTS!AQT$184</f>
        <v>0</v>
      </c>
      <c r="AQU77" s="223">
        <f xml:space="preserve"> InputsTS!AQU$184</f>
        <v>0</v>
      </c>
      <c r="AQV77" s="223">
        <f xml:space="preserve"> InputsTS!AQV$184</f>
        <v>0</v>
      </c>
      <c r="AQW77" s="223">
        <f xml:space="preserve"> InputsTS!AQW$184</f>
        <v>0</v>
      </c>
      <c r="AQX77" s="223">
        <f xml:space="preserve"> InputsTS!AQX$184</f>
        <v>0</v>
      </c>
      <c r="AQY77" s="223">
        <f xml:space="preserve"> InputsTS!AQY$184</f>
        <v>0</v>
      </c>
      <c r="AQZ77" s="223">
        <f xml:space="preserve"> InputsTS!AQZ$184</f>
        <v>0</v>
      </c>
      <c r="ARA77" s="223">
        <f xml:space="preserve"> InputsTS!ARA$184</f>
        <v>0</v>
      </c>
      <c r="ARB77" s="223">
        <f xml:space="preserve"> InputsTS!ARB$184</f>
        <v>0</v>
      </c>
      <c r="ARC77" s="223">
        <f xml:space="preserve"> InputsTS!ARC$184</f>
        <v>0</v>
      </c>
      <c r="ARD77" s="223">
        <f xml:space="preserve"> InputsTS!ARD$184</f>
        <v>0</v>
      </c>
      <c r="ARE77" s="223">
        <f xml:space="preserve"> InputsTS!ARE$184</f>
        <v>0</v>
      </c>
      <c r="ARF77" s="223">
        <f xml:space="preserve"> InputsTS!ARF$184</f>
        <v>0</v>
      </c>
      <c r="ARG77" s="223">
        <f xml:space="preserve"> InputsTS!ARG$184</f>
        <v>0</v>
      </c>
      <c r="ARH77" s="223">
        <f xml:space="preserve"> InputsTS!ARH$184</f>
        <v>0</v>
      </c>
      <c r="ARI77" s="223">
        <f xml:space="preserve"> InputsTS!ARI$184</f>
        <v>0</v>
      </c>
      <c r="ARJ77" s="223">
        <f xml:space="preserve"> InputsTS!ARJ$184</f>
        <v>0</v>
      </c>
      <c r="ARK77" s="223">
        <f xml:space="preserve"> InputsTS!ARK$184</f>
        <v>0</v>
      </c>
      <c r="ARL77" s="223">
        <f xml:space="preserve"> InputsTS!ARL$184</f>
        <v>0</v>
      </c>
      <c r="ARM77" s="223">
        <f xml:space="preserve"> InputsTS!ARM$184</f>
        <v>0</v>
      </c>
      <c r="ARN77" s="223">
        <f xml:space="preserve"> InputsTS!ARN$184</f>
        <v>0</v>
      </c>
      <c r="ARO77" s="223">
        <f xml:space="preserve"> InputsTS!ARO$184</f>
        <v>0</v>
      </c>
      <c r="ARP77" s="223">
        <f xml:space="preserve"> InputsTS!ARP$184</f>
        <v>0</v>
      </c>
      <c r="ARQ77" s="223">
        <f xml:space="preserve"> InputsTS!ARQ$184</f>
        <v>0</v>
      </c>
      <c r="ARR77" s="223">
        <f xml:space="preserve"> InputsTS!ARR$184</f>
        <v>0</v>
      </c>
      <c r="ARS77" s="223">
        <f xml:space="preserve"> InputsTS!ARS$184</f>
        <v>0</v>
      </c>
      <c r="ART77" s="223">
        <f xml:space="preserve"> InputsTS!ART$184</f>
        <v>0</v>
      </c>
      <c r="ARU77" s="223">
        <f xml:space="preserve"> InputsTS!ARU$184</f>
        <v>0</v>
      </c>
      <c r="ARV77" s="223">
        <f xml:space="preserve"> InputsTS!ARV$184</f>
        <v>0</v>
      </c>
      <c r="ARW77" s="223">
        <f xml:space="preserve"> InputsTS!ARW$184</f>
        <v>0</v>
      </c>
      <c r="ARX77" s="223">
        <f xml:space="preserve"> InputsTS!ARX$184</f>
        <v>0</v>
      </c>
      <c r="ARY77" s="223">
        <f xml:space="preserve"> InputsTS!ARY$184</f>
        <v>0</v>
      </c>
      <c r="ARZ77" s="223">
        <f xml:space="preserve"> InputsTS!ARZ$184</f>
        <v>0</v>
      </c>
      <c r="ASA77" s="223">
        <f xml:space="preserve"> InputsTS!ASA$184</f>
        <v>0</v>
      </c>
      <c r="ASB77" s="223">
        <f xml:space="preserve"> InputsTS!ASB$184</f>
        <v>0</v>
      </c>
      <c r="ASC77" s="223">
        <f xml:space="preserve"> InputsTS!ASC$184</f>
        <v>0</v>
      </c>
      <c r="ASD77" s="223">
        <f xml:space="preserve"> InputsTS!ASD$184</f>
        <v>0</v>
      </c>
      <c r="ASE77" s="223">
        <f xml:space="preserve"> InputsTS!ASE$184</f>
        <v>0</v>
      </c>
      <c r="ASF77" s="223">
        <f xml:space="preserve"> InputsTS!ASF$184</f>
        <v>0</v>
      </c>
      <c r="ASG77" s="223">
        <f xml:space="preserve"> InputsTS!ASG$184</f>
        <v>0</v>
      </c>
      <c r="ASH77" s="223">
        <f xml:space="preserve"> InputsTS!ASH$184</f>
        <v>0</v>
      </c>
      <c r="ASI77" s="223">
        <f xml:space="preserve"> InputsTS!ASI$184</f>
        <v>0</v>
      </c>
      <c r="ASJ77" s="223">
        <f xml:space="preserve"> InputsTS!ASJ$184</f>
        <v>0</v>
      </c>
      <c r="ASK77" s="223">
        <f xml:space="preserve"> InputsTS!ASK$184</f>
        <v>0</v>
      </c>
      <c r="ASL77" s="223">
        <f xml:space="preserve"> InputsTS!ASL$184</f>
        <v>0</v>
      </c>
      <c r="ASM77" s="223">
        <f xml:space="preserve"> InputsTS!ASM$184</f>
        <v>0</v>
      </c>
      <c r="ASN77" s="223">
        <f xml:space="preserve"> InputsTS!ASN$184</f>
        <v>0</v>
      </c>
      <c r="ASO77" s="223">
        <f xml:space="preserve"> InputsTS!ASO$184</f>
        <v>0</v>
      </c>
      <c r="ASP77" s="223">
        <f xml:space="preserve"> InputsTS!ASP$184</f>
        <v>0</v>
      </c>
      <c r="ASQ77" s="223">
        <f xml:space="preserve"> InputsTS!ASQ$184</f>
        <v>0</v>
      </c>
      <c r="ASR77" s="223">
        <f xml:space="preserve"> InputsTS!ASR$184</f>
        <v>0</v>
      </c>
      <c r="ASS77" s="223">
        <f xml:space="preserve"> InputsTS!ASS$184</f>
        <v>0</v>
      </c>
      <c r="AST77" s="223">
        <f xml:space="preserve"> InputsTS!AST$184</f>
        <v>0</v>
      </c>
      <c r="ASU77" s="223">
        <f xml:space="preserve"> InputsTS!ASU$184</f>
        <v>0</v>
      </c>
      <c r="ASV77" s="223">
        <f xml:space="preserve"> InputsTS!ASV$184</f>
        <v>0</v>
      </c>
      <c r="ASW77" s="223">
        <f xml:space="preserve"> InputsTS!ASW$184</f>
        <v>0</v>
      </c>
      <c r="ASX77" s="223">
        <f xml:space="preserve"> InputsTS!ASX$184</f>
        <v>0</v>
      </c>
      <c r="ASY77" s="223">
        <f xml:space="preserve"> InputsTS!ASY$184</f>
        <v>0</v>
      </c>
      <c r="ASZ77" s="223">
        <f xml:space="preserve"> InputsTS!ASZ$184</f>
        <v>0</v>
      </c>
      <c r="ATA77" s="223">
        <f xml:space="preserve"> InputsTS!ATA$184</f>
        <v>0</v>
      </c>
      <c r="ATB77" s="223">
        <f xml:space="preserve"> InputsTS!ATB$184</f>
        <v>0</v>
      </c>
      <c r="ATC77" s="223">
        <f xml:space="preserve"> InputsTS!ATC$184</f>
        <v>0</v>
      </c>
      <c r="ATD77" s="223">
        <f xml:space="preserve"> InputsTS!ATD$184</f>
        <v>0</v>
      </c>
      <c r="ATE77" s="223">
        <f xml:space="preserve"> InputsTS!ATE$184</f>
        <v>0</v>
      </c>
      <c r="ATF77" s="223">
        <f xml:space="preserve"> InputsTS!ATF$184</f>
        <v>0</v>
      </c>
      <c r="ATG77" s="223">
        <f xml:space="preserve"> InputsTS!ATG$184</f>
        <v>0</v>
      </c>
      <c r="ATH77" s="223">
        <f xml:space="preserve"> InputsTS!ATH$184</f>
        <v>0</v>
      </c>
      <c r="ATI77" s="223">
        <f xml:space="preserve"> InputsTS!ATI$184</f>
        <v>0</v>
      </c>
      <c r="ATJ77" s="223">
        <f xml:space="preserve"> InputsTS!ATJ$184</f>
        <v>0</v>
      </c>
      <c r="ATK77" s="223">
        <f xml:space="preserve"> InputsTS!ATK$184</f>
        <v>0</v>
      </c>
      <c r="ATL77" s="223">
        <f xml:space="preserve"> InputsTS!ATL$184</f>
        <v>0</v>
      </c>
      <c r="ATM77" s="223">
        <f xml:space="preserve"> InputsTS!ATM$184</f>
        <v>0</v>
      </c>
      <c r="ATN77" s="223">
        <f xml:space="preserve"> InputsTS!ATN$184</f>
        <v>0</v>
      </c>
      <c r="ATO77" s="223">
        <f xml:space="preserve"> InputsTS!ATO$184</f>
        <v>0</v>
      </c>
      <c r="ATP77" s="223">
        <f xml:space="preserve"> InputsTS!ATP$184</f>
        <v>0</v>
      </c>
      <c r="ATQ77" s="223">
        <f xml:space="preserve"> InputsTS!ATQ$184</f>
        <v>0</v>
      </c>
      <c r="ATR77" s="223">
        <f xml:space="preserve"> InputsTS!ATR$184</f>
        <v>0</v>
      </c>
      <c r="ATS77" s="223">
        <f xml:space="preserve"> InputsTS!ATS$184</f>
        <v>0</v>
      </c>
      <c r="ATT77" s="223">
        <f xml:space="preserve"> InputsTS!ATT$184</f>
        <v>0</v>
      </c>
      <c r="ATU77" s="223">
        <f xml:space="preserve"> InputsTS!ATU$184</f>
        <v>0</v>
      </c>
      <c r="ATV77" s="223">
        <f xml:space="preserve"> InputsTS!ATV$184</f>
        <v>0</v>
      </c>
      <c r="ATW77" s="223">
        <f xml:space="preserve"> InputsTS!ATW$184</f>
        <v>0</v>
      </c>
      <c r="ATX77" s="223">
        <f xml:space="preserve"> InputsTS!ATX$184</f>
        <v>0</v>
      </c>
      <c r="ATY77" s="223">
        <f xml:space="preserve"> InputsTS!ATY$184</f>
        <v>0</v>
      </c>
      <c r="ATZ77" s="223">
        <f xml:space="preserve"> InputsTS!ATZ$184</f>
        <v>0</v>
      </c>
      <c r="AUA77" s="223">
        <f xml:space="preserve"> InputsTS!AUA$184</f>
        <v>0</v>
      </c>
      <c r="AUB77" s="223">
        <f xml:space="preserve"> InputsTS!AUB$184</f>
        <v>0</v>
      </c>
      <c r="AUC77" s="223">
        <f xml:space="preserve"> InputsTS!AUC$184</f>
        <v>0</v>
      </c>
      <c r="AUD77" s="223">
        <f xml:space="preserve"> InputsTS!AUD$184</f>
        <v>0</v>
      </c>
      <c r="AUE77" s="223">
        <f xml:space="preserve"> InputsTS!AUE$184</f>
        <v>0</v>
      </c>
      <c r="AUF77" s="223">
        <f xml:space="preserve"> InputsTS!AUF$184</f>
        <v>0</v>
      </c>
      <c r="AUG77" s="223">
        <f xml:space="preserve"> InputsTS!AUG$184</f>
        <v>0</v>
      </c>
      <c r="AUH77" s="223">
        <f xml:space="preserve"> InputsTS!AUH$184</f>
        <v>0</v>
      </c>
      <c r="AUI77" s="223">
        <f xml:space="preserve"> InputsTS!AUI$184</f>
        <v>0</v>
      </c>
      <c r="AUJ77" s="223">
        <f xml:space="preserve"> InputsTS!AUJ$184</f>
        <v>0</v>
      </c>
      <c r="AUK77" s="223">
        <f xml:space="preserve"> InputsTS!AUK$184</f>
        <v>0</v>
      </c>
      <c r="AUL77" s="223">
        <f xml:space="preserve"> InputsTS!AUL$184</f>
        <v>0</v>
      </c>
      <c r="AUM77" s="223">
        <f xml:space="preserve"> InputsTS!AUM$184</f>
        <v>0</v>
      </c>
      <c r="AUN77" s="223">
        <f xml:space="preserve"> InputsTS!AUN$184</f>
        <v>0</v>
      </c>
      <c r="AUO77" s="223">
        <f xml:space="preserve"> InputsTS!AUO$184</f>
        <v>0</v>
      </c>
      <c r="AUP77" s="223">
        <f xml:space="preserve"> InputsTS!AUP$184</f>
        <v>0</v>
      </c>
      <c r="AUQ77" s="223">
        <f xml:space="preserve"> InputsTS!AUQ$184</f>
        <v>0</v>
      </c>
      <c r="AUR77" s="223">
        <f xml:space="preserve"> InputsTS!AUR$184</f>
        <v>0</v>
      </c>
      <c r="AUS77" s="223">
        <f xml:space="preserve"> InputsTS!AUS$184</f>
        <v>0</v>
      </c>
      <c r="AUT77" s="223">
        <f xml:space="preserve"> InputsTS!AUT$184</f>
        <v>0</v>
      </c>
      <c r="AUU77" s="223">
        <f xml:space="preserve"> InputsTS!AUU$184</f>
        <v>0</v>
      </c>
      <c r="AUV77" s="223">
        <f xml:space="preserve"> InputsTS!AUV$184</f>
        <v>0</v>
      </c>
      <c r="AUW77" s="223">
        <f xml:space="preserve"> InputsTS!AUW$184</f>
        <v>0</v>
      </c>
      <c r="AUX77" s="223">
        <f xml:space="preserve"> InputsTS!AUX$184</f>
        <v>0</v>
      </c>
      <c r="AUY77" s="223">
        <f xml:space="preserve"> InputsTS!AUY$184</f>
        <v>0</v>
      </c>
      <c r="AUZ77" s="223">
        <f xml:space="preserve"> InputsTS!AUZ$184</f>
        <v>0</v>
      </c>
      <c r="AVA77" s="223">
        <f xml:space="preserve"> InputsTS!AVA$184</f>
        <v>0</v>
      </c>
      <c r="AVB77" s="223">
        <f xml:space="preserve"> InputsTS!AVB$184</f>
        <v>0</v>
      </c>
      <c r="AVC77" s="223">
        <f xml:space="preserve"> InputsTS!AVC$184</f>
        <v>0</v>
      </c>
      <c r="AVD77" s="223">
        <f xml:space="preserve"> InputsTS!AVD$184</f>
        <v>0</v>
      </c>
      <c r="AVE77" s="223">
        <f xml:space="preserve"> InputsTS!AVE$184</f>
        <v>0</v>
      </c>
      <c r="AVF77" s="223">
        <f xml:space="preserve"> InputsTS!AVF$184</f>
        <v>0</v>
      </c>
      <c r="AVG77" s="223">
        <f xml:space="preserve"> InputsTS!AVG$184</f>
        <v>0</v>
      </c>
      <c r="AVH77" s="223">
        <f xml:space="preserve"> InputsTS!AVH$184</f>
        <v>0</v>
      </c>
      <c r="AVI77" s="223">
        <f xml:space="preserve"> InputsTS!AVI$184</f>
        <v>0</v>
      </c>
      <c r="AVJ77" s="223">
        <f xml:space="preserve"> InputsTS!AVJ$184</f>
        <v>0</v>
      </c>
      <c r="AVK77" s="223">
        <f xml:space="preserve"> InputsTS!AVK$184</f>
        <v>0</v>
      </c>
      <c r="AVL77" s="223">
        <f xml:space="preserve"> InputsTS!AVL$184</f>
        <v>0</v>
      </c>
      <c r="AVM77" s="223">
        <f xml:space="preserve"> InputsTS!AVM$184</f>
        <v>0</v>
      </c>
      <c r="AVN77" s="223">
        <f xml:space="preserve"> InputsTS!AVN$184</f>
        <v>0</v>
      </c>
      <c r="AVO77" s="223">
        <f xml:space="preserve"> InputsTS!AVO$184</f>
        <v>0</v>
      </c>
      <c r="AVP77" s="223">
        <f xml:space="preserve"> InputsTS!AVP$184</f>
        <v>0</v>
      </c>
      <c r="AVQ77" s="223">
        <f xml:space="preserve"> InputsTS!AVQ$184</f>
        <v>0</v>
      </c>
      <c r="AVR77" s="223">
        <f xml:space="preserve"> InputsTS!AVR$184</f>
        <v>0</v>
      </c>
      <c r="AVS77" s="223">
        <f xml:space="preserve"> InputsTS!AVS$184</f>
        <v>0</v>
      </c>
      <c r="AVT77" s="223">
        <f xml:space="preserve"> InputsTS!AVT$184</f>
        <v>0</v>
      </c>
      <c r="AVU77" s="223">
        <f xml:space="preserve"> InputsTS!AVU$184</f>
        <v>0</v>
      </c>
      <c r="AVV77" s="223">
        <f xml:space="preserve"> InputsTS!AVV$184</f>
        <v>0</v>
      </c>
      <c r="AVW77" s="223">
        <f xml:space="preserve"> InputsTS!AVW$184</f>
        <v>0</v>
      </c>
      <c r="AVX77" s="223">
        <f xml:space="preserve"> InputsTS!AVX$184</f>
        <v>0</v>
      </c>
      <c r="AVY77" s="223">
        <f xml:space="preserve"> InputsTS!AVY$184</f>
        <v>0</v>
      </c>
      <c r="AVZ77" s="223">
        <f xml:space="preserve"> InputsTS!AVZ$184</f>
        <v>0</v>
      </c>
      <c r="AWA77" s="223">
        <f xml:space="preserve"> InputsTS!AWA$184</f>
        <v>0</v>
      </c>
      <c r="AWB77" s="223">
        <f xml:space="preserve"> InputsTS!AWB$184</f>
        <v>0</v>
      </c>
      <c r="AWC77" s="223">
        <f xml:space="preserve"> InputsTS!AWC$184</f>
        <v>0</v>
      </c>
      <c r="AWD77" s="223">
        <f xml:space="preserve"> InputsTS!AWD$184</f>
        <v>0</v>
      </c>
      <c r="AWE77" s="223">
        <f xml:space="preserve"> InputsTS!AWE$184</f>
        <v>0</v>
      </c>
      <c r="AWF77" s="223">
        <f xml:space="preserve"> InputsTS!AWF$184</f>
        <v>0</v>
      </c>
      <c r="AWG77" s="223">
        <f xml:space="preserve"> InputsTS!AWG$184</f>
        <v>0</v>
      </c>
      <c r="AWH77" s="223">
        <f xml:space="preserve"> InputsTS!AWH$184</f>
        <v>0</v>
      </c>
      <c r="AWI77" s="223">
        <f xml:space="preserve"> InputsTS!AWI$184</f>
        <v>0</v>
      </c>
      <c r="AWJ77" s="223">
        <f xml:space="preserve"> InputsTS!AWJ$184</f>
        <v>0</v>
      </c>
      <c r="AWK77" s="223">
        <f xml:space="preserve"> InputsTS!AWK$184</f>
        <v>0</v>
      </c>
      <c r="AWL77" s="223">
        <f xml:space="preserve"> InputsTS!AWL$184</f>
        <v>0</v>
      </c>
      <c r="AWM77" s="223">
        <f xml:space="preserve"> InputsTS!AWM$184</f>
        <v>0</v>
      </c>
      <c r="AWN77" s="223">
        <f xml:space="preserve"> InputsTS!AWN$184</f>
        <v>0</v>
      </c>
      <c r="AWO77" s="223">
        <f xml:space="preserve"> InputsTS!AWO$184</f>
        <v>0</v>
      </c>
      <c r="AWP77" s="223">
        <f xml:space="preserve"> InputsTS!AWP$184</f>
        <v>0</v>
      </c>
      <c r="AWQ77" s="223">
        <f xml:space="preserve"> InputsTS!AWQ$184</f>
        <v>0</v>
      </c>
      <c r="AWR77" s="223">
        <f xml:space="preserve"> InputsTS!AWR$184</f>
        <v>0</v>
      </c>
      <c r="AWS77" s="223">
        <f xml:space="preserve"> InputsTS!AWS$184</f>
        <v>0</v>
      </c>
      <c r="AWT77" s="223">
        <f xml:space="preserve"> InputsTS!AWT$184</f>
        <v>0</v>
      </c>
      <c r="AWU77" s="223">
        <f xml:space="preserve"> InputsTS!AWU$184</f>
        <v>0</v>
      </c>
      <c r="AWV77" s="223">
        <f xml:space="preserve"> InputsTS!AWV$184</f>
        <v>0</v>
      </c>
      <c r="AWW77" s="223">
        <f xml:space="preserve"> InputsTS!AWW$184</f>
        <v>0</v>
      </c>
      <c r="AWX77" s="223">
        <f xml:space="preserve"> InputsTS!AWX$184</f>
        <v>0</v>
      </c>
      <c r="AWY77" s="223">
        <f xml:space="preserve"> InputsTS!AWY$184</f>
        <v>0</v>
      </c>
      <c r="AWZ77" s="223">
        <f xml:space="preserve"> InputsTS!AWZ$184</f>
        <v>0</v>
      </c>
      <c r="AXA77" s="223">
        <f xml:space="preserve"> InputsTS!AXA$184</f>
        <v>0</v>
      </c>
      <c r="AXB77" s="223">
        <f xml:space="preserve"> InputsTS!AXB$184</f>
        <v>0</v>
      </c>
      <c r="AXC77" s="223">
        <f xml:space="preserve"> InputsTS!AXC$184</f>
        <v>0</v>
      </c>
      <c r="AXD77" s="223">
        <f xml:space="preserve"> InputsTS!AXD$184</f>
        <v>0</v>
      </c>
      <c r="AXE77" s="223">
        <f xml:space="preserve"> InputsTS!AXE$184</f>
        <v>0</v>
      </c>
      <c r="AXF77" s="223">
        <f xml:space="preserve"> InputsTS!AXF$184</f>
        <v>0</v>
      </c>
      <c r="AXG77" s="223">
        <f xml:space="preserve"> InputsTS!AXG$184</f>
        <v>0</v>
      </c>
      <c r="AXH77" s="223">
        <f xml:space="preserve"> InputsTS!AXH$184</f>
        <v>0</v>
      </c>
      <c r="AXI77" s="223">
        <f xml:space="preserve"> InputsTS!AXI$184</f>
        <v>0</v>
      </c>
      <c r="AXJ77" s="223">
        <f xml:space="preserve"> InputsTS!AXJ$184</f>
        <v>0</v>
      </c>
      <c r="AXK77" s="223">
        <f xml:space="preserve"> InputsTS!AXK$184</f>
        <v>0</v>
      </c>
      <c r="AXL77" s="223">
        <f xml:space="preserve"> InputsTS!AXL$184</f>
        <v>0</v>
      </c>
      <c r="AXM77" s="223">
        <f xml:space="preserve"> InputsTS!AXM$184</f>
        <v>0</v>
      </c>
      <c r="AXN77" s="223">
        <f xml:space="preserve"> InputsTS!AXN$184</f>
        <v>0</v>
      </c>
      <c r="AXO77" s="223">
        <f xml:space="preserve"> InputsTS!AXO$184</f>
        <v>0</v>
      </c>
      <c r="AXP77" s="223">
        <f xml:space="preserve"> InputsTS!AXP$184</f>
        <v>0</v>
      </c>
      <c r="AXQ77" s="223">
        <f xml:space="preserve"> InputsTS!AXQ$184</f>
        <v>0</v>
      </c>
      <c r="AXR77" s="223">
        <f xml:space="preserve"> InputsTS!AXR$184</f>
        <v>0</v>
      </c>
      <c r="AXS77" s="223">
        <f xml:space="preserve"> InputsTS!AXS$184</f>
        <v>0</v>
      </c>
      <c r="AXT77" s="223">
        <f xml:space="preserve"> InputsTS!AXT$184</f>
        <v>0</v>
      </c>
      <c r="AXU77" s="223">
        <f xml:space="preserve"> InputsTS!AXU$184</f>
        <v>0</v>
      </c>
      <c r="AXV77" s="223">
        <f xml:space="preserve"> InputsTS!AXV$184</f>
        <v>0</v>
      </c>
      <c r="AXW77" s="223">
        <f xml:space="preserve"> InputsTS!AXW$184</f>
        <v>0</v>
      </c>
      <c r="AXX77" s="223">
        <f xml:space="preserve"> InputsTS!AXX$184</f>
        <v>0</v>
      </c>
      <c r="AXY77" s="223">
        <f xml:space="preserve"> InputsTS!AXY$184</f>
        <v>0</v>
      </c>
      <c r="AXZ77" s="223">
        <f xml:space="preserve"> InputsTS!AXZ$184</f>
        <v>0</v>
      </c>
      <c r="AYA77" s="223">
        <f xml:space="preserve"> InputsTS!AYA$184</f>
        <v>0</v>
      </c>
      <c r="AYB77" s="223">
        <f xml:space="preserve"> InputsTS!AYB$184</f>
        <v>0</v>
      </c>
      <c r="AYC77" s="223">
        <f xml:space="preserve"> InputsTS!AYC$184</f>
        <v>0</v>
      </c>
      <c r="AYD77" s="223">
        <f xml:space="preserve"> InputsTS!AYD$184</f>
        <v>0</v>
      </c>
      <c r="AYE77" s="223">
        <f xml:space="preserve"> InputsTS!AYE$184</f>
        <v>0</v>
      </c>
      <c r="AYF77" s="223">
        <f xml:space="preserve"> InputsTS!AYF$184</f>
        <v>0</v>
      </c>
      <c r="AYG77" s="223">
        <f xml:space="preserve"> InputsTS!AYG$184</f>
        <v>0</v>
      </c>
      <c r="AYH77" s="223">
        <f xml:space="preserve"> InputsTS!AYH$184</f>
        <v>0</v>
      </c>
      <c r="AYI77" s="223">
        <f xml:space="preserve"> InputsTS!AYI$184</f>
        <v>0</v>
      </c>
      <c r="AYJ77" s="223">
        <f xml:space="preserve"> InputsTS!AYJ$184</f>
        <v>0</v>
      </c>
      <c r="AYK77" s="223">
        <f xml:space="preserve"> InputsTS!AYK$184</f>
        <v>0</v>
      </c>
      <c r="AYL77" s="223">
        <f xml:space="preserve"> InputsTS!AYL$184</f>
        <v>0</v>
      </c>
      <c r="AYM77" s="223">
        <f xml:space="preserve"> InputsTS!AYM$184</f>
        <v>0</v>
      </c>
      <c r="AYN77" s="223">
        <f xml:space="preserve"> InputsTS!AYN$184</f>
        <v>0</v>
      </c>
      <c r="AYO77" s="223">
        <f xml:space="preserve"> InputsTS!AYO$184</f>
        <v>0</v>
      </c>
      <c r="AYP77" s="223">
        <f xml:space="preserve"> InputsTS!AYP$184</f>
        <v>0</v>
      </c>
      <c r="AYQ77" s="223">
        <f xml:space="preserve"> InputsTS!AYQ$184</f>
        <v>0</v>
      </c>
      <c r="AYR77" s="223">
        <f xml:space="preserve"> InputsTS!AYR$184</f>
        <v>0</v>
      </c>
      <c r="AYS77" s="223">
        <f xml:space="preserve"> InputsTS!AYS$184</f>
        <v>0</v>
      </c>
      <c r="AYT77" s="223">
        <f xml:space="preserve"> InputsTS!AYT$184</f>
        <v>0</v>
      </c>
      <c r="AYU77" s="223">
        <f xml:space="preserve"> InputsTS!AYU$184</f>
        <v>0</v>
      </c>
      <c r="AYV77" s="223">
        <f xml:space="preserve"> InputsTS!AYV$184</f>
        <v>0</v>
      </c>
      <c r="AYW77" s="223">
        <f xml:space="preserve"> InputsTS!AYW$184</f>
        <v>0</v>
      </c>
      <c r="AYX77" s="223">
        <f xml:space="preserve"> InputsTS!AYX$184</f>
        <v>0</v>
      </c>
      <c r="AYY77" s="223">
        <f xml:space="preserve"> InputsTS!AYY$184</f>
        <v>0</v>
      </c>
      <c r="AYZ77" s="223">
        <f xml:space="preserve"> InputsTS!AYZ$184</f>
        <v>0</v>
      </c>
      <c r="AZA77" s="223">
        <f xml:space="preserve"> InputsTS!AZA$184</f>
        <v>0</v>
      </c>
      <c r="AZB77" s="223">
        <f xml:space="preserve"> InputsTS!AZB$184</f>
        <v>0</v>
      </c>
      <c r="AZC77" s="223">
        <f xml:space="preserve"> InputsTS!AZC$184</f>
        <v>0</v>
      </c>
      <c r="AZD77" s="223">
        <f xml:space="preserve"> InputsTS!AZD$184</f>
        <v>0</v>
      </c>
      <c r="AZE77" s="223">
        <f xml:space="preserve"> InputsTS!AZE$184</f>
        <v>0</v>
      </c>
      <c r="AZF77" s="223">
        <f xml:space="preserve"> InputsTS!AZF$184</f>
        <v>0</v>
      </c>
      <c r="AZG77" s="223">
        <f xml:space="preserve"> InputsTS!AZG$184</f>
        <v>0</v>
      </c>
      <c r="AZH77" s="223">
        <f xml:space="preserve"> InputsTS!AZH$184</f>
        <v>0</v>
      </c>
      <c r="AZI77" s="223">
        <f xml:space="preserve"> InputsTS!AZI$184</f>
        <v>0</v>
      </c>
      <c r="AZJ77" s="223">
        <f xml:space="preserve"> InputsTS!AZJ$184</f>
        <v>0</v>
      </c>
      <c r="AZK77" s="223">
        <f xml:space="preserve"> InputsTS!AZK$184</f>
        <v>0</v>
      </c>
      <c r="AZL77" s="223">
        <f xml:space="preserve"> InputsTS!AZL$184</f>
        <v>0</v>
      </c>
      <c r="AZM77" s="223">
        <f xml:space="preserve"> InputsTS!AZM$184</f>
        <v>0</v>
      </c>
      <c r="AZN77" s="223">
        <f xml:space="preserve"> InputsTS!AZN$184</f>
        <v>0</v>
      </c>
      <c r="AZO77" s="223">
        <f xml:space="preserve"> InputsTS!AZO$184</f>
        <v>0</v>
      </c>
      <c r="AZP77" s="223">
        <f xml:space="preserve"> InputsTS!AZP$184</f>
        <v>0</v>
      </c>
      <c r="AZQ77" s="223">
        <f xml:space="preserve"> InputsTS!AZQ$184</f>
        <v>0</v>
      </c>
      <c r="AZR77" s="223">
        <f xml:space="preserve"> InputsTS!AZR$184</f>
        <v>0</v>
      </c>
      <c r="AZS77" s="223">
        <f xml:space="preserve"> InputsTS!AZS$184</f>
        <v>0</v>
      </c>
      <c r="AZT77" s="223">
        <f xml:space="preserve"> InputsTS!AZT$184</f>
        <v>0</v>
      </c>
      <c r="AZU77" s="223">
        <f xml:space="preserve"> InputsTS!AZU$184</f>
        <v>0</v>
      </c>
      <c r="AZV77" s="223">
        <f xml:space="preserve"> InputsTS!AZV$184</f>
        <v>0</v>
      </c>
      <c r="AZW77" s="223">
        <f xml:space="preserve"> InputsTS!AZW$184</f>
        <v>0</v>
      </c>
      <c r="AZX77" s="223">
        <f xml:space="preserve"> InputsTS!AZX$184</f>
        <v>0</v>
      </c>
      <c r="AZY77" s="223">
        <f xml:space="preserve"> InputsTS!AZY$184</f>
        <v>0</v>
      </c>
      <c r="AZZ77" s="223">
        <f xml:space="preserve"> InputsTS!AZZ$184</f>
        <v>0</v>
      </c>
      <c r="BAA77" s="223">
        <f xml:space="preserve"> InputsTS!BAA$184</f>
        <v>0</v>
      </c>
      <c r="BAB77" s="223">
        <f xml:space="preserve"> InputsTS!BAB$184</f>
        <v>0</v>
      </c>
      <c r="BAC77" s="223">
        <f xml:space="preserve"> InputsTS!BAC$184</f>
        <v>0</v>
      </c>
      <c r="BAD77" s="223">
        <f xml:space="preserve"> InputsTS!BAD$184</f>
        <v>0</v>
      </c>
      <c r="BAE77" s="223">
        <f xml:space="preserve"> InputsTS!BAE$184</f>
        <v>0</v>
      </c>
      <c r="BAF77" s="223">
        <f xml:space="preserve"> InputsTS!BAF$184</f>
        <v>0</v>
      </c>
      <c r="BAG77" s="223">
        <f xml:space="preserve"> InputsTS!BAG$184</f>
        <v>0</v>
      </c>
      <c r="BAH77" s="223">
        <f xml:space="preserve"> InputsTS!BAH$184</f>
        <v>0</v>
      </c>
      <c r="BAI77" s="223">
        <f xml:space="preserve"> InputsTS!BAI$184</f>
        <v>0</v>
      </c>
      <c r="BAJ77" s="223">
        <f xml:space="preserve"> InputsTS!BAJ$184</f>
        <v>0</v>
      </c>
      <c r="BAK77" s="223">
        <f xml:space="preserve"> InputsTS!BAK$184</f>
        <v>0</v>
      </c>
      <c r="BAL77" s="223">
        <f xml:space="preserve"> InputsTS!BAL$184</f>
        <v>0</v>
      </c>
      <c r="BAM77" s="223">
        <f xml:space="preserve"> InputsTS!BAM$184</f>
        <v>0</v>
      </c>
      <c r="BAN77" s="223">
        <f xml:space="preserve"> InputsTS!BAN$184</f>
        <v>0</v>
      </c>
      <c r="BAO77" s="223">
        <f xml:space="preserve"> InputsTS!BAO$184</f>
        <v>0</v>
      </c>
      <c r="BAP77" s="223">
        <f xml:space="preserve"> InputsTS!BAP$184</f>
        <v>0</v>
      </c>
      <c r="BAQ77" s="223">
        <f xml:space="preserve"> InputsTS!BAQ$184</f>
        <v>0</v>
      </c>
      <c r="BAR77" s="223">
        <f xml:space="preserve"> InputsTS!BAR$184</f>
        <v>0</v>
      </c>
      <c r="BAS77" s="223">
        <f xml:space="preserve"> InputsTS!BAS$184</f>
        <v>0</v>
      </c>
      <c r="BAT77" s="223">
        <f xml:space="preserve"> InputsTS!BAT$184</f>
        <v>0</v>
      </c>
      <c r="BAU77" s="223">
        <f xml:space="preserve"> InputsTS!BAU$184</f>
        <v>0</v>
      </c>
      <c r="BAV77" s="223">
        <f xml:space="preserve"> InputsTS!BAV$184</f>
        <v>0</v>
      </c>
      <c r="BAW77" s="223">
        <f xml:space="preserve"> InputsTS!BAW$184</f>
        <v>0</v>
      </c>
      <c r="BAX77" s="223">
        <f xml:space="preserve"> InputsTS!BAX$184</f>
        <v>0</v>
      </c>
      <c r="BAY77" s="223">
        <f xml:space="preserve"> InputsTS!BAY$184</f>
        <v>0</v>
      </c>
      <c r="BAZ77" s="223">
        <f xml:space="preserve"> InputsTS!BAZ$184</f>
        <v>0</v>
      </c>
      <c r="BBA77" s="223">
        <f xml:space="preserve"> InputsTS!BBA$184</f>
        <v>0</v>
      </c>
      <c r="BBB77" s="223">
        <f xml:space="preserve"> InputsTS!BBB$184</f>
        <v>0</v>
      </c>
      <c r="BBC77" s="223">
        <f xml:space="preserve"> InputsTS!BBC$184</f>
        <v>0</v>
      </c>
      <c r="BBD77" s="223">
        <f xml:space="preserve"> InputsTS!BBD$184</f>
        <v>0</v>
      </c>
      <c r="BBE77" s="223">
        <f xml:space="preserve"> InputsTS!BBE$184</f>
        <v>0</v>
      </c>
      <c r="BBF77" s="223">
        <f xml:space="preserve"> InputsTS!BBF$184</f>
        <v>0</v>
      </c>
      <c r="BBG77" s="223">
        <f xml:space="preserve"> InputsTS!BBG$184</f>
        <v>0</v>
      </c>
      <c r="BBH77" s="223">
        <f xml:space="preserve"> InputsTS!BBH$184</f>
        <v>0</v>
      </c>
      <c r="BBI77" s="223">
        <f xml:space="preserve"> InputsTS!BBI$184</f>
        <v>0</v>
      </c>
      <c r="BBJ77" s="223">
        <f xml:space="preserve"> InputsTS!BBJ$184</f>
        <v>0</v>
      </c>
      <c r="BBK77" s="223">
        <f xml:space="preserve"> InputsTS!BBK$184</f>
        <v>0</v>
      </c>
      <c r="BBL77" s="223">
        <f xml:space="preserve"> InputsTS!BBL$184</f>
        <v>0</v>
      </c>
      <c r="BBM77" s="223">
        <f xml:space="preserve"> InputsTS!BBM$184</f>
        <v>0</v>
      </c>
      <c r="BBN77" s="223">
        <f xml:space="preserve"> InputsTS!BBN$184</f>
        <v>0</v>
      </c>
      <c r="BBO77" s="223">
        <f xml:space="preserve"> InputsTS!BBO$184</f>
        <v>0</v>
      </c>
      <c r="BBP77" s="223">
        <f xml:space="preserve"> InputsTS!BBP$184</f>
        <v>0</v>
      </c>
      <c r="BBQ77" s="223">
        <f xml:space="preserve"> InputsTS!BBQ$184</f>
        <v>0</v>
      </c>
      <c r="BBR77" s="223">
        <f xml:space="preserve"> InputsTS!BBR$184</f>
        <v>0</v>
      </c>
      <c r="BBS77" s="223">
        <f xml:space="preserve"> InputsTS!BBS$184</f>
        <v>0</v>
      </c>
      <c r="BBT77" s="223">
        <f xml:space="preserve"> InputsTS!BBT$184</f>
        <v>0</v>
      </c>
      <c r="BBU77" s="223">
        <f xml:space="preserve"> InputsTS!BBU$184</f>
        <v>0</v>
      </c>
      <c r="BBV77" s="223">
        <f xml:space="preserve"> InputsTS!BBV$184</f>
        <v>0</v>
      </c>
      <c r="BBW77" s="223">
        <f xml:space="preserve"> InputsTS!BBW$184</f>
        <v>0</v>
      </c>
      <c r="BBX77" s="223">
        <f xml:space="preserve"> InputsTS!BBX$184</f>
        <v>0</v>
      </c>
      <c r="BBY77" s="223">
        <f xml:space="preserve"> InputsTS!BBY$184</f>
        <v>0</v>
      </c>
      <c r="BBZ77" s="223">
        <f xml:space="preserve"> InputsTS!BBZ$184</f>
        <v>0</v>
      </c>
      <c r="BCA77" s="223">
        <f xml:space="preserve"> InputsTS!BCA$184</f>
        <v>0</v>
      </c>
      <c r="BCB77" s="223">
        <f xml:space="preserve"> InputsTS!BCB$184</f>
        <v>0</v>
      </c>
      <c r="BCC77" s="223">
        <f xml:space="preserve"> InputsTS!BCC$184</f>
        <v>0</v>
      </c>
      <c r="BCD77" s="223">
        <f xml:space="preserve"> InputsTS!BCD$184</f>
        <v>0</v>
      </c>
      <c r="BCE77" s="223">
        <f xml:space="preserve"> InputsTS!BCE$184</f>
        <v>0</v>
      </c>
      <c r="BCF77" s="223">
        <f xml:space="preserve"> InputsTS!BCF$184</f>
        <v>0</v>
      </c>
      <c r="BCG77" s="223">
        <f xml:space="preserve"> InputsTS!BCG$184</f>
        <v>0</v>
      </c>
      <c r="BCH77" s="223">
        <f xml:space="preserve"> InputsTS!BCH$184</f>
        <v>0</v>
      </c>
      <c r="BCI77" s="223">
        <f xml:space="preserve"> InputsTS!BCI$184</f>
        <v>0</v>
      </c>
      <c r="BCJ77" s="223">
        <f xml:space="preserve"> InputsTS!BCJ$184</f>
        <v>0</v>
      </c>
      <c r="BCK77" s="223">
        <f xml:space="preserve"> InputsTS!BCK$184</f>
        <v>0</v>
      </c>
      <c r="BCL77" s="223">
        <f xml:space="preserve"> InputsTS!BCL$184</f>
        <v>0</v>
      </c>
      <c r="BCM77" s="223">
        <f xml:space="preserve"> InputsTS!BCM$184</f>
        <v>0</v>
      </c>
      <c r="BCN77" s="223">
        <f xml:space="preserve"> InputsTS!BCN$184</f>
        <v>0</v>
      </c>
      <c r="BCO77" s="223">
        <f xml:space="preserve"> InputsTS!BCO$184</f>
        <v>0</v>
      </c>
      <c r="BCP77" s="223">
        <f xml:space="preserve"> InputsTS!BCP$184</f>
        <v>0</v>
      </c>
      <c r="BCQ77" s="223">
        <f xml:space="preserve"> InputsTS!BCQ$184</f>
        <v>0</v>
      </c>
      <c r="BCR77" s="223">
        <f xml:space="preserve"> InputsTS!BCR$184</f>
        <v>0</v>
      </c>
      <c r="BCS77" s="223">
        <f xml:space="preserve"> InputsTS!BCS$184</f>
        <v>0</v>
      </c>
      <c r="BCT77" s="223">
        <f xml:space="preserve"> InputsTS!BCT$184</f>
        <v>0</v>
      </c>
      <c r="BCU77" s="223">
        <f xml:space="preserve"> InputsTS!BCU$184</f>
        <v>0</v>
      </c>
      <c r="BCV77" s="223">
        <f xml:space="preserve"> InputsTS!BCV$184</f>
        <v>0</v>
      </c>
      <c r="BCW77" s="223">
        <f xml:space="preserve"> InputsTS!BCW$184</f>
        <v>0</v>
      </c>
      <c r="BCX77" s="223">
        <f xml:space="preserve"> InputsTS!BCX$184</f>
        <v>0</v>
      </c>
      <c r="BCY77" s="223">
        <f xml:space="preserve"> InputsTS!BCY$184</f>
        <v>0</v>
      </c>
      <c r="BCZ77" s="223">
        <f xml:space="preserve"> InputsTS!BCZ$184</f>
        <v>0</v>
      </c>
      <c r="BDA77" s="223">
        <f xml:space="preserve"> InputsTS!BDA$184</f>
        <v>0</v>
      </c>
      <c r="BDB77" s="223">
        <f xml:space="preserve"> InputsTS!BDB$184</f>
        <v>0</v>
      </c>
      <c r="BDC77" s="223">
        <f xml:space="preserve"> InputsTS!BDC$184</f>
        <v>0</v>
      </c>
      <c r="BDD77" s="223">
        <f xml:space="preserve"> InputsTS!BDD$184</f>
        <v>0</v>
      </c>
      <c r="BDE77" s="223">
        <f xml:space="preserve"> InputsTS!BDE$184</f>
        <v>0</v>
      </c>
      <c r="BDF77" s="223">
        <f xml:space="preserve"> InputsTS!BDF$184</f>
        <v>0</v>
      </c>
      <c r="BDG77" s="223">
        <f xml:space="preserve"> InputsTS!BDG$184</f>
        <v>0</v>
      </c>
      <c r="BDH77" s="223">
        <f xml:space="preserve"> InputsTS!BDH$184</f>
        <v>0</v>
      </c>
      <c r="BDI77" s="223">
        <f xml:space="preserve"> InputsTS!BDI$184</f>
        <v>0</v>
      </c>
      <c r="BDJ77" s="223">
        <f xml:space="preserve"> InputsTS!BDJ$184</f>
        <v>0</v>
      </c>
      <c r="BDK77" s="223">
        <f xml:space="preserve"> InputsTS!BDK$184</f>
        <v>0</v>
      </c>
      <c r="BDL77" s="223">
        <f xml:space="preserve"> InputsTS!BDL$184</f>
        <v>0</v>
      </c>
      <c r="BDM77" s="223">
        <f xml:space="preserve"> InputsTS!BDM$184</f>
        <v>0</v>
      </c>
      <c r="BDN77" s="223">
        <f xml:space="preserve"> InputsTS!BDN$184</f>
        <v>0</v>
      </c>
      <c r="BDO77" s="223">
        <f xml:space="preserve"> InputsTS!BDO$184</f>
        <v>0</v>
      </c>
      <c r="BDP77" s="223">
        <f xml:space="preserve"> InputsTS!BDP$184</f>
        <v>0</v>
      </c>
      <c r="BDQ77" s="223">
        <f xml:space="preserve"> InputsTS!BDQ$184</f>
        <v>0</v>
      </c>
      <c r="BDR77" s="223">
        <f xml:space="preserve"> InputsTS!BDR$184</f>
        <v>0</v>
      </c>
      <c r="BDS77" s="223">
        <f xml:space="preserve"> InputsTS!BDS$184</f>
        <v>0</v>
      </c>
      <c r="BDT77" s="223">
        <f xml:space="preserve"> InputsTS!BDT$184</f>
        <v>0</v>
      </c>
      <c r="BDU77" s="223">
        <f xml:space="preserve"> InputsTS!BDU$184</f>
        <v>0</v>
      </c>
      <c r="BDV77" s="223">
        <f xml:space="preserve"> InputsTS!BDV$184</f>
        <v>0</v>
      </c>
      <c r="BDW77" s="223">
        <f xml:space="preserve"> InputsTS!BDW$184</f>
        <v>0</v>
      </c>
      <c r="BDX77" s="223">
        <f xml:space="preserve"> InputsTS!BDX$184</f>
        <v>0</v>
      </c>
      <c r="BDY77" s="223">
        <f xml:space="preserve"> InputsTS!BDY$184</f>
        <v>0</v>
      </c>
      <c r="BDZ77" s="223">
        <f xml:space="preserve"> InputsTS!BDZ$184</f>
        <v>0</v>
      </c>
      <c r="BEA77" s="223">
        <f xml:space="preserve"> InputsTS!BEA$184</f>
        <v>0</v>
      </c>
      <c r="BEB77" s="223">
        <f xml:space="preserve"> InputsTS!BEB$184</f>
        <v>0</v>
      </c>
      <c r="BEC77" s="223">
        <f xml:space="preserve"> InputsTS!BEC$184</f>
        <v>0</v>
      </c>
      <c r="BED77" s="223">
        <f xml:space="preserve"> InputsTS!BED$184</f>
        <v>0</v>
      </c>
      <c r="BEE77" s="223">
        <f xml:space="preserve"> InputsTS!BEE$184</f>
        <v>0</v>
      </c>
      <c r="BEF77" s="223">
        <f xml:space="preserve"> InputsTS!BEF$184</f>
        <v>0</v>
      </c>
      <c r="BEG77" s="223">
        <f xml:space="preserve"> InputsTS!BEG$184</f>
        <v>0</v>
      </c>
      <c r="BEH77" s="223">
        <f xml:space="preserve"> InputsTS!BEH$184</f>
        <v>0</v>
      </c>
      <c r="BEI77" s="223">
        <f xml:space="preserve"> InputsTS!BEI$184</f>
        <v>0</v>
      </c>
      <c r="BEJ77" s="223">
        <f xml:space="preserve"> InputsTS!BEJ$184</f>
        <v>0</v>
      </c>
      <c r="BEK77" s="223">
        <f xml:space="preserve"> InputsTS!BEK$184</f>
        <v>0</v>
      </c>
      <c r="BEL77" s="223">
        <f xml:space="preserve"> InputsTS!BEL$184</f>
        <v>0</v>
      </c>
      <c r="BEM77" s="223">
        <f xml:space="preserve"> InputsTS!BEM$184</f>
        <v>0</v>
      </c>
      <c r="BEN77" s="223">
        <f xml:space="preserve"> InputsTS!BEN$184</f>
        <v>0</v>
      </c>
      <c r="BEO77" s="223">
        <f xml:space="preserve"> InputsTS!BEO$184</f>
        <v>0</v>
      </c>
      <c r="BEP77" s="223">
        <f xml:space="preserve"> InputsTS!BEP$184</f>
        <v>0</v>
      </c>
      <c r="BEQ77" s="223">
        <f xml:space="preserve"> InputsTS!BEQ$184</f>
        <v>0</v>
      </c>
      <c r="BER77" s="223">
        <f xml:space="preserve"> InputsTS!BER$184</f>
        <v>0</v>
      </c>
      <c r="BES77" s="223">
        <f xml:space="preserve"> InputsTS!BES$184</f>
        <v>0</v>
      </c>
      <c r="BET77" s="223">
        <f xml:space="preserve"> InputsTS!BET$184</f>
        <v>0</v>
      </c>
      <c r="BEU77" s="223">
        <f xml:space="preserve"> InputsTS!BEU$184</f>
        <v>0</v>
      </c>
      <c r="BEV77" s="223">
        <f xml:space="preserve"> InputsTS!BEV$184</f>
        <v>0</v>
      </c>
      <c r="BEW77" s="223">
        <f xml:space="preserve"> InputsTS!BEW$184</f>
        <v>0</v>
      </c>
      <c r="BEX77" s="223">
        <f xml:space="preserve"> InputsTS!BEX$184</f>
        <v>0</v>
      </c>
      <c r="BEY77" s="223">
        <f xml:space="preserve"> InputsTS!BEY$184</f>
        <v>0</v>
      </c>
      <c r="BEZ77" s="223">
        <f xml:space="preserve"> InputsTS!BEZ$184</f>
        <v>0</v>
      </c>
      <c r="BFA77" s="223">
        <f xml:space="preserve"> InputsTS!BFA$184</f>
        <v>0</v>
      </c>
      <c r="BFB77" s="223">
        <f xml:space="preserve"> InputsTS!BFB$184</f>
        <v>0</v>
      </c>
      <c r="BFC77" s="223">
        <f xml:space="preserve"> InputsTS!BFC$184</f>
        <v>0</v>
      </c>
      <c r="BFD77" s="223">
        <f xml:space="preserve"> InputsTS!BFD$184</f>
        <v>0</v>
      </c>
      <c r="BFE77" s="223">
        <f xml:space="preserve"> InputsTS!BFE$184</f>
        <v>0</v>
      </c>
      <c r="BFF77" s="223">
        <f xml:space="preserve"> InputsTS!BFF$184</f>
        <v>0</v>
      </c>
      <c r="BFG77" s="223">
        <f xml:space="preserve"> InputsTS!BFG$184</f>
        <v>0</v>
      </c>
      <c r="BFH77" s="223">
        <f xml:space="preserve"> InputsTS!BFH$184</f>
        <v>0</v>
      </c>
      <c r="BFI77" s="223">
        <f xml:space="preserve"> InputsTS!BFI$184</f>
        <v>0</v>
      </c>
      <c r="BFJ77" s="223">
        <f xml:space="preserve"> InputsTS!BFJ$184</f>
        <v>0</v>
      </c>
      <c r="BFK77" s="223">
        <f xml:space="preserve"> InputsTS!BFK$184</f>
        <v>0</v>
      </c>
      <c r="BFL77" s="223">
        <f xml:space="preserve"> InputsTS!BFL$184</f>
        <v>0</v>
      </c>
      <c r="BFM77" s="223">
        <f xml:space="preserve"> InputsTS!BFM$184</f>
        <v>0</v>
      </c>
      <c r="BFN77" s="223">
        <f xml:space="preserve"> InputsTS!BFN$184</f>
        <v>0</v>
      </c>
      <c r="BFO77" s="223">
        <f xml:space="preserve"> InputsTS!BFO$184</f>
        <v>0</v>
      </c>
      <c r="BFP77" s="223">
        <f xml:space="preserve"> InputsTS!BFP$184</f>
        <v>0</v>
      </c>
      <c r="BFQ77" s="223">
        <f xml:space="preserve"> InputsTS!BFQ$184</f>
        <v>0</v>
      </c>
      <c r="BFR77" s="223">
        <f xml:space="preserve"> InputsTS!BFR$184</f>
        <v>0</v>
      </c>
      <c r="BFS77" s="223">
        <f xml:space="preserve"> InputsTS!BFS$184</f>
        <v>0</v>
      </c>
      <c r="BFT77" s="223">
        <f xml:space="preserve"> InputsTS!BFT$184</f>
        <v>0</v>
      </c>
      <c r="BFU77" s="223">
        <f xml:space="preserve"> InputsTS!BFU$184</f>
        <v>0</v>
      </c>
      <c r="BFV77" s="223">
        <f xml:space="preserve"> InputsTS!BFV$184</f>
        <v>0</v>
      </c>
      <c r="BFW77" s="223">
        <f xml:space="preserve"> InputsTS!BFW$184</f>
        <v>0</v>
      </c>
      <c r="BFX77" s="223">
        <f xml:space="preserve"> InputsTS!BFX$184</f>
        <v>0</v>
      </c>
      <c r="BFY77" s="223">
        <f xml:space="preserve"> InputsTS!BFY$184</f>
        <v>0</v>
      </c>
      <c r="BFZ77" s="223">
        <f xml:space="preserve"> InputsTS!BFZ$184</f>
        <v>0</v>
      </c>
      <c r="BGA77" s="223">
        <f xml:space="preserve"> InputsTS!BGA$184</f>
        <v>0</v>
      </c>
      <c r="BGB77" s="223">
        <f xml:space="preserve"> InputsTS!BGB$184</f>
        <v>0</v>
      </c>
      <c r="BGC77" s="223">
        <f xml:space="preserve"> InputsTS!BGC$184</f>
        <v>0</v>
      </c>
      <c r="BGD77" s="223">
        <f xml:space="preserve"> InputsTS!BGD$184</f>
        <v>0</v>
      </c>
      <c r="BGE77" s="223">
        <f xml:space="preserve"> InputsTS!BGE$184</f>
        <v>0</v>
      </c>
      <c r="BGF77" s="223">
        <f xml:space="preserve"> InputsTS!BGF$184</f>
        <v>0</v>
      </c>
      <c r="BGG77" s="223">
        <f xml:space="preserve"> InputsTS!BGG$184</f>
        <v>0</v>
      </c>
      <c r="BGH77" s="223">
        <f xml:space="preserve"> InputsTS!BGH$184</f>
        <v>0</v>
      </c>
      <c r="BGI77" s="223">
        <f xml:space="preserve"> InputsTS!BGI$184</f>
        <v>0</v>
      </c>
      <c r="BGJ77" s="223">
        <f xml:space="preserve"> InputsTS!BGJ$184</f>
        <v>0</v>
      </c>
      <c r="BGK77" s="223">
        <f xml:space="preserve"> InputsTS!BGK$184</f>
        <v>0</v>
      </c>
      <c r="BGL77" s="223">
        <f xml:space="preserve"> InputsTS!BGL$184</f>
        <v>0</v>
      </c>
      <c r="BGM77" s="223">
        <f xml:space="preserve"> InputsTS!BGM$184</f>
        <v>0</v>
      </c>
      <c r="BGN77" s="223">
        <f xml:space="preserve"> InputsTS!BGN$184</f>
        <v>0</v>
      </c>
      <c r="BGO77" s="223">
        <f xml:space="preserve"> InputsTS!BGO$184</f>
        <v>0</v>
      </c>
      <c r="BGP77" s="223">
        <f xml:space="preserve"> InputsTS!BGP$184</f>
        <v>0</v>
      </c>
      <c r="BGQ77" s="223">
        <f xml:space="preserve"> InputsTS!BGQ$184</f>
        <v>0</v>
      </c>
      <c r="BGR77" s="223">
        <f xml:space="preserve"> InputsTS!BGR$184</f>
        <v>0</v>
      </c>
      <c r="BGS77" s="223">
        <f xml:space="preserve"> InputsTS!BGS$184</f>
        <v>0</v>
      </c>
      <c r="BGT77" s="223">
        <f xml:space="preserve"> InputsTS!BGT$184</f>
        <v>0</v>
      </c>
      <c r="BGU77" s="223">
        <f xml:space="preserve"> InputsTS!BGU$184</f>
        <v>0</v>
      </c>
      <c r="BGV77" s="223">
        <f xml:space="preserve"> InputsTS!BGV$184</f>
        <v>0</v>
      </c>
      <c r="BGW77" s="223">
        <f xml:space="preserve"> InputsTS!BGW$184</f>
        <v>0</v>
      </c>
      <c r="BGX77" s="223">
        <f xml:space="preserve"> InputsTS!BGX$184</f>
        <v>0</v>
      </c>
      <c r="BGY77" s="223">
        <f xml:space="preserve"> InputsTS!BGY$184</f>
        <v>0</v>
      </c>
      <c r="BGZ77" s="223">
        <f xml:space="preserve"> InputsTS!BGZ$184</f>
        <v>0</v>
      </c>
      <c r="BHA77" s="223">
        <f xml:space="preserve"> InputsTS!BHA$184</f>
        <v>0</v>
      </c>
      <c r="BHB77" s="223">
        <f xml:space="preserve"> InputsTS!BHB$184</f>
        <v>0</v>
      </c>
      <c r="BHC77" s="223">
        <f xml:space="preserve"> InputsTS!BHC$184</f>
        <v>0</v>
      </c>
      <c r="BHD77" s="223">
        <f xml:space="preserve"> InputsTS!BHD$184</f>
        <v>0</v>
      </c>
      <c r="BHE77" s="223">
        <f xml:space="preserve"> InputsTS!BHE$184</f>
        <v>0</v>
      </c>
      <c r="BHF77" s="223">
        <f xml:space="preserve"> InputsTS!BHF$184</f>
        <v>0</v>
      </c>
      <c r="BHG77" s="223">
        <f xml:space="preserve"> InputsTS!BHG$184</f>
        <v>0</v>
      </c>
      <c r="BHH77" s="223">
        <f xml:space="preserve"> InputsTS!BHH$184</f>
        <v>0</v>
      </c>
      <c r="BHI77" s="223">
        <f xml:space="preserve"> InputsTS!BHI$184</f>
        <v>0</v>
      </c>
      <c r="BHJ77" s="223">
        <f xml:space="preserve"> InputsTS!BHJ$184</f>
        <v>0</v>
      </c>
      <c r="BHK77" s="223">
        <f xml:space="preserve"> InputsTS!BHK$184</f>
        <v>0</v>
      </c>
      <c r="BHL77" s="223">
        <f xml:space="preserve"> InputsTS!BHL$184</f>
        <v>0</v>
      </c>
      <c r="BHM77" s="223">
        <f xml:space="preserve"> InputsTS!BHM$184</f>
        <v>0</v>
      </c>
      <c r="BHN77" s="223">
        <f xml:space="preserve"> InputsTS!BHN$184</f>
        <v>0</v>
      </c>
      <c r="BHO77" s="223">
        <f xml:space="preserve"> InputsTS!BHO$184</f>
        <v>0</v>
      </c>
      <c r="BHP77" s="223">
        <f xml:space="preserve"> InputsTS!BHP$184</f>
        <v>0</v>
      </c>
      <c r="BHQ77" s="223">
        <f xml:space="preserve"> InputsTS!BHQ$184</f>
        <v>0</v>
      </c>
      <c r="BHR77" s="223">
        <f xml:space="preserve"> InputsTS!BHR$184</f>
        <v>0</v>
      </c>
      <c r="BHS77" s="223">
        <f xml:space="preserve"> InputsTS!BHS$184</f>
        <v>0</v>
      </c>
      <c r="BHT77" s="223">
        <f xml:space="preserve"> InputsTS!BHT$184</f>
        <v>0</v>
      </c>
      <c r="BHU77" s="223">
        <f xml:space="preserve"> InputsTS!BHU$184</f>
        <v>0</v>
      </c>
      <c r="BHV77" s="223">
        <f xml:space="preserve"> InputsTS!BHV$184</f>
        <v>0</v>
      </c>
      <c r="BHW77" s="223">
        <f xml:space="preserve"> InputsTS!BHW$184</f>
        <v>0</v>
      </c>
      <c r="BHX77" s="223">
        <f xml:space="preserve"> InputsTS!BHX$184</f>
        <v>0</v>
      </c>
      <c r="BHY77" s="223">
        <f xml:space="preserve"> InputsTS!BHY$184</f>
        <v>0</v>
      </c>
      <c r="BHZ77" s="223">
        <f xml:space="preserve"> InputsTS!BHZ$184</f>
        <v>0</v>
      </c>
      <c r="BIA77" s="223">
        <f xml:space="preserve"> InputsTS!BIA$184</f>
        <v>0</v>
      </c>
      <c r="BIB77" s="223">
        <f xml:space="preserve"> InputsTS!BIB$184</f>
        <v>0</v>
      </c>
      <c r="BIC77" s="223">
        <f xml:space="preserve"> InputsTS!BIC$184</f>
        <v>0</v>
      </c>
      <c r="BID77" s="223">
        <f xml:space="preserve"> InputsTS!BID$184</f>
        <v>0</v>
      </c>
      <c r="BIE77" s="223">
        <f xml:space="preserve"> InputsTS!BIE$184</f>
        <v>0</v>
      </c>
      <c r="BIF77" s="223">
        <f xml:space="preserve"> InputsTS!BIF$184</f>
        <v>0</v>
      </c>
      <c r="BIG77" s="223">
        <f xml:space="preserve"> InputsTS!BIG$184</f>
        <v>0</v>
      </c>
      <c r="BIH77" s="223">
        <f xml:space="preserve"> InputsTS!BIH$184</f>
        <v>0</v>
      </c>
      <c r="BII77" s="223">
        <f xml:space="preserve"> InputsTS!BII$184</f>
        <v>0</v>
      </c>
      <c r="BIJ77" s="223">
        <f xml:space="preserve"> InputsTS!BIJ$184</f>
        <v>0</v>
      </c>
      <c r="BIK77" s="223">
        <f xml:space="preserve"> InputsTS!BIK$184</f>
        <v>0</v>
      </c>
      <c r="BIL77" s="223">
        <f xml:space="preserve"> InputsTS!BIL$184</f>
        <v>0</v>
      </c>
      <c r="BIM77" s="223">
        <f xml:space="preserve"> InputsTS!BIM$184</f>
        <v>0</v>
      </c>
      <c r="BIN77" s="223">
        <f xml:space="preserve"> InputsTS!BIN$184</f>
        <v>0</v>
      </c>
      <c r="BIO77" s="223">
        <f xml:space="preserve"> InputsTS!BIO$184</f>
        <v>0</v>
      </c>
      <c r="BIP77" s="223">
        <f xml:space="preserve"> InputsTS!BIP$184</f>
        <v>0</v>
      </c>
      <c r="BIQ77" s="223">
        <f xml:space="preserve"> InputsTS!BIQ$184</f>
        <v>0</v>
      </c>
      <c r="BIR77" s="223">
        <f xml:space="preserve"> InputsTS!BIR$184</f>
        <v>0</v>
      </c>
      <c r="BIS77" s="223">
        <f xml:space="preserve"> InputsTS!BIS$184</f>
        <v>0</v>
      </c>
      <c r="BIT77" s="223">
        <f xml:space="preserve"> InputsTS!BIT$184</f>
        <v>0</v>
      </c>
      <c r="BIU77" s="223">
        <f xml:space="preserve"> InputsTS!BIU$184</f>
        <v>0</v>
      </c>
      <c r="BIV77" s="223">
        <f xml:space="preserve"> InputsTS!BIV$184</f>
        <v>0</v>
      </c>
      <c r="BIW77" s="223">
        <f xml:space="preserve"> InputsTS!BIW$184</f>
        <v>0</v>
      </c>
      <c r="BIX77" s="223">
        <f xml:space="preserve"> InputsTS!BIX$184</f>
        <v>0</v>
      </c>
      <c r="BIY77" s="223">
        <f xml:space="preserve"> InputsTS!BIY$184</f>
        <v>0</v>
      </c>
      <c r="BIZ77" s="223">
        <f xml:space="preserve"> InputsTS!BIZ$184</f>
        <v>0</v>
      </c>
      <c r="BJA77" s="223">
        <f xml:space="preserve"> InputsTS!BJA$184</f>
        <v>0</v>
      </c>
      <c r="BJB77" s="223">
        <f xml:space="preserve"> InputsTS!BJB$184</f>
        <v>0</v>
      </c>
      <c r="BJC77" s="223">
        <f xml:space="preserve"> InputsTS!BJC$184</f>
        <v>0</v>
      </c>
      <c r="BJD77" s="223">
        <f xml:space="preserve"> InputsTS!BJD$184</f>
        <v>0</v>
      </c>
      <c r="BJE77" s="223">
        <f xml:space="preserve"> InputsTS!BJE$184</f>
        <v>0</v>
      </c>
      <c r="BJF77" s="223">
        <f xml:space="preserve"> InputsTS!BJF$184</f>
        <v>0</v>
      </c>
      <c r="BJG77" s="223">
        <f xml:space="preserve"> InputsTS!BJG$184</f>
        <v>0</v>
      </c>
      <c r="BJH77" s="223">
        <f xml:space="preserve"> InputsTS!BJH$184</f>
        <v>0</v>
      </c>
      <c r="BJI77" s="223">
        <f xml:space="preserve"> InputsTS!BJI$184</f>
        <v>0</v>
      </c>
      <c r="BJJ77" s="223">
        <f xml:space="preserve"> InputsTS!BJJ$184</f>
        <v>0</v>
      </c>
      <c r="BJK77" s="223">
        <f xml:space="preserve"> InputsTS!BJK$184</f>
        <v>0</v>
      </c>
      <c r="BJL77" s="223">
        <f xml:space="preserve"> InputsTS!BJL$184</f>
        <v>0</v>
      </c>
      <c r="BJM77" s="223">
        <f xml:space="preserve"> InputsTS!BJM$184</f>
        <v>0</v>
      </c>
      <c r="BJN77" s="223">
        <f xml:space="preserve"> InputsTS!BJN$184</f>
        <v>0</v>
      </c>
      <c r="BJO77" s="223">
        <f xml:space="preserve"> InputsTS!BJO$184</f>
        <v>0</v>
      </c>
      <c r="BJP77" s="223">
        <f xml:space="preserve"> InputsTS!BJP$184</f>
        <v>0</v>
      </c>
      <c r="BJQ77" s="223">
        <f xml:space="preserve"> InputsTS!BJQ$184</f>
        <v>0</v>
      </c>
      <c r="BJR77" s="223">
        <f xml:space="preserve"> InputsTS!BJR$184</f>
        <v>0</v>
      </c>
      <c r="BJS77" s="223">
        <f xml:space="preserve"> InputsTS!BJS$184</f>
        <v>0</v>
      </c>
      <c r="BJT77" s="223">
        <f xml:space="preserve"> InputsTS!BJT$184</f>
        <v>0</v>
      </c>
      <c r="BJU77" s="223">
        <f xml:space="preserve"> InputsTS!BJU$184</f>
        <v>0</v>
      </c>
      <c r="BJV77" s="223">
        <f xml:space="preserve"> InputsTS!BJV$184</f>
        <v>0</v>
      </c>
      <c r="BJW77" s="223">
        <f xml:space="preserve"> InputsTS!BJW$184</f>
        <v>0</v>
      </c>
      <c r="BJX77" s="223">
        <f xml:space="preserve"> InputsTS!BJX$184</f>
        <v>0</v>
      </c>
      <c r="BJY77" s="223">
        <f xml:space="preserve"> InputsTS!BJY$184</f>
        <v>0</v>
      </c>
      <c r="BJZ77" s="223">
        <f xml:space="preserve"> InputsTS!BJZ$184</f>
        <v>0</v>
      </c>
      <c r="BKA77" s="223">
        <f xml:space="preserve"> InputsTS!BKA$184</f>
        <v>0</v>
      </c>
      <c r="BKB77" s="223">
        <f xml:space="preserve"> InputsTS!BKB$184</f>
        <v>0</v>
      </c>
      <c r="BKC77" s="223">
        <f xml:space="preserve"> InputsTS!BKC$184</f>
        <v>0</v>
      </c>
      <c r="BKD77" s="223">
        <f xml:space="preserve"> InputsTS!BKD$184</f>
        <v>0</v>
      </c>
      <c r="BKE77" s="223">
        <f xml:space="preserve"> InputsTS!BKE$184</f>
        <v>0</v>
      </c>
      <c r="BKF77" s="223">
        <f xml:space="preserve"> InputsTS!BKF$184</f>
        <v>0</v>
      </c>
      <c r="BKG77" s="223">
        <f xml:space="preserve"> InputsTS!BKG$184</f>
        <v>0</v>
      </c>
      <c r="BKH77" s="223">
        <f xml:space="preserve"> InputsTS!BKH$184</f>
        <v>0</v>
      </c>
      <c r="BKI77" s="223">
        <f xml:space="preserve"> InputsTS!BKI$184</f>
        <v>0</v>
      </c>
      <c r="BKJ77" s="223">
        <f xml:space="preserve"> InputsTS!BKJ$184</f>
        <v>0</v>
      </c>
      <c r="BKK77" s="223">
        <f xml:space="preserve"> InputsTS!BKK$184</f>
        <v>0</v>
      </c>
      <c r="BKL77" s="223">
        <f xml:space="preserve"> InputsTS!BKL$184</f>
        <v>0</v>
      </c>
      <c r="BKM77" s="223">
        <f xml:space="preserve"> InputsTS!BKM$184</f>
        <v>0</v>
      </c>
      <c r="BKN77" s="223">
        <f xml:space="preserve"> InputsTS!BKN$184</f>
        <v>0</v>
      </c>
      <c r="BKO77" s="223">
        <f xml:space="preserve"> InputsTS!BKO$184</f>
        <v>0</v>
      </c>
      <c r="BKP77" s="223">
        <f xml:space="preserve"> InputsTS!BKP$184</f>
        <v>0</v>
      </c>
      <c r="BKQ77" s="223">
        <f xml:space="preserve"> InputsTS!BKQ$184</f>
        <v>0</v>
      </c>
      <c r="BKR77" s="223">
        <f xml:space="preserve"> InputsTS!BKR$184</f>
        <v>0</v>
      </c>
      <c r="BKS77" s="223">
        <f xml:space="preserve"> InputsTS!BKS$184</f>
        <v>0</v>
      </c>
      <c r="BKT77" s="223">
        <f xml:space="preserve"> InputsTS!BKT$184</f>
        <v>0</v>
      </c>
      <c r="BKU77" s="223">
        <f xml:space="preserve"> InputsTS!BKU$184</f>
        <v>0</v>
      </c>
      <c r="BKV77" s="223">
        <f xml:space="preserve"> InputsTS!BKV$184</f>
        <v>0</v>
      </c>
      <c r="BKW77" s="223">
        <f xml:space="preserve"> InputsTS!BKW$184</f>
        <v>0</v>
      </c>
      <c r="BKX77" s="223">
        <f xml:space="preserve"> InputsTS!BKX$184</f>
        <v>0</v>
      </c>
      <c r="BKY77" s="223">
        <f xml:space="preserve"> InputsTS!BKY$184</f>
        <v>0</v>
      </c>
      <c r="BKZ77" s="223">
        <f xml:space="preserve"> InputsTS!BKZ$184</f>
        <v>0</v>
      </c>
      <c r="BLA77" s="223">
        <f xml:space="preserve"> InputsTS!BLA$184</f>
        <v>0</v>
      </c>
      <c r="BLB77" s="223">
        <f xml:space="preserve"> InputsTS!BLB$184</f>
        <v>0</v>
      </c>
      <c r="BLC77" s="223">
        <f xml:space="preserve"> InputsTS!BLC$184</f>
        <v>0</v>
      </c>
      <c r="BLD77" s="223">
        <f xml:space="preserve"> InputsTS!BLD$184</f>
        <v>0</v>
      </c>
      <c r="BLE77" s="223">
        <f xml:space="preserve"> InputsTS!BLE$184</f>
        <v>0</v>
      </c>
      <c r="BLF77" s="223">
        <f xml:space="preserve"> InputsTS!BLF$184</f>
        <v>0</v>
      </c>
      <c r="BLG77" s="223">
        <f xml:space="preserve"> InputsTS!BLG$184</f>
        <v>0</v>
      </c>
      <c r="BLH77" s="223">
        <f xml:space="preserve"> InputsTS!BLH$184</f>
        <v>0</v>
      </c>
      <c r="BLI77" s="223">
        <f xml:space="preserve"> InputsTS!BLI$184</f>
        <v>0</v>
      </c>
      <c r="BLJ77" s="223">
        <f xml:space="preserve"> InputsTS!BLJ$184</f>
        <v>0</v>
      </c>
      <c r="BLK77" s="223">
        <f xml:space="preserve"> InputsTS!BLK$184</f>
        <v>0</v>
      </c>
      <c r="BLL77" s="223">
        <f xml:space="preserve"> InputsTS!BLL$184</f>
        <v>0</v>
      </c>
      <c r="BLM77" s="223">
        <f xml:space="preserve"> InputsTS!BLM$184</f>
        <v>0</v>
      </c>
      <c r="BLN77" s="223">
        <f xml:space="preserve"> InputsTS!BLN$184</f>
        <v>0</v>
      </c>
      <c r="BLO77" s="223">
        <f xml:space="preserve"> InputsTS!BLO$184</f>
        <v>0</v>
      </c>
      <c r="BLP77" s="223">
        <f xml:space="preserve"> InputsTS!BLP$184</f>
        <v>0</v>
      </c>
      <c r="BLQ77" s="223">
        <f xml:space="preserve"> InputsTS!BLQ$184</f>
        <v>0</v>
      </c>
      <c r="BLR77" s="223">
        <f xml:space="preserve"> InputsTS!BLR$184</f>
        <v>0</v>
      </c>
      <c r="BLS77" s="223">
        <f xml:space="preserve"> InputsTS!BLS$184</f>
        <v>0</v>
      </c>
      <c r="BLT77" s="223">
        <f xml:space="preserve"> InputsTS!BLT$184</f>
        <v>0</v>
      </c>
      <c r="BLU77" s="223">
        <f xml:space="preserve"> InputsTS!BLU$184</f>
        <v>0</v>
      </c>
      <c r="BLV77" s="223">
        <f xml:space="preserve"> InputsTS!BLV$184</f>
        <v>0</v>
      </c>
      <c r="BLW77" s="223">
        <f xml:space="preserve"> InputsTS!BLW$184</f>
        <v>0</v>
      </c>
      <c r="BLX77" s="223">
        <f xml:space="preserve"> InputsTS!BLX$184</f>
        <v>0</v>
      </c>
      <c r="BLY77" s="223">
        <f xml:space="preserve"> InputsTS!BLY$184</f>
        <v>0</v>
      </c>
      <c r="BLZ77" s="223">
        <f xml:space="preserve"> InputsTS!BLZ$184</f>
        <v>0</v>
      </c>
      <c r="BMA77" s="223">
        <f xml:space="preserve"> InputsTS!BMA$184</f>
        <v>0</v>
      </c>
      <c r="BMB77" s="223">
        <f xml:space="preserve"> InputsTS!BMB$184</f>
        <v>0</v>
      </c>
      <c r="BMC77" s="223">
        <f xml:space="preserve"> InputsTS!BMC$184</f>
        <v>0</v>
      </c>
      <c r="BMD77" s="223">
        <f xml:space="preserve"> InputsTS!BMD$184</f>
        <v>0</v>
      </c>
      <c r="BME77" s="223">
        <f xml:space="preserve"> InputsTS!BME$184</f>
        <v>0</v>
      </c>
      <c r="BMF77" s="223">
        <f xml:space="preserve"> InputsTS!BMF$184</f>
        <v>0</v>
      </c>
      <c r="BMG77" s="223">
        <f xml:space="preserve"> InputsTS!BMG$184</f>
        <v>0</v>
      </c>
      <c r="BMH77" s="223">
        <f xml:space="preserve"> InputsTS!BMH$184</f>
        <v>0</v>
      </c>
      <c r="BMI77" s="223">
        <f xml:space="preserve"> InputsTS!BMI$184</f>
        <v>0</v>
      </c>
      <c r="BMJ77" s="223">
        <f xml:space="preserve"> InputsTS!BMJ$184</f>
        <v>0</v>
      </c>
      <c r="BMK77" s="223">
        <f xml:space="preserve"> InputsTS!BMK$184</f>
        <v>0</v>
      </c>
      <c r="BML77" s="223">
        <f xml:space="preserve"> InputsTS!BML$184</f>
        <v>0</v>
      </c>
      <c r="BMM77" s="223">
        <f xml:space="preserve"> InputsTS!BMM$184</f>
        <v>0</v>
      </c>
      <c r="BMN77" s="223">
        <f xml:space="preserve"> InputsTS!BMN$184</f>
        <v>0</v>
      </c>
      <c r="BMO77" s="223">
        <f xml:space="preserve"> InputsTS!BMO$184</f>
        <v>0</v>
      </c>
      <c r="BMP77" s="223">
        <f xml:space="preserve"> InputsTS!BMP$184</f>
        <v>0</v>
      </c>
      <c r="BMQ77" s="223">
        <f xml:space="preserve"> InputsTS!BMQ$184</f>
        <v>0</v>
      </c>
      <c r="BMR77" s="223">
        <f xml:space="preserve"> InputsTS!BMR$184</f>
        <v>0</v>
      </c>
      <c r="BMS77" s="223">
        <f xml:space="preserve"> InputsTS!BMS$184</f>
        <v>0</v>
      </c>
      <c r="BMT77" s="223">
        <f xml:space="preserve"> InputsTS!BMT$184</f>
        <v>0</v>
      </c>
      <c r="BMU77" s="223">
        <f xml:space="preserve"> InputsTS!BMU$184</f>
        <v>0</v>
      </c>
      <c r="BMV77" s="223">
        <f xml:space="preserve"> InputsTS!BMV$184</f>
        <v>0</v>
      </c>
      <c r="BMW77" s="223">
        <f xml:space="preserve"> InputsTS!BMW$184</f>
        <v>0</v>
      </c>
      <c r="BMX77" s="223">
        <f xml:space="preserve"> InputsTS!BMX$184</f>
        <v>0</v>
      </c>
      <c r="BMY77" s="223">
        <f xml:space="preserve"> InputsTS!BMY$184</f>
        <v>0</v>
      </c>
      <c r="BMZ77" s="223">
        <f xml:space="preserve"> InputsTS!BMZ$184</f>
        <v>0</v>
      </c>
      <c r="BNA77" s="223">
        <f xml:space="preserve"> InputsTS!BNA$184</f>
        <v>0</v>
      </c>
      <c r="BNB77" s="223">
        <f xml:space="preserve"> InputsTS!BNB$184</f>
        <v>0</v>
      </c>
      <c r="BNC77" s="223">
        <f xml:space="preserve"> InputsTS!BNC$184</f>
        <v>0</v>
      </c>
      <c r="BND77" s="223">
        <f xml:space="preserve"> InputsTS!BND$184</f>
        <v>0</v>
      </c>
      <c r="BNE77" s="223">
        <f xml:space="preserve"> InputsTS!BNE$184</f>
        <v>0</v>
      </c>
      <c r="BNF77" s="223">
        <f xml:space="preserve"> InputsTS!BNF$184</f>
        <v>0</v>
      </c>
      <c r="BNG77" s="223">
        <f xml:space="preserve"> InputsTS!BNG$184</f>
        <v>0</v>
      </c>
      <c r="BNH77" s="223">
        <f xml:space="preserve"> InputsTS!BNH$184</f>
        <v>0</v>
      </c>
      <c r="BNI77" s="223">
        <f xml:space="preserve"> InputsTS!BNI$184</f>
        <v>0</v>
      </c>
      <c r="BNJ77" s="223">
        <f xml:space="preserve"> InputsTS!BNJ$184</f>
        <v>0</v>
      </c>
      <c r="BNK77" s="223">
        <f xml:space="preserve"> InputsTS!BNK$184</f>
        <v>0</v>
      </c>
      <c r="BNL77" s="223">
        <f xml:space="preserve"> InputsTS!BNL$184</f>
        <v>0</v>
      </c>
      <c r="BNM77" s="223">
        <f xml:space="preserve"> InputsTS!BNM$184</f>
        <v>0</v>
      </c>
      <c r="BNN77" s="223">
        <f xml:space="preserve"> InputsTS!BNN$184</f>
        <v>0</v>
      </c>
      <c r="BNO77" s="223">
        <f xml:space="preserve"> InputsTS!BNO$184</f>
        <v>0</v>
      </c>
      <c r="BNP77" s="223">
        <f xml:space="preserve"> InputsTS!BNP$184</f>
        <v>0</v>
      </c>
      <c r="BNQ77" s="223">
        <f xml:space="preserve"> InputsTS!BNQ$184</f>
        <v>0</v>
      </c>
      <c r="BNR77" s="223">
        <f xml:space="preserve"> InputsTS!BNR$184</f>
        <v>0</v>
      </c>
      <c r="BNS77" s="223">
        <f xml:space="preserve"> InputsTS!BNS$184</f>
        <v>0</v>
      </c>
      <c r="BNT77" s="223">
        <f xml:space="preserve"> InputsTS!BNT$184</f>
        <v>0</v>
      </c>
      <c r="BNU77" s="223">
        <f xml:space="preserve"> InputsTS!BNU$184</f>
        <v>0</v>
      </c>
      <c r="BNV77" s="223">
        <f xml:space="preserve"> InputsTS!BNV$184</f>
        <v>0</v>
      </c>
      <c r="BNW77" s="223">
        <f xml:space="preserve"> InputsTS!BNW$184</f>
        <v>0</v>
      </c>
      <c r="BNX77" s="223">
        <f xml:space="preserve"> InputsTS!BNX$184</f>
        <v>0</v>
      </c>
      <c r="BNY77" s="223">
        <f xml:space="preserve"> InputsTS!BNY$184</f>
        <v>0</v>
      </c>
      <c r="BNZ77" s="223">
        <f xml:space="preserve"> InputsTS!BNZ$184</f>
        <v>0</v>
      </c>
      <c r="BOA77" s="223">
        <f xml:space="preserve"> InputsTS!BOA$184</f>
        <v>0</v>
      </c>
      <c r="BOB77" s="223">
        <f xml:space="preserve"> InputsTS!BOB$184</f>
        <v>0</v>
      </c>
      <c r="BOC77" s="223">
        <f xml:space="preserve"> InputsTS!BOC$184</f>
        <v>0</v>
      </c>
      <c r="BOD77" s="223">
        <f xml:space="preserve"> InputsTS!BOD$184</f>
        <v>0</v>
      </c>
      <c r="BOE77" s="223">
        <f xml:space="preserve"> InputsTS!BOE$184</f>
        <v>0</v>
      </c>
      <c r="BOF77" s="223">
        <f xml:space="preserve"> InputsTS!BOF$184</f>
        <v>0</v>
      </c>
      <c r="BOG77" s="223">
        <f xml:space="preserve"> InputsTS!BOG$184</f>
        <v>0</v>
      </c>
      <c r="BOH77" s="223">
        <f xml:space="preserve"> InputsTS!BOH$184</f>
        <v>0</v>
      </c>
      <c r="BOI77" s="223">
        <f xml:space="preserve"> InputsTS!BOI$184</f>
        <v>0</v>
      </c>
      <c r="BOJ77" s="223">
        <f xml:space="preserve"> InputsTS!BOJ$184</f>
        <v>0</v>
      </c>
      <c r="BOK77" s="223">
        <f xml:space="preserve"> InputsTS!BOK$184</f>
        <v>0</v>
      </c>
      <c r="BOL77" s="223">
        <f xml:space="preserve"> InputsTS!BOL$184</f>
        <v>0</v>
      </c>
      <c r="BOM77" s="223">
        <f xml:space="preserve"> InputsTS!BOM$184</f>
        <v>0</v>
      </c>
      <c r="BON77" s="223">
        <f xml:space="preserve"> InputsTS!BON$184</f>
        <v>0</v>
      </c>
      <c r="BOO77" s="223">
        <f xml:space="preserve"> InputsTS!BOO$184</f>
        <v>0</v>
      </c>
      <c r="BOP77" s="223">
        <f xml:space="preserve"> InputsTS!BOP$184</f>
        <v>0</v>
      </c>
      <c r="BOQ77" s="223">
        <f xml:space="preserve"> InputsTS!BOQ$184</f>
        <v>0</v>
      </c>
      <c r="BOR77" s="223">
        <f xml:space="preserve"> InputsTS!BOR$184</f>
        <v>0</v>
      </c>
      <c r="BOS77" s="223">
        <f xml:space="preserve"> InputsTS!BOS$184</f>
        <v>0</v>
      </c>
      <c r="BOT77" s="223">
        <f xml:space="preserve"> InputsTS!BOT$184</f>
        <v>0</v>
      </c>
      <c r="BOU77" s="223">
        <f xml:space="preserve"> InputsTS!BOU$184</f>
        <v>0</v>
      </c>
      <c r="BOV77" s="223">
        <f xml:space="preserve"> InputsTS!BOV$184</f>
        <v>0</v>
      </c>
      <c r="BOW77" s="223">
        <f xml:space="preserve"> InputsTS!BOW$184</f>
        <v>0</v>
      </c>
      <c r="BOX77" s="223">
        <f xml:space="preserve"> InputsTS!BOX$184</f>
        <v>0</v>
      </c>
      <c r="BOY77" s="223">
        <f xml:space="preserve"> InputsTS!BOY$184</f>
        <v>0</v>
      </c>
      <c r="BOZ77" s="223">
        <f xml:space="preserve"> InputsTS!BOZ$184</f>
        <v>0</v>
      </c>
      <c r="BPA77" s="223">
        <f xml:space="preserve"> InputsTS!BPA$184</f>
        <v>0</v>
      </c>
      <c r="BPB77" s="223">
        <f xml:space="preserve"> InputsTS!BPB$184</f>
        <v>0</v>
      </c>
      <c r="BPC77" s="223">
        <f xml:space="preserve"> InputsTS!BPC$184</f>
        <v>0</v>
      </c>
      <c r="BPD77" s="223">
        <f xml:space="preserve"> InputsTS!BPD$184</f>
        <v>0</v>
      </c>
      <c r="BPE77" s="223">
        <f xml:space="preserve"> InputsTS!BPE$184</f>
        <v>0</v>
      </c>
      <c r="BPF77" s="223">
        <f xml:space="preserve"> InputsTS!BPF$184</f>
        <v>0</v>
      </c>
      <c r="BPG77" s="223">
        <f xml:space="preserve"> InputsTS!BPG$184</f>
        <v>0</v>
      </c>
      <c r="BPH77" s="223">
        <f xml:space="preserve"> InputsTS!BPH$184</f>
        <v>0</v>
      </c>
      <c r="BPI77" s="223">
        <f xml:space="preserve"> InputsTS!BPI$184</f>
        <v>0</v>
      </c>
      <c r="BPJ77" s="223">
        <f xml:space="preserve"> InputsTS!BPJ$184</f>
        <v>0</v>
      </c>
      <c r="BPK77" s="223">
        <f xml:space="preserve"> InputsTS!BPK$184</f>
        <v>0</v>
      </c>
      <c r="BPL77" s="223">
        <f xml:space="preserve"> InputsTS!BPL$184</f>
        <v>0</v>
      </c>
      <c r="BPM77" s="223">
        <f xml:space="preserve"> InputsTS!BPM$184</f>
        <v>0</v>
      </c>
      <c r="BPN77" s="223">
        <f xml:space="preserve"> InputsTS!BPN$184</f>
        <v>0</v>
      </c>
      <c r="BPO77" s="223">
        <f xml:space="preserve"> InputsTS!BPO$184</f>
        <v>0</v>
      </c>
      <c r="BPP77" s="223">
        <f xml:space="preserve"> InputsTS!BPP$184</f>
        <v>0</v>
      </c>
      <c r="BPQ77" s="223">
        <f xml:space="preserve"> InputsTS!BPQ$184</f>
        <v>0</v>
      </c>
      <c r="BPR77" s="223">
        <f xml:space="preserve"> InputsTS!BPR$184</f>
        <v>0</v>
      </c>
      <c r="BPS77" s="223">
        <f xml:space="preserve"> InputsTS!BPS$184</f>
        <v>0</v>
      </c>
      <c r="BPT77" s="223">
        <f xml:space="preserve"> InputsTS!BPT$184</f>
        <v>0</v>
      </c>
      <c r="BPU77" s="223">
        <f xml:space="preserve"> InputsTS!BPU$184</f>
        <v>0</v>
      </c>
      <c r="BPV77" s="223">
        <f xml:space="preserve"> InputsTS!BPV$184</f>
        <v>0</v>
      </c>
      <c r="BPW77" s="223">
        <f xml:space="preserve"> InputsTS!BPW$184</f>
        <v>0</v>
      </c>
      <c r="BPX77" s="223">
        <f xml:space="preserve"> InputsTS!BPX$184</f>
        <v>0</v>
      </c>
      <c r="BPY77" s="223">
        <f xml:space="preserve"> InputsTS!BPY$184</f>
        <v>0</v>
      </c>
      <c r="BPZ77" s="223">
        <f xml:space="preserve"> InputsTS!BPZ$184</f>
        <v>0</v>
      </c>
      <c r="BQA77" s="223">
        <f xml:space="preserve"> InputsTS!BQA$184</f>
        <v>0</v>
      </c>
      <c r="BQB77" s="223">
        <f xml:space="preserve"> InputsTS!BQB$184</f>
        <v>0</v>
      </c>
      <c r="BQC77" s="223">
        <f xml:space="preserve"> InputsTS!BQC$184</f>
        <v>0</v>
      </c>
      <c r="BQD77" s="223">
        <f xml:space="preserve"> InputsTS!BQD$184</f>
        <v>0</v>
      </c>
      <c r="BQE77" s="223">
        <f xml:space="preserve"> InputsTS!BQE$184</f>
        <v>0</v>
      </c>
      <c r="BQF77" s="223">
        <f xml:space="preserve"> InputsTS!BQF$184</f>
        <v>0</v>
      </c>
      <c r="BQG77" s="223">
        <f xml:space="preserve"> InputsTS!BQG$184</f>
        <v>0</v>
      </c>
      <c r="BQH77" s="223">
        <f xml:space="preserve"> InputsTS!BQH$184</f>
        <v>0</v>
      </c>
      <c r="BQI77" s="223">
        <f xml:space="preserve"> InputsTS!BQI$184</f>
        <v>0</v>
      </c>
      <c r="BQJ77" s="223">
        <f xml:space="preserve"> InputsTS!BQJ$184</f>
        <v>0</v>
      </c>
      <c r="BQK77" s="223">
        <f xml:space="preserve"> InputsTS!BQK$184</f>
        <v>0</v>
      </c>
      <c r="BQL77" s="223">
        <f xml:space="preserve"> InputsTS!BQL$184</f>
        <v>0</v>
      </c>
      <c r="BQM77" s="223">
        <f xml:space="preserve"> InputsTS!BQM$184</f>
        <v>0</v>
      </c>
      <c r="BQN77" s="223">
        <f xml:space="preserve"> InputsTS!BQN$184</f>
        <v>0</v>
      </c>
      <c r="BQO77" s="223">
        <f xml:space="preserve"> InputsTS!BQO$184</f>
        <v>0</v>
      </c>
      <c r="BQP77" s="223">
        <f xml:space="preserve"> InputsTS!BQP$184</f>
        <v>0</v>
      </c>
      <c r="BQQ77" s="223">
        <f xml:space="preserve"> InputsTS!BQQ$184</f>
        <v>0</v>
      </c>
      <c r="BQR77" s="223">
        <f xml:space="preserve"> InputsTS!BQR$184</f>
        <v>0</v>
      </c>
      <c r="BQS77" s="223">
        <f xml:space="preserve"> InputsTS!BQS$184</f>
        <v>0</v>
      </c>
      <c r="BQT77" s="223">
        <f xml:space="preserve"> InputsTS!BQT$184</f>
        <v>0</v>
      </c>
      <c r="BQU77" s="223">
        <f xml:space="preserve"> InputsTS!BQU$184</f>
        <v>0</v>
      </c>
      <c r="BQV77" s="223">
        <f xml:space="preserve"> InputsTS!BQV$184</f>
        <v>0</v>
      </c>
      <c r="BQW77" s="223">
        <f xml:space="preserve"> InputsTS!BQW$184</f>
        <v>0</v>
      </c>
      <c r="BQX77" s="223">
        <f xml:space="preserve"> InputsTS!BQX$184</f>
        <v>0</v>
      </c>
      <c r="BQY77" s="223">
        <f xml:space="preserve"> InputsTS!BQY$184</f>
        <v>0</v>
      </c>
      <c r="BQZ77" s="223">
        <f xml:space="preserve"> InputsTS!BQZ$184</f>
        <v>0</v>
      </c>
      <c r="BRA77" s="223">
        <f xml:space="preserve"> InputsTS!BRA$184</f>
        <v>0</v>
      </c>
      <c r="BRB77" s="223">
        <f xml:space="preserve"> InputsTS!BRB$184</f>
        <v>0</v>
      </c>
      <c r="BRC77" s="223">
        <f xml:space="preserve"> InputsTS!BRC$184</f>
        <v>0</v>
      </c>
      <c r="BRD77" s="223">
        <f xml:space="preserve"> InputsTS!BRD$184</f>
        <v>0</v>
      </c>
      <c r="BRE77" s="223">
        <f xml:space="preserve"> InputsTS!BRE$184</f>
        <v>0</v>
      </c>
      <c r="BRF77" s="223">
        <f xml:space="preserve"> InputsTS!BRF$184</f>
        <v>0</v>
      </c>
      <c r="BRG77" s="223">
        <f xml:space="preserve"> InputsTS!BRG$184</f>
        <v>0</v>
      </c>
      <c r="BRH77" s="223">
        <f xml:space="preserve"> InputsTS!BRH$184</f>
        <v>0</v>
      </c>
      <c r="BRI77" s="223">
        <f xml:space="preserve"> InputsTS!BRI$184</f>
        <v>0</v>
      </c>
      <c r="BRJ77" s="223">
        <f xml:space="preserve"> InputsTS!BRJ$184</f>
        <v>0</v>
      </c>
      <c r="BRK77" s="223">
        <f xml:space="preserve"> InputsTS!BRK$184</f>
        <v>0</v>
      </c>
      <c r="BRL77" s="223">
        <f xml:space="preserve"> InputsTS!BRL$184</f>
        <v>0</v>
      </c>
      <c r="BRM77" s="223">
        <f xml:space="preserve"> InputsTS!BRM$184</f>
        <v>0</v>
      </c>
      <c r="BRN77" s="223">
        <f xml:space="preserve"> InputsTS!BRN$184</f>
        <v>0</v>
      </c>
      <c r="BRO77" s="223">
        <f xml:space="preserve"> InputsTS!BRO$184</f>
        <v>0</v>
      </c>
      <c r="BRP77" s="223">
        <f xml:space="preserve"> InputsTS!BRP$184</f>
        <v>0</v>
      </c>
      <c r="BRQ77" s="223">
        <f xml:space="preserve"> InputsTS!BRQ$184</f>
        <v>0</v>
      </c>
      <c r="BRR77" s="223">
        <f xml:space="preserve"> InputsTS!BRR$184</f>
        <v>0</v>
      </c>
      <c r="BRS77" s="223">
        <f xml:space="preserve"> InputsTS!BRS$184</f>
        <v>0</v>
      </c>
      <c r="BRT77" s="223">
        <f xml:space="preserve"> InputsTS!BRT$184</f>
        <v>0</v>
      </c>
      <c r="BRU77" s="223">
        <f xml:space="preserve"> InputsTS!BRU$184</f>
        <v>0</v>
      </c>
      <c r="BRV77" s="223">
        <f xml:space="preserve"> InputsTS!BRV$184</f>
        <v>0</v>
      </c>
      <c r="BRW77" s="223">
        <f xml:space="preserve"> InputsTS!BRW$184</f>
        <v>0</v>
      </c>
      <c r="BRX77" s="223">
        <f xml:space="preserve"> InputsTS!BRX$184</f>
        <v>0</v>
      </c>
      <c r="BRY77" s="223">
        <f xml:space="preserve"> InputsTS!BRY$184</f>
        <v>0</v>
      </c>
      <c r="BRZ77" s="223">
        <f xml:space="preserve"> InputsTS!BRZ$184</f>
        <v>0</v>
      </c>
      <c r="BSA77" s="223">
        <f xml:space="preserve"> InputsTS!BSA$184</f>
        <v>0</v>
      </c>
      <c r="BSB77" s="223">
        <f xml:space="preserve"> InputsTS!BSB$184</f>
        <v>0</v>
      </c>
      <c r="BSC77" s="223">
        <f xml:space="preserve"> InputsTS!BSC$184</f>
        <v>0</v>
      </c>
      <c r="BSD77" s="223">
        <f xml:space="preserve"> InputsTS!BSD$184</f>
        <v>0</v>
      </c>
      <c r="BSE77" s="223">
        <f xml:space="preserve"> InputsTS!BSE$184</f>
        <v>0</v>
      </c>
      <c r="BSF77" s="223">
        <f xml:space="preserve"> InputsTS!BSF$184</f>
        <v>0</v>
      </c>
      <c r="BSG77" s="223">
        <f xml:space="preserve"> InputsTS!BSG$184</f>
        <v>0</v>
      </c>
      <c r="BSH77" s="223">
        <f xml:space="preserve"> InputsTS!BSH$184</f>
        <v>0</v>
      </c>
      <c r="BSI77" s="223">
        <f xml:space="preserve"> InputsTS!BSI$184</f>
        <v>0</v>
      </c>
      <c r="BSJ77" s="223">
        <f xml:space="preserve"> InputsTS!BSJ$184</f>
        <v>0</v>
      </c>
      <c r="BSK77" s="223">
        <f xml:space="preserve"> InputsTS!BSK$184</f>
        <v>0</v>
      </c>
      <c r="BSL77" s="223">
        <f xml:space="preserve"> InputsTS!BSL$184</f>
        <v>0</v>
      </c>
      <c r="BSM77" s="223">
        <f xml:space="preserve"> InputsTS!BSM$184</f>
        <v>0</v>
      </c>
      <c r="BSN77" s="223">
        <f xml:space="preserve"> InputsTS!BSN$184</f>
        <v>0</v>
      </c>
      <c r="BSO77" s="223">
        <f xml:space="preserve"> InputsTS!BSO$184</f>
        <v>0</v>
      </c>
      <c r="BSP77" s="223">
        <f xml:space="preserve"> InputsTS!BSP$184</f>
        <v>0</v>
      </c>
      <c r="BSQ77" s="223">
        <f xml:space="preserve"> InputsTS!BSQ$184</f>
        <v>0</v>
      </c>
      <c r="BSR77" s="223">
        <f xml:space="preserve"> InputsTS!BSR$184</f>
        <v>0</v>
      </c>
      <c r="BSS77" s="223">
        <f xml:space="preserve"> InputsTS!BSS$184</f>
        <v>0</v>
      </c>
      <c r="BST77" s="223">
        <f xml:space="preserve"> InputsTS!BST$184</f>
        <v>0</v>
      </c>
      <c r="BSU77" s="223">
        <f xml:space="preserve"> InputsTS!BSU$184</f>
        <v>0</v>
      </c>
      <c r="BSV77" s="223">
        <f xml:space="preserve"> InputsTS!BSV$184</f>
        <v>0</v>
      </c>
      <c r="BSW77" s="223">
        <f xml:space="preserve"> InputsTS!BSW$184</f>
        <v>0</v>
      </c>
      <c r="BSX77" s="223">
        <f xml:space="preserve"> InputsTS!BSX$184</f>
        <v>0</v>
      </c>
      <c r="BSY77" s="223">
        <f xml:space="preserve"> InputsTS!BSY$184</f>
        <v>0</v>
      </c>
      <c r="BSZ77" s="223">
        <f xml:space="preserve"> InputsTS!BSZ$184</f>
        <v>0</v>
      </c>
      <c r="BTA77" s="223">
        <f xml:space="preserve"> InputsTS!BTA$184</f>
        <v>0</v>
      </c>
      <c r="BTB77" s="223">
        <f xml:space="preserve"> InputsTS!BTB$184</f>
        <v>0</v>
      </c>
      <c r="BTC77" s="223">
        <f xml:space="preserve"> InputsTS!BTC$184</f>
        <v>0</v>
      </c>
      <c r="BTD77" s="223">
        <f xml:space="preserve"> InputsTS!BTD$184</f>
        <v>0</v>
      </c>
      <c r="BTE77" s="223">
        <f xml:space="preserve"> InputsTS!BTE$184</f>
        <v>0</v>
      </c>
      <c r="BTF77" s="223">
        <f xml:space="preserve"> InputsTS!BTF$184</f>
        <v>0</v>
      </c>
      <c r="BTG77" s="223">
        <f xml:space="preserve"> InputsTS!BTG$184</f>
        <v>0</v>
      </c>
      <c r="BTH77" s="223">
        <f xml:space="preserve"> InputsTS!BTH$184</f>
        <v>0</v>
      </c>
      <c r="BTI77" s="223">
        <f xml:space="preserve"> InputsTS!BTI$184</f>
        <v>0</v>
      </c>
      <c r="BTJ77" s="223">
        <f xml:space="preserve"> InputsTS!BTJ$184</f>
        <v>0</v>
      </c>
      <c r="BTK77" s="223">
        <f xml:space="preserve"> InputsTS!BTK$184</f>
        <v>0</v>
      </c>
      <c r="BTL77" s="223">
        <f xml:space="preserve"> InputsTS!BTL$184</f>
        <v>0</v>
      </c>
      <c r="BTM77" s="223">
        <f xml:space="preserve"> InputsTS!BTM$184</f>
        <v>0</v>
      </c>
      <c r="BTN77" s="223">
        <f xml:space="preserve"> InputsTS!BTN$184</f>
        <v>0</v>
      </c>
      <c r="BTO77" s="223">
        <f xml:space="preserve"> InputsTS!BTO$184</f>
        <v>0</v>
      </c>
      <c r="BTP77" s="223">
        <f xml:space="preserve"> InputsTS!BTP$184</f>
        <v>0</v>
      </c>
      <c r="BTQ77" s="223">
        <f xml:space="preserve"> InputsTS!BTQ$184</f>
        <v>0</v>
      </c>
      <c r="BTR77" s="223">
        <f xml:space="preserve"> InputsTS!BTR$184</f>
        <v>0</v>
      </c>
      <c r="BTS77" s="223">
        <f xml:space="preserve"> InputsTS!BTS$184</f>
        <v>0</v>
      </c>
      <c r="BTT77" s="223">
        <f xml:space="preserve"> InputsTS!BTT$184</f>
        <v>0</v>
      </c>
      <c r="BTU77" s="223">
        <f xml:space="preserve"> InputsTS!BTU$184</f>
        <v>0</v>
      </c>
      <c r="BTV77" s="223">
        <f xml:space="preserve"> InputsTS!BTV$184</f>
        <v>0</v>
      </c>
      <c r="BTW77" s="223">
        <f xml:space="preserve"> InputsTS!BTW$184</f>
        <v>0</v>
      </c>
      <c r="BTX77" s="223">
        <f xml:space="preserve"> InputsTS!BTX$184</f>
        <v>0</v>
      </c>
      <c r="BTY77" s="223">
        <f xml:space="preserve"> InputsTS!BTY$184</f>
        <v>0</v>
      </c>
      <c r="BTZ77" s="223">
        <f xml:space="preserve"> InputsTS!BTZ$184</f>
        <v>0</v>
      </c>
      <c r="BUA77" s="223">
        <f xml:space="preserve"> InputsTS!BUA$184</f>
        <v>0</v>
      </c>
      <c r="BUB77" s="223">
        <f xml:space="preserve"> InputsTS!BUB$184</f>
        <v>0</v>
      </c>
      <c r="BUC77" s="223">
        <f xml:space="preserve"> InputsTS!BUC$184</f>
        <v>0</v>
      </c>
      <c r="BUD77" s="223">
        <f xml:space="preserve"> InputsTS!BUD$184</f>
        <v>0</v>
      </c>
      <c r="BUE77" s="223">
        <f xml:space="preserve"> InputsTS!BUE$184</f>
        <v>0</v>
      </c>
      <c r="BUF77" s="223">
        <f xml:space="preserve"> InputsTS!BUF$184</f>
        <v>0</v>
      </c>
      <c r="BUG77" s="223">
        <f xml:space="preserve"> InputsTS!BUG$184</f>
        <v>0</v>
      </c>
      <c r="BUH77" s="223">
        <f xml:space="preserve"> InputsTS!BUH$184</f>
        <v>0</v>
      </c>
      <c r="BUI77" s="223">
        <f xml:space="preserve"> InputsTS!BUI$184</f>
        <v>0</v>
      </c>
      <c r="BUJ77" s="223">
        <f xml:space="preserve"> InputsTS!BUJ$184</f>
        <v>0</v>
      </c>
      <c r="BUK77" s="223">
        <f xml:space="preserve"> InputsTS!BUK$184</f>
        <v>0</v>
      </c>
      <c r="BUL77" s="223">
        <f xml:space="preserve"> InputsTS!BUL$184</f>
        <v>0</v>
      </c>
      <c r="BUM77" s="223">
        <f xml:space="preserve"> InputsTS!BUM$184</f>
        <v>0</v>
      </c>
      <c r="BUN77" s="223">
        <f xml:space="preserve"> InputsTS!BUN$184</f>
        <v>0</v>
      </c>
      <c r="BUO77" s="223">
        <f xml:space="preserve"> InputsTS!BUO$184</f>
        <v>0</v>
      </c>
      <c r="BUP77" s="223">
        <f xml:space="preserve"> InputsTS!BUP$184</f>
        <v>0</v>
      </c>
      <c r="BUQ77" s="223">
        <f xml:space="preserve"> InputsTS!BUQ$184</f>
        <v>0</v>
      </c>
      <c r="BUR77" s="223">
        <f xml:space="preserve"> InputsTS!BUR$184</f>
        <v>0</v>
      </c>
      <c r="BUS77" s="223">
        <f xml:space="preserve"> InputsTS!BUS$184</f>
        <v>0</v>
      </c>
      <c r="BUT77" s="223">
        <f xml:space="preserve"> InputsTS!BUT$184</f>
        <v>0</v>
      </c>
      <c r="BUU77" s="223">
        <f xml:space="preserve"> InputsTS!BUU$184</f>
        <v>0</v>
      </c>
      <c r="BUV77" s="223">
        <f xml:space="preserve"> InputsTS!BUV$184</f>
        <v>0</v>
      </c>
      <c r="BUW77" s="223">
        <f xml:space="preserve"> InputsTS!BUW$184</f>
        <v>0</v>
      </c>
      <c r="BUX77" s="223">
        <f xml:space="preserve"> InputsTS!BUX$184</f>
        <v>0</v>
      </c>
      <c r="BUY77" s="223">
        <f xml:space="preserve"> InputsTS!BUY$184</f>
        <v>0</v>
      </c>
      <c r="BUZ77" s="223">
        <f xml:space="preserve"> InputsTS!BUZ$184</f>
        <v>0</v>
      </c>
      <c r="BVA77" s="223">
        <f xml:space="preserve"> InputsTS!BVA$184</f>
        <v>0</v>
      </c>
      <c r="BVB77" s="223">
        <f xml:space="preserve"> InputsTS!BVB$184</f>
        <v>0</v>
      </c>
      <c r="BVC77" s="223">
        <f xml:space="preserve"> InputsTS!BVC$184</f>
        <v>0</v>
      </c>
      <c r="BVD77" s="223">
        <f xml:space="preserve"> InputsTS!BVD$184</f>
        <v>0</v>
      </c>
      <c r="BVE77" s="223">
        <f xml:space="preserve"> InputsTS!BVE$184</f>
        <v>0</v>
      </c>
      <c r="BVF77" s="223">
        <f xml:space="preserve"> InputsTS!BVF$184</f>
        <v>0</v>
      </c>
      <c r="BVG77" s="223">
        <f xml:space="preserve"> InputsTS!BVG$184</f>
        <v>0</v>
      </c>
      <c r="BVH77" s="223">
        <f xml:space="preserve"> InputsTS!BVH$184</f>
        <v>0</v>
      </c>
      <c r="BVI77" s="223">
        <f xml:space="preserve"> InputsTS!BVI$184</f>
        <v>0</v>
      </c>
      <c r="BVJ77" s="223">
        <f xml:space="preserve"> InputsTS!BVJ$184</f>
        <v>0</v>
      </c>
      <c r="BVK77" s="223">
        <f xml:space="preserve"> InputsTS!BVK$184</f>
        <v>0</v>
      </c>
      <c r="BVL77" s="223">
        <f xml:space="preserve"> InputsTS!BVL$184</f>
        <v>0</v>
      </c>
      <c r="BVM77" s="223">
        <f xml:space="preserve"> InputsTS!BVM$184</f>
        <v>0</v>
      </c>
      <c r="BVN77" s="223">
        <f xml:space="preserve"> InputsTS!BVN$184</f>
        <v>0</v>
      </c>
      <c r="BVO77" s="223">
        <f xml:space="preserve"> InputsTS!BVO$184</f>
        <v>0</v>
      </c>
      <c r="BVP77" s="223">
        <f xml:space="preserve"> InputsTS!BVP$184</f>
        <v>0</v>
      </c>
      <c r="BVQ77" s="223">
        <f xml:space="preserve"> InputsTS!BVQ$184</f>
        <v>0</v>
      </c>
      <c r="BVR77" s="223">
        <f xml:space="preserve"> InputsTS!BVR$184</f>
        <v>0</v>
      </c>
      <c r="BVS77" s="223">
        <f xml:space="preserve"> InputsTS!BVS$184</f>
        <v>0</v>
      </c>
      <c r="BVT77" s="223">
        <f xml:space="preserve"> InputsTS!BVT$184</f>
        <v>0</v>
      </c>
      <c r="BVU77" s="223">
        <f xml:space="preserve"> InputsTS!BVU$184</f>
        <v>0</v>
      </c>
      <c r="BVV77" s="223">
        <f xml:space="preserve"> InputsTS!BVV$184</f>
        <v>0</v>
      </c>
      <c r="BVW77" s="223">
        <f xml:space="preserve"> InputsTS!BVW$184</f>
        <v>0</v>
      </c>
      <c r="BVX77" s="223">
        <f xml:space="preserve"> InputsTS!BVX$184</f>
        <v>0</v>
      </c>
      <c r="BVY77" s="223">
        <f xml:space="preserve"> InputsTS!BVY$184</f>
        <v>0</v>
      </c>
      <c r="BVZ77" s="223">
        <f xml:space="preserve"> InputsTS!BVZ$184</f>
        <v>0</v>
      </c>
      <c r="BWA77" s="223">
        <f xml:space="preserve"> InputsTS!BWA$184</f>
        <v>0</v>
      </c>
      <c r="BWB77" s="223">
        <f xml:space="preserve"> InputsTS!BWB$184</f>
        <v>0</v>
      </c>
      <c r="BWC77" s="223">
        <f xml:space="preserve"> InputsTS!BWC$184</f>
        <v>0</v>
      </c>
      <c r="BWD77" s="223">
        <f xml:space="preserve"> InputsTS!BWD$184</f>
        <v>0</v>
      </c>
      <c r="BWE77" s="223">
        <f xml:space="preserve"> InputsTS!BWE$184</f>
        <v>0</v>
      </c>
      <c r="BWF77" s="223">
        <f xml:space="preserve"> InputsTS!BWF$184</f>
        <v>0</v>
      </c>
      <c r="BWG77" s="223">
        <f xml:space="preserve"> InputsTS!BWG$184</f>
        <v>0</v>
      </c>
      <c r="BWH77" s="223">
        <f xml:space="preserve"> InputsTS!BWH$184</f>
        <v>0</v>
      </c>
      <c r="BWI77" s="223">
        <f xml:space="preserve"> InputsTS!BWI$184</f>
        <v>0</v>
      </c>
      <c r="BWJ77" s="223">
        <f xml:space="preserve"> InputsTS!BWJ$184</f>
        <v>0</v>
      </c>
      <c r="BWK77" s="223">
        <f xml:space="preserve"> InputsTS!BWK$184</f>
        <v>0</v>
      </c>
      <c r="BWL77" s="223">
        <f xml:space="preserve"> InputsTS!BWL$184</f>
        <v>0</v>
      </c>
      <c r="BWM77" s="223">
        <f xml:space="preserve"> InputsTS!BWM$184</f>
        <v>0</v>
      </c>
      <c r="BWN77" s="223">
        <f xml:space="preserve"> InputsTS!BWN$184</f>
        <v>0</v>
      </c>
      <c r="BWO77" s="223">
        <f xml:space="preserve"> InputsTS!BWO$184</f>
        <v>0</v>
      </c>
      <c r="BWP77" s="223">
        <f xml:space="preserve"> InputsTS!BWP$184</f>
        <v>0</v>
      </c>
      <c r="BWQ77" s="223">
        <f xml:space="preserve"> InputsTS!BWQ$184</f>
        <v>0</v>
      </c>
      <c r="BWR77" s="223">
        <f xml:space="preserve"> InputsTS!BWR$184</f>
        <v>0</v>
      </c>
      <c r="BWS77" s="223">
        <f xml:space="preserve"> InputsTS!BWS$184</f>
        <v>0</v>
      </c>
      <c r="BWT77" s="223">
        <f xml:space="preserve"> InputsTS!BWT$184</f>
        <v>0</v>
      </c>
      <c r="BWU77" s="223">
        <f xml:space="preserve"> InputsTS!BWU$184</f>
        <v>0</v>
      </c>
      <c r="BWV77" s="223">
        <f xml:space="preserve"> InputsTS!BWV$184</f>
        <v>0</v>
      </c>
      <c r="BWW77" s="223">
        <f xml:space="preserve"> InputsTS!BWW$184</f>
        <v>0</v>
      </c>
      <c r="BWX77" s="223">
        <f xml:space="preserve"> InputsTS!BWX$184</f>
        <v>0</v>
      </c>
      <c r="BWY77" s="223">
        <f xml:space="preserve"> InputsTS!BWY$184</f>
        <v>0</v>
      </c>
      <c r="BWZ77" s="223">
        <f xml:space="preserve"> InputsTS!BWZ$184</f>
        <v>0</v>
      </c>
      <c r="BXA77" s="223">
        <f xml:space="preserve"> InputsTS!BXA$184</f>
        <v>0</v>
      </c>
      <c r="BXB77" s="223">
        <f xml:space="preserve"> InputsTS!BXB$184</f>
        <v>0</v>
      </c>
      <c r="BXC77" s="223">
        <f xml:space="preserve"> InputsTS!BXC$184</f>
        <v>0</v>
      </c>
      <c r="BXD77" s="223">
        <f xml:space="preserve"> InputsTS!BXD$184</f>
        <v>0</v>
      </c>
      <c r="BXE77" s="223">
        <f xml:space="preserve"> InputsTS!BXE$184</f>
        <v>0</v>
      </c>
      <c r="BXF77" s="223">
        <f xml:space="preserve"> InputsTS!BXF$184</f>
        <v>0</v>
      </c>
      <c r="BXG77" s="223">
        <f xml:space="preserve"> InputsTS!BXG$184</f>
        <v>0</v>
      </c>
      <c r="BXH77" s="223">
        <f xml:space="preserve"> InputsTS!BXH$184</f>
        <v>0</v>
      </c>
      <c r="BXI77" s="223">
        <f xml:space="preserve"> InputsTS!BXI$184</f>
        <v>0</v>
      </c>
      <c r="BXJ77" s="223">
        <f xml:space="preserve"> InputsTS!BXJ$184</f>
        <v>0</v>
      </c>
      <c r="BXK77" s="223">
        <f xml:space="preserve"> InputsTS!BXK$184</f>
        <v>0</v>
      </c>
      <c r="BXL77" s="223">
        <f xml:space="preserve"> InputsTS!BXL$184</f>
        <v>0</v>
      </c>
      <c r="BXM77" s="223">
        <f xml:space="preserve"> InputsTS!BXM$184</f>
        <v>0</v>
      </c>
      <c r="BXN77" s="223">
        <f xml:space="preserve"> InputsTS!BXN$184</f>
        <v>0</v>
      </c>
      <c r="BXO77" s="223">
        <f xml:space="preserve"> InputsTS!BXO$184</f>
        <v>0</v>
      </c>
      <c r="BXP77" s="223">
        <f xml:space="preserve"> InputsTS!BXP$184</f>
        <v>0</v>
      </c>
      <c r="BXQ77" s="223">
        <f xml:space="preserve"> InputsTS!BXQ$184</f>
        <v>0</v>
      </c>
      <c r="BXR77" s="223">
        <f xml:space="preserve"> InputsTS!BXR$184</f>
        <v>0</v>
      </c>
      <c r="BXS77" s="223">
        <f xml:space="preserve"> InputsTS!BXS$184</f>
        <v>0</v>
      </c>
      <c r="BXT77" s="223">
        <f xml:space="preserve"> InputsTS!BXT$184</f>
        <v>0</v>
      </c>
      <c r="BXU77" s="223">
        <f xml:space="preserve"> InputsTS!BXU$184</f>
        <v>0</v>
      </c>
      <c r="BXV77" s="223">
        <f xml:space="preserve"> InputsTS!BXV$184</f>
        <v>0</v>
      </c>
      <c r="BXW77" s="223">
        <f xml:space="preserve"> InputsTS!BXW$184</f>
        <v>0</v>
      </c>
      <c r="BXX77" s="223">
        <f xml:space="preserve"> InputsTS!BXX$184</f>
        <v>0</v>
      </c>
      <c r="BXY77" s="223">
        <f xml:space="preserve"> InputsTS!BXY$184</f>
        <v>0</v>
      </c>
      <c r="BXZ77" s="223">
        <f xml:space="preserve"> InputsTS!BXZ$184</f>
        <v>0</v>
      </c>
      <c r="BYA77" s="223">
        <f xml:space="preserve"> InputsTS!BYA$184</f>
        <v>0</v>
      </c>
      <c r="BYB77" s="223">
        <f xml:space="preserve"> InputsTS!BYB$184</f>
        <v>0</v>
      </c>
      <c r="BYC77" s="223">
        <f xml:space="preserve"> InputsTS!BYC$184</f>
        <v>0</v>
      </c>
      <c r="BYD77" s="223">
        <f xml:space="preserve"> InputsTS!BYD$184</f>
        <v>0</v>
      </c>
      <c r="BYE77" s="223">
        <f xml:space="preserve"> InputsTS!BYE$184</f>
        <v>0</v>
      </c>
      <c r="BYF77" s="223">
        <f xml:space="preserve"> InputsTS!BYF$184</f>
        <v>0</v>
      </c>
      <c r="BYG77" s="223">
        <f xml:space="preserve"> InputsTS!BYG$184</f>
        <v>0</v>
      </c>
      <c r="BYH77" s="223">
        <f xml:space="preserve"> InputsTS!BYH$184</f>
        <v>0</v>
      </c>
      <c r="BYI77" s="223">
        <f xml:space="preserve"> InputsTS!BYI$184</f>
        <v>0</v>
      </c>
      <c r="BYJ77" s="223">
        <f xml:space="preserve"> InputsTS!BYJ$184</f>
        <v>0</v>
      </c>
      <c r="BYK77" s="223">
        <f xml:space="preserve"> InputsTS!BYK$184</f>
        <v>0</v>
      </c>
      <c r="BYL77" s="223">
        <f xml:space="preserve"> InputsTS!BYL$184</f>
        <v>0</v>
      </c>
      <c r="BYM77" s="223">
        <f xml:space="preserve"> InputsTS!BYM$184</f>
        <v>0</v>
      </c>
      <c r="BYN77" s="223">
        <f xml:space="preserve"> InputsTS!BYN$184</f>
        <v>0</v>
      </c>
      <c r="BYO77" s="223">
        <f xml:space="preserve"> InputsTS!BYO$184</f>
        <v>0</v>
      </c>
      <c r="BYP77" s="223">
        <f xml:space="preserve"> InputsTS!BYP$184</f>
        <v>0</v>
      </c>
      <c r="BYQ77" s="223">
        <f xml:space="preserve"> InputsTS!BYQ$184</f>
        <v>0</v>
      </c>
      <c r="BYR77" s="223">
        <f xml:space="preserve"> InputsTS!BYR$184</f>
        <v>0</v>
      </c>
      <c r="BYS77" s="223">
        <f xml:space="preserve"> InputsTS!BYS$184</f>
        <v>0</v>
      </c>
      <c r="BYT77" s="223">
        <f xml:space="preserve"> InputsTS!BYT$184</f>
        <v>0</v>
      </c>
      <c r="BYU77" s="223">
        <f xml:space="preserve"> InputsTS!BYU$184</f>
        <v>0</v>
      </c>
      <c r="BYV77" s="223">
        <f xml:space="preserve"> InputsTS!BYV$184</f>
        <v>0</v>
      </c>
      <c r="BYW77" s="223">
        <f xml:space="preserve"> InputsTS!BYW$184</f>
        <v>0</v>
      </c>
      <c r="BYX77" s="223">
        <f xml:space="preserve"> InputsTS!BYX$184</f>
        <v>0</v>
      </c>
      <c r="BYY77" s="223">
        <f xml:space="preserve"> InputsTS!BYY$184</f>
        <v>0</v>
      </c>
      <c r="BYZ77" s="223">
        <f xml:space="preserve"> InputsTS!BYZ$184</f>
        <v>0</v>
      </c>
      <c r="BZA77" s="223">
        <f xml:space="preserve"> InputsTS!BZA$184</f>
        <v>0</v>
      </c>
      <c r="BZB77" s="223">
        <f xml:space="preserve"> InputsTS!BZB$184</f>
        <v>0</v>
      </c>
      <c r="BZC77" s="223">
        <f xml:space="preserve"> InputsTS!BZC$184</f>
        <v>0</v>
      </c>
      <c r="BZD77" s="223">
        <f xml:space="preserve"> InputsTS!BZD$184</f>
        <v>0</v>
      </c>
      <c r="BZE77" s="223">
        <f xml:space="preserve"> InputsTS!BZE$184</f>
        <v>0</v>
      </c>
      <c r="BZF77" s="223">
        <f xml:space="preserve"> InputsTS!BZF$184</f>
        <v>0</v>
      </c>
      <c r="BZG77" s="223">
        <f xml:space="preserve"> InputsTS!BZG$184</f>
        <v>0</v>
      </c>
      <c r="BZH77" s="223">
        <f xml:space="preserve"> InputsTS!BZH$184</f>
        <v>0</v>
      </c>
      <c r="BZI77" s="223">
        <f xml:space="preserve"> InputsTS!BZI$184</f>
        <v>0</v>
      </c>
      <c r="BZJ77" s="223">
        <f xml:space="preserve"> InputsTS!BZJ$184</f>
        <v>0</v>
      </c>
      <c r="BZK77" s="223">
        <f xml:space="preserve"> InputsTS!BZK$184</f>
        <v>0</v>
      </c>
      <c r="BZL77" s="223">
        <f xml:space="preserve"> InputsTS!BZL$184</f>
        <v>0</v>
      </c>
      <c r="BZM77" s="223">
        <f xml:space="preserve"> InputsTS!BZM$184</f>
        <v>0</v>
      </c>
      <c r="BZN77" s="223">
        <f xml:space="preserve"> InputsTS!BZN$184</f>
        <v>0</v>
      </c>
      <c r="BZO77" s="223">
        <f xml:space="preserve"> InputsTS!BZO$184</f>
        <v>0</v>
      </c>
      <c r="BZP77" s="223">
        <f xml:space="preserve"> InputsTS!BZP$184</f>
        <v>0</v>
      </c>
      <c r="BZQ77" s="223">
        <f xml:space="preserve"> InputsTS!BZQ$184</f>
        <v>0</v>
      </c>
      <c r="BZR77" s="223">
        <f xml:space="preserve"> InputsTS!BZR$184</f>
        <v>0</v>
      </c>
      <c r="BZS77" s="223">
        <f xml:space="preserve"> InputsTS!BZS$184</f>
        <v>0</v>
      </c>
      <c r="BZT77" s="223">
        <f xml:space="preserve"> InputsTS!BZT$184</f>
        <v>0</v>
      </c>
      <c r="BZU77" s="223">
        <f xml:space="preserve"> InputsTS!BZU$184</f>
        <v>0</v>
      </c>
      <c r="BZV77" s="223">
        <f xml:space="preserve"> InputsTS!BZV$184</f>
        <v>0</v>
      </c>
      <c r="BZW77" s="223">
        <f xml:space="preserve"> InputsTS!BZW$184</f>
        <v>0</v>
      </c>
      <c r="BZX77" s="223">
        <f xml:space="preserve"> InputsTS!BZX$184</f>
        <v>0</v>
      </c>
      <c r="BZY77" s="223">
        <f xml:space="preserve"> InputsTS!BZY$184</f>
        <v>0</v>
      </c>
      <c r="BZZ77" s="223">
        <f xml:space="preserve"> InputsTS!BZZ$184</f>
        <v>0</v>
      </c>
      <c r="CAA77" s="223">
        <f xml:space="preserve"> InputsTS!CAA$184</f>
        <v>0</v>
      </c>
      <c r="CAB77" s="223">
        <f xml:space="preserve"> InputsTS!CAB$184</f>
        <v>0</v>
      </c>
      <c r="CAC77" s="223">
        <f xml:space="preserve"> InputsTS!CAC$184</f>
        <v>0</v>
      </c>
      <c r="CAD77" s="223">
        <f xml:space="preserve"> InputsTS!CAD$184</f>
        <v>0</v>
      </c>
      <c r="CAE77" s="223">
        <f xml:space="preserve"> InputsTS!CAE$184</f>
        <v>0</v>
      </c>
      <c r="CAF77" s="223">
        <f xml:space="preserve"> InputsTS!CAF$184</f>
        <v>0</v>
      </c>
      <c r="CAG77" s="223">
        <f xml:space="preserve"> InputsTS!CAG$184</f>
        <v>0</v>
      </c>
      <c r="CAH77" s="223">
        <f xml:space="preserve"> InputsTS!CAH$184</f>
        <v>0</v>
      </c>
      <c r="CAI77" s="223">
        <f xml:space="preserve"> InputsTS!CAI$184</f>
        <v>0</v>
      </c>
      <c r="CAJ77" s="223">
        <f xml:space="preserve"> InputsTS!CAJ$184</f>
        <v>0</v>
      </c>
      <c r="CAK77" s="223">
        <f xml:space="preserve"> InputsTS!CAK$184</f>
        <v>0</v>
      </c>
      <c r="CAL77" s="223">
        <f xml:space="preserve"> InputsTS!CAL$184</f>
        <v>0</v>
      </c>
      <c r="CAM77" s="223">
        <f xml:space="preserve"> InputsTS!CAM$184</f>
        <v>0</v>
      </c>
      <c r="CAN77" s="223">
        <f xml:space="preserve"> InputsTS!CAN$184</f>
        <v>0</v>
      </c>
      <c r="CAO77" s="223">
        <f xml:space="preserve"> InputsTS!CAO$184</f>
        <v>0</v>
      </c>
      <c r="CAP77" s="223">
        <f xml:space="preserve"> InputsTS!CAP$184</f>
        <v>0</v>
      </c>
      <c r="CAQ77" s="223">
        <f xml:space="preserve"> InputsTS!CAQ$184</f>
        <v>0</v>
      </c>
      <c r="CAR77" s="223">
        <f xml:space="preserve"> InputsTS!CAR$184</f>
        <v>0</v>
      </c>
      <c r="CAS77" s="223">
        <f xml:space="preserve"> InputsTS!CAS$184</f>
        <v>0</v>
      </c>
      <c r="CAT77" s="223">
        <f xml:space="preserve"> InputsTS!CAT$184</f>
        <v>0</v>
      </c>
      <c r="CAU77" s="223">
        <f xml:space="preserve"> InputsTS!CAU$184</f>
        <v>0</v>
      </c>
      <c r="CAV77" s="223">
        <f xml:space="preserve"> InputsTS!CAV$184</f>
        <v>0</v>
      </c>
      <c r="CAW77" s="223">
        <f xml:space="preserve"> InputsTS!CAW$184</f>
        <v>0</v>
      </c>
      <c r="CAX77" s="223">
        <f xml:space="preserve"> InputsTS!CAX$184</f>
        <v>0</v>
      </c>
      <c r="CAY77" s="223">
        <f xml:space="preserve"> InputsTS!CAY$184</f>
        <v>0</v>
      </c>
      <c r="CAZ77" s="223">
        <f xml:space="preserve"> InputsTS!CAZ$184</f>
        <v>0</v>
      </c>
      <c r="CBA77" s="223">
        <f xml:space="preserve"> InputsTS!CBA$184</f>
        <v>0</v>
      </c>
      <c r="CBB77" s="223">
        <f xml:space="preserve"> InputsTS!CBB$184</f>
        <v>0</v>
      </c>
      <c r="CBC77" s="223">
        <f xml:space="preserve"> InputsTS!CBC$184</f>
        <v>0</v>
      </c>
      <c r="CBD77" s="223">
        <f xml:space="preserve"> InputsTS!CBD$184</f>
        <v>0</v>
      </c>
      <c r="CBE77" s="223">
        <f xml:space="preserve"> InputsTS!CBE$184</f>
        <v>0</v>
      </c>
      <c r="CBF77" s="223">
        <f xml:space="preserve"> InputsTS!CBF$184</f>
        <v>0</v>
      </c>
      <c r="CBG77" s="223">
        <f xml:space="preserve"> InputsTS!CBG$184</f>
        <v>0</v>
      </c>
      <c r="CBH77" s="223">
        <f xml:space="preserve"> InputsTS!CBH$184</f>
        <v>0</v>
      </c>
      <c r="CBI77" s="223">
        <f xml:space="preserve"> InputsTS!CBI$184</f>
        <v>0</v>
      </c>
      <c r="CBJ77" s="223">
        <f xml:space="preserve"> InputsTS!CBJ$184</f>
        <v>0</v>
      </c>
      <c r="CBK77" s="223">
        <f xml:space="preserve"> InputsTS!CBK$184</f>
        <v>0</v>
      </c>
      <c r="CBL77" s="223">
        <f xml:space="preserve"> InputsTS!CBL$184</f>
        <v>0</v>
      </c>
      <c r="CBM77" s="223">
        <f xml:space="preserve"> InputsTS!CBM$184</f>
        <v>0</v>
      </c>
      <c r="CBN77" s="223">
        <f xml:space="preserve"> InputsTS!CBN$184</f>
        <v>0</v>
      </c>
      <c r="CBO77" s="223">
        <f xml:space="preserve"> InputsTS!CBO$184</f>
        <v>0</v>
      </c>
      <c r="CBP77" s="223">
        <f xml:space="preserve"> InputsTS!CBP$184</f>
        <v>0</v>
      </c>
      <c r="CBQ77" s="223">
        <f xml:space="preserve"> InputsTS!CBQ$184</f>
        <v>0</v>
      </c>
      <c r="CBR77" s="223">
        <f xml:space="preserve"> InputsTS!CBR$184</f>
        <v>0</v>
      </c>
      <c r="CBS77" s="223">
        <f xml:space="preserve"> InputsTS!CBS$184</f>
        <v>0</v>
      </c>
      <c r="CBT77" s="223">
        <f xml:space="preserve"> InputsTS!CBT$184</f>
        <v>0</v>
      </c>
      <c r="CBU77" s="223">
        <f xml:space="preserve"> InputsTS!CBU$184</f>
        <v>0</v>
      </c>
      <c r="CBV77" s="223">
        <f xml:space="preserve"> InputsTS!CBV$184</f>
        <v>0</v>
      </c>
      <c r="CBW77" s="223">
        <f xml:space="preserve"> InputsTS!CBW$184</f>
        <v>0</v>
      </c>
      <c r="CBX77" s="223">
        <f xml:space="preserve"> InputsTS!CBX$184</f>
        <v>0</v>
      </c>
      <c r="CBY77" s="223">
        <f xml:space="preserve"> InputsTS!CBY$184</f>
        <v>0</v>
      </c>
      <c r="CBZ77" s="223">
        <f xml:space="preserve"> InputsTS!CBZ$184</f>
        <v>0</v>
      </c>
      <c r="CCA77" s="223">
        <f xml:space="preserve"> InputsTS!CCA$184</f>
        <v>0</v>
      </c>
      <c r="CCB77" s="223">
        <f xml:space="preserve"> InputsTS!CCB$184</f>
        <v>0</v>
      </c>
      <c r="CCC77" s="223">
        <f xml:space="preserve"> InputsTS!CCC$184</f>
        <v>0</v>
      </c>
      <c r="CCD77" s="223">
        <f xml:space="preserve"> InputsTS!CCD$184</f>
        <v>0</v>
      </c>
      <c r="CCE77" s="223">
        <f xml:space="preserve"> InputsTS!CCE$184</f>
        <v>0</v>
      </c>
      <c r="CCF77" s="223">
        <f xml:space="preserve"> InputsTS!CCF$184</f>
        <v>0</v>
      </c>
      <c r="CCG77" s="223">
        <f xml:space="preserve"> InputsTS!CCG$184</f>
        <v>0</v>
      </c>
      <c r="CCH77" s="223">
        <f xml:space="preserve"> InputsTS!CCH$184</f>
        <v>0</v>
      </c>
      <c r="CCI77" s="223">
        <f xml:space="preserve"> InputsTS!CCI$184</f>
        <v>0</v>
      </c>
      <c r="CCJ77" s="223">
        <f xml:space="preserve"> InputsTS!CCJ$184</f>
        <v>0</v>
      </c>
      <c r="CCK77" s="223">
        <f xml:space="preserve"> InputsTS!CCK$184</f>
        <v>0</v>
      </c>
      <c r="CCL77" s="223">
        <f xml:space="preserve"> InputsTS!CCL$184</f>
        <v>0</v>
      </c>
      <c r="CCM77" s="223">
        <f xml:space="preserve"> InputsTS!CCM$184</f>
        <v>0</v>
      </c>
      <c r="CCN77" s="223">
        <f xml:space="preserve"> InputsTS!CCN$184</f>
        <v>0</v>
      </c>
      <c r="CCO77" s="223">
        <f xml:space="preserve"> InputsTS!CCO$184</f>
        <v>0</v>
      </c>
      <c r="CCP77" s="223">
        <f xml:space="preserve"> InputsTS!CCP$184</f>
        <v>0</v>
      </c>
      <c r="CCQ77" s="223">
        <f xml:space="preserve"> InputsTS!CCQ$184</f>
        <v>0</v>
      </c>
      <c r="CCR77" s="223">
        <f xml:space="preserve"> InputsTS!CCR$184</f>
        <v>0</v>
      </c>
      <c r="CCS77" s="223">
        <f xml:space="preserve"> InputsTS!CCS$184</f>
        <v>0</v>
      </c>
      <c r="CCT77" s="223">
        <f xml:space="preserve"> InputsTS!CCT$184</f>
        <v>0</v>
      </c>
      <c r="CCU77" s="223">
        <f xml:space="preserve"> InputsTS!CCU$184</f>
        <v>0</v>
      </c>
      <c r="CCV77" s="223">
        <f xml:space="preserve"> InputsTS!CCV$184</f>
        <v>0</v>
      </c>
      <c r="CCW77" s="223">
        <f xml:space="preserve"> InputsTS!CCW$184</f>
        <v>0</v>
      </c>
      <c r="CCX77" s="223">
        <f xml:space="preserve"> InputsTS!CCX$184</f>
        <v>0</v>
      </c>
      <c r="CCY77" s="223">
        <f xml:space="preserve"> InputsTS!CCY$184</f>
        <v>0</v>
      </c>
      <c r="CCZ77" s="223">
        <f xml:space="preserve"> InputsTS!CCZ$184</f>
        <v>0</v>
      </c>
      <c r="CDA77" s="223">
        <f xml:space="preserve"> InputsTS!CDA$184</f>
        <v>0</v>
      </c>
      <c r="CDB77" s="223">
        <f xml:space="preserve"> InputsTS!CDB$184</f>
        <v>0</v>
      </c>
      <c r="CDC77" s="223">
        <f xml:space="preserve"> InputsTS!CDC$184</f>
        <v>0</v>
      </c>
      <c r="CDD77" s="223">
        <f xml:space="preserve"> InputsTS!CDD$184</f>
        <v>0</v>
      </c>
      <c r="CDE77" s="223">
        <f xml:space="preserve"> InputsTS!CDE$184</f>
        <v>0</v>
      </c>
      <c r="CDF77" s="223">
        <f xml:space="preserve"> InputsTS!CDF$184</f>
        <v>0</v>
      </c>
      <c r="CDG77" s="223">
        <f xml:space="preserve"> InputsTS!CDG$184</f>
        <v>0</v>
      </c>
      <c r="CDH77" s="223">
        <f xml:space="preserve"> InputsTS!CDH$184</f>
        <v>0</v>
      </c>
      <c r="CDI77" s="223">
        <f xml:space="preserve"> InputsTS!CDI$184</f>
        <v>0</v>
      </c>
      <c r="CDJ77" s="223">
        <f xml:space="preserve"> InputsTS!CDJ$184</f>
        <v>0</v>
      </c>
      <c r="CDK77" s="223">
        <f xml:space="preserve"> InputsTS!CDK$184</f>
        <v>0</v>
      </c>
      <c r="CDL77" s="223">
        <f xml:space="preserve"> InputsTS!CDL$184</f>
        <v>0</v>
      </c>
      <c r="CDM77" s="223">
        <f xml:space="preserve"> InputsTS!CDM$184</f>
        <v>0</v>
      </c>
      <c r="CDN77" s="223">
        <f xml:space="preserve"> InputsTS!CDN$184</f>
        <v>0</v>
      </c>
      <c r="CDO77" s="223">
        <f xml:space="preserve"> InputsTS!CDO$184</f>
        <v>0</v>
      </c>
      <c r="CDP77" s="223">
        <f xml:space="preserve"> InputsTS!CDP$184</f>
        <v>0</v>
      </c>
      <c r="CDQ77" s="223">
        <f xml:space="preserve"> InputsTS!CDQ$184</f>
        <v>0</v>
      </c>
      <c r="CDR77" s="223">
        <f xml:space="preserve"> InputsTS!CDR$184</f>
        <v>0</v>
      </c>
      <c r="CDS77" s="223">
        <f xml:space="preserve"> InputsTS!CDS$184</f>
        <v>0</v>
      </c>
      <c r="CDT77" s="223">
        <f xml:space="preserve"> InputsTS!CDT$184</f>
        <v>0</v>
      </c>
      <c r="CDU77" s="223">
        <f xml:space="preserve"> InputsTS!CDU$184</f>
        <v>0</v>
      </c>
      <c r="CDV77" s="223">
        <f xml:space="preserve"> InputsTS!CDV$184</f>
        <v>0</v>
      </c>
      <c r="CDW77" s="223">
        <f xml:space="preserve"> InputsTS!CDW$184</f>
        <v>0</v>
      </c>
      <c r="CDX77" s="223">
        <f xml:space="preserve"> InputsTS!CDX$184</f>
        <v>0</v>
      </c>
      <c r="CDY77" s="223">
        <f xml:space="preserve"> InputsTS!CDY$184</f>
        <v>0</v>
      </c>
      <c r="CDZ77" s="223">
        <f xml:space="preserve"> InputsTS!CDZ$184</f>
        <v>0</v>
      </c>
      <c r="CEA77" s="223">
        <f xml:space="preserve"> InputsTS!CEA$184</f>
        <v>0</v>
      </c>
      <c r="CEB77" s="223">
        <f xml:space="preserve"> InputsTS!CEB$184</f>
        <v>0</v>
      </c>
      <c r="CEC77" s="223">
        <f xml:space="preserve"> InputsTS!CEC$184</f>
        <v>0</v>
      </c>
      <c r="CED77" s="223">
        <f xml:space="preserve"> InputsTS!CED$184</f>
        <v>0</v>
      </c>
      <c r="CEE77" s="223">
        <f xml:space="preserve"> InputsTS!CEE$184</f>
        <v>0</v>
      </c>
      <c r="CEF77" s="223">
        <f xml:space="preserve"> InputsTS!CEF$184</f>
        <v>0</v>
      </c>
      <c r="CEG77" s="223">
        <f xml:space="preserve"> InputsTS!CEG$184</f>
        <v>0</v>
      </c>
      <c r="CEH77" s="223">
        <f xml:space="preserve"> InputsTS!CEH$184</f>
        <v>0</v>
      </c>
      <c r="CEI77" s="223">
        <f xml:space="preserve"> InputsTS!CEI$184</f>
        <v>0</v>
      </c>
      <c r="CEJ77" s="223">
        <f xml:space="preserve"> InputsTS!CEJ$184</f>
        <v>0</v>
      </c>
      <c r="CEK77" s="223">
        <f xml:space="preserve"> InputsTS!CEK$184</f>
        <v>0</v>
      </c>
      <c r="CEL77" s="223">
        <f xml:space="preserve"> InputsTS!CEL$184</f>
        <v>0</v>
      </c>
      <c r="CEM77" s="223">
        <f xml:space="preserve"> InputsTS!CEM$184</f>
        <v>0</v>
      </c>
      <c r="CEN77" s="223">
        <f xml:space="preserve"> InputsTS!CEN$184</f>
        <v>0</v>
      </c>
      <c r="CEO77" s="223">
        <f xml:space="preserve"> InputsTS!CEO$184</f>
        <v>0</v>
      </c>
      <c r="CEP77" s="223">
        <f xml:space="preserve"> InputsTS!CEP$184</f>
        <v>0</v>
      </c>
      <c r="CEQ77" s="223">
        <f xml:space="preserve"> InputsTS!CEQ$184</f>
        <v>0</v>
      </c>
      <c r="CER77" s="223">
        <f xml:space="preserve"> InputsTS!CER$184</f>
        <v>0</v>
      </c>
      <c r="CES77" s="223">
        <f xml:space="preserve"> InputsTS!CES$184</f>
        <v>0</v>
      </c>
      <c r="CET77" s="223">
        <f xml:space="preserve"> InputsTS!CET$184</f>
        <v>0</v>
      </c>
      <c r="CEU77" s="223">
        <f xml:space="preserve"> InputsTS!CEU$184</f>
        <v>0</v>
      </c>
      <c r="CEV77" s="223">
        <f xml:space="preserve"> InputsTS!CEV$184</f>
        <v>0</v>
      </c>
      <c r="CEW77" s="223">
        <f xml:space="preserve"> InputsTS!CEW$184</f>
        <v>0</v>
      </c>
      <c r="CEX77" s="223">
        <f xml:space="preserve"> InputsTS!CEX$184</f>
        <v>0</v>
      </c>
      <c r="CEY77" s="223">
        <f xml:space="preserve"> InputsTS!CEY$184</f>
        <v>0</v>
      </c>
      <c r="CEZ77" s="223">
        <f xml:space="preserve"> InputsTS!CEZ$184</f>
        <v>0</v>
      </c>
      <c r="CFA77" s="223">
        <f xml:space="preserve"> InputsTS!CFA$184</f>
        <v>0</v>
      </c>
      <c r="CFB77" s="223">
        <f xml:space="preserve"> InputsTS!CFB$184</f>
        <v>0</v>
      </c>
      <c r="CFC77" s="223">
        <f xml:space="preserve"> InputsTS!CFC$184</f>
        <v>0</v>
      </c>
      <c r="CFD77" s="223">
        <f xml:space="preserve"> InputsTS!CFD$184</f>
        <v>0</v>
      </c>
      <c r="CFE77" s="223">
        <f xml:space="preserve"> InputsTS!CFE$184</f>
        <v>0</v>
      </c>
      <c r="CFF77" s="223">
        <f xml:space="preserve"> InputsTS!CFF$184</f>
        <v>0</v>
      </c>
      <c r="CFG77" s="223">
        <f xml:space="preserve"> InputsTS!CFG$184</f>
        <v>0</v>
      </c>
      <c r="CFH77" s="223">
        <f xml:space="preserve"> InputsTS!CFH$184</f>
        <v>0</v>
      </c>
      <c r="CFI77" s="223">
        <f xml:space="preserve"> InputsTS!CFI$184</f>
        <v>0</v>
      </c>
      <c r="CFJ77" s="223">
        <f xml:space="preserve"> InputsTS!CFJ$184</f>
        <v>0</v>
      </c>
      <c r="CFK77" s="223">
        <f xml:space="preserve"> InputsTS!CFK$184</f>
        <v>0</v>
      </c>
      <c r="CFL77" s="223">
        <f xml:space="preserve"> InputsTS!CFL$184</f>
        <v>0</v>
      </c>
      <c r="CFM77" s="223">
        <f xml:space="preserve"> InputsTS!CFM$184</f>
        <v>0</v>
      </c>
      <c r="CFN77" s="223">
        <f xml:space="preserve"> InputsTS!CFN$184</f>
        <v>0</v>
      </c>
      <c r="CFO77" s="223">
        <f xml:space="preserve"> InputsTS!CFO$184</f>
        <v>0</v>
      </c>
      <c r="CFP77" s="223">
        <f xml:space="preserve"> InputsTS!CFP$184</f>
        <v>0</v>
      </c>
      <c r="CFQ77" s="223">
        <f xml:space="preserve"> InputsTS!CFQ$184</f>
        <v>0</v>
      </c>
      <c r="CFR77" s="223">
        <f xml:space="preserve"> InputsTS!CFR$184</f>
        <v>0</v>
      </c>
      <c r="CFS77" s="223">
        <f xml:space="preserve"> InputsTS!CFS$184</f>
        <v>0</v>
      </c>
      <c r="CFT77" s="223">
        <f xml:space="preserve"> InputsTS!CFT$184</f>
        <v>0</v>
      </c>
      <c r="CFU77" s="223">
        <f xml:space="preserve"> InputsTS!CFU$184</f>
        <v>0</v>
      </c>
      <c r="CFV77" s="223">
        <f xml:space="preserve"> InputsTS!CFV$184</f>
        <v>0</v>
      </c>
      <c r="CFW77" s="223">
        <f xml:space="preserve"> InputsTS!CFW$184</f>
        <v>0</v>
      </c>
      <c r="CFX77" s="223">
        <f xml:space="preserve"> InputsTS!CFX$184</f>
        <v>0</v>
      </c>
      <c r="CFY77" s="223">
        <f xml:space="preserve"> InputsTS!CFY$184</f>
        <v>0</v>
      </c>
      <c r="CFZ77" s="223">
        <f xml:space="preserve"> InputsTS!CFZ$184</f>
        <v>0</v>
      </c>
      <c r="CGA77" s="223">
        <f xml:space="preserve"> InputsTS!CGA$184</f>
        <v>0</v>
      </c>
      <c r="CGB77" s="223">
        <f xml:space="preserve"> InputsTS!CGB$184</f>
        <v>0</v>
      </c>
      <c r="CGC77" s="223">
        <f xml:space="preserve"> InputsTS!CGC$184</f>
        <v>0</v>
      </c>
      <c r="CGD77" s="223">
        <f xml:space="preserve"> InputsTS!CGD$184</f>
        <v>0</v>
      </c>
      <c r="CGE77" s="223">
        <f xml:space="preserve"> InputsTS!CGE$184</f>
        <v>0</v>
      </c>
      <c r="CGF77" s="223">
        <f xml:space="preserve"> InputsTS!CGF$184</f>
        <v>0</v>
      </c>
      <c r="CGG77" s="223">
        <f xml:space="preserve"> InputsTS!CGG$184</f>
        <v>0</v>
      </c>
      <c r="CGH77" s="223">
        <f xml:space="preserve"> InputsTS!CGH$184</f>
        <v>0</v>
      </c>
      <c r="CGI77" s="223">
        <f xml:space="preserve"> InputsTS!CGI$184</f>
        <v>0</v>
      </c>
      <c r="CGJ77" s="223">
        <f xml:space="preserve"> InputsTS!CGJ$184</f>
        <v>0</v>
      </c>
      <c r="CGK77" s="223">
        <f xml:space="preserve"> InputsTS!CGK$184</f>
        <v>0</v>
      </c>
      <c r="CGL77" s="223">
        <f xml:space="preserve"> InputsTS!CGL$184</f>
        <v>0</v>
      </c>
      <c r="CGM77" s="223">
        <f xml:space="preserve"> InputsTS!CGM$184</f>
        <v>0</v>
      </c>
      <c r="CGN77" s="223">
        <f xml:space="preserve"> InputsTS!CGN$184</f>
        <v>0</v>
      </c>
      <c r="CGO77" s="223">
        <f xml:space="preserve"> InputsTS!CGO$184</f>
        <v>0</v>
      </c>
      <c r="CGP77" s="223">
        <f xml:space="preserve"> InputsTS!CGP$184</f>
        <v>0</v>
      </c>
      <c r="CGQ77" s="223">
        <f xml:space="preserve"> InputsTS!CGQ$184</f>
        <v>0</v>
      </c>
      <c r="CGR77" s="223">
        <f xml:space="preserve"> InputsTS!CGR$184</f>
        <v>0</v>
      </c>
      <c r="CGS77" s="223">
        <f xml:space="preserve"> InputsTS!CGS$184</f>
        <v>0</v>
      </c>
      <c r="CGT77" s="223">
        <f xml:space="preserve"> InputsTS!CGT$184</f>
        <v>0</v>
      </c>
      <c r="CGU77" s="223">
        <f xml:space="preserve"> InputsTS!CGU$184</f>
        <v>0</v>
      </c>
      <c r="CGV77" s="223">
        <f xml:space="preserve"> InputsTS!CGV$184</f>
        <v>0</v>
      </c>
      <c r="CGW77" s="223">
        <f xml:space="preserve"> InputsTS!CGW$184</f>
        <v>0</v>
      </c>
      <c r="CGX77" s="223">
        <f xml:space="preserve"> InputsTS!CGX$184</f>
        <v>0</v>
      </c>
      <c r="CGY77" s="223">
        <f xml:space="preserve"> InputsTS!CGY$184</f>
        <v>0</v>
      </c>
      <c r="CGZ77" s="223">
        <f xml:space="preserve"> InputsTS!CGZ$184</f>
        <v>0</v>
      </c>
      <c r="CHA77" s="223">
        <f xml:space="preserve"> InputsTS!CHA$184</f>
        <v>0</v>
      </c>
      <c r="CHB77" s="223">
        <f xml:space="preserve"> InputsTS!CHB$184</f>
        <v>0</v>
      </c>
      <c r="CHC77" s="223">
        <f xml:space="preserve"> InputsTS!CHC$184</f>
        <v>0</v>
      </c>
      <c r="CHD77" s="223">
        <f xml:space="preserve"> InputsTS!CHD$184</f>
        <v>0</v>
      </c>
      <c r="CHE77" s="223">
        <f xml:space="preserve"> InputsTS!CHE$184</f>
        <v>0</v>
      </c>
      <c r="CHF77" s="223">
        <f xml:space="preserve"> InputsTS!CHF$184</f>
        <v>0</v>
      </c>
      <c r="CHG77" s="223">
        <f xml:space="preserve"> InputsTS!CHG$184</f>
        <v>0</v>
      </c>
      <c r="CHH77" s="223">
        <f xml:space="preserve"> InputsTS!CHH$184</f>
        <v>0</v>
      </c>
      <c r="CHI77" s="223">
        <f xml:space="preserve"> InputsTS!CHI$184</f>
        <v>0</v>
      </c>
      <c r="CHJ77" s="223">
        <f xml:space="preserve"> InputsTS!CHJ$184</f>
        <v>0</v>
      </c>
      <c r="CHK77" s="223">
        <f xml:space="preserve"> InputsTS!CHK$184</f>
        <v>0</v>
      </c>
      <c r="CHL77" s="223">
        <f xml:space="preserve"> InputsTS!CHL$184</f>
        <v>0</v>
      </c>
      <c r="CHM77" s="223">
        <f xml:space="preserve"> InputsTS!CHM$184</f>
        <v>0</v>
      </c>
      <c r="CHN77" s="223">
        <f xml:space="preserve"> InputsTS!CHN$184</f>
        <v>0</v>
      </c>
      <c r="CHO77" s="223">
        <f xml:space="preserve"> InputsTS!CHO$184</f>
        <v>0</v>
      </c>
      <c r="CHP77" s="223">
        <f xml:space="preserve"> InputsTS!CHP$184</f>
        <v>0</v>
      </c>
      <c r="CHQ77" s="223">
        <f xml:space="preserve"> InputsTS!CHQ$184</f>
        <v>0</v>
      </c>
      <c r="CHR77" s="223">
        <f xml:space="preserve"> InputsTS!CHR$184</f>
        <v>0</v>
      </c>
      <c r="CHS77" s="223">
        <f xml:space="preserve"> InputsTS!CHS$184</f>
        <v>0</v>
      </c>
      <c r="CHT77" s="223">
        <f xml:space="preserve"> InputsTS!CHT$184</f>
        <v>0</v>
      </c>
      <c r="CHU77" s="223">
        <f xml:space="preserve"> InputsTS!CHU$184</f>
        <v>0</v>
      </c>
      <c r="CHV77" s="223">
        <f xml:space="preserve"> InputsTS!CHV$184</f>
        <v>0</v>
      </c>
      <c r="CHW77" s="223">
        <f xml:space="preserve"> InputsTS!CHW$184</f>
        <v>0</v>
      </c>
      <c r="CHX77" s="223">
        <f xml:space="preserve"> InputsTS!CHX$184</f>
        <v>0</v>
      </c>
      <c r="CHY77" s="223">
        <f xml:space="preserve"> InputsTS!CHY$184</f>
        <v>0</v>
      </c>
      <c r="CHZ77" s="223">
        <f xml:space="preserve"> InputsTS!CHZ$184</f>
        <v>0</v>
      </c>
      <c r="CIA77" s="223">
        <f xml:space="preserve"> InputsTS!CIA$184</f>
        <v>0</v>
      </c>
      <c r="CIB77" s="223">
        <f xml:space="preserve"> InputsTS!CIB$184</f>
        <v>0</v>
      </c>
      <c r="CIC77" s="223">
        <f xml:space="preserve"> InputsTS!CIC$184</f>
        <v>0</v>
      </c>
      <c r="CID77" s="223">
        <f xml:space="preserve"> InputsTS!CID$184</f>
        <v>0</v>
      </c>
      <c r="CIE77" s="223">
        <f xml:space="preserve"> InputsTS!CIE$184</f>
        <v>0</v>
      </c>
      <c r="CIF77" s="223">
        <f xml:space="preserve"> InputsTS!CIF$184</f>
        <v>0</v>
      </c>
      <c r="CIG77" s="223">
        <f xml:space="preserve"> InputsTS!CIG$184</f>
        <v>0</v>
      </c>
      <c r="CIH77" s="223">
        <f xml:space="preserve"> InputsTS!CIH$184</f>
        <v>0</v>
      </c>
      <c r="CII77" s="223">
        <f xml:space="preserve"> InputsTS!CII$184</f>
        <v>0</v>
      </c>
      <c r="CIJ77" s="223">
        <f xml:space="preserve"> InputsTS!CIJ$184</f>
        <v>0</v>
      </c>
      <c r="CIK77" s="223">
        <f xml:space="preserve"> InputsTS!CIK$184</f>
        <v>0</v>
      </c>
      <c r="CIL77" s="223">
        <f xml:space="preserve"> InputsTS!CIL$184</f>
        <v>0</v>
      </c>
      <c r="CIM77" s="223">
        <f xml:space="preserve"> InputsTS!CIM$184</f>
        <v>0</v>
      </c>
      <c r="CIN77" s="223">
        <f xml:space="preserve"> InputsTS!CIN$184</f>
        <v>0</v>
      </c>
      <c r="CIO77" s="223">
        <f xml:space="preserve"> InputsTS!CIO$184</f>
        <v>0</v>
      </c>
      <c r="CIP77" s="223">
        <f xml:space="preserve"> InputsTS!CIP$184</f>
        <v>0</v>
      </c>
      <c r="CIQ77" s="223">
        <f xml:space="preserve"> InputsTS!CIQ$184</f>
        <v>0</v>
      </c>
      <c r="CIR77" s="223">
        <f xml:space="preserve"> InputsTS!CIR$184</f>
        <v>0</v>
      </c>
      <c r="CIS77" s="223">
        <f xml:space="preserve"> InputsTS!CIS$184</f>
        <v>0</v>
      </c>
      <c r="CIT77" s="223">
        <f xml:space="preserve"> InputsTS!CIT$184</f>
        <v>0</v>
      </c>
      <c r="CIU77" s="223">
        <f xml:space="preserve"> InputsTS!CIU$184</f>
        <v>0</v>
      </c>
      <c r="CIV77" s="223">
        <f xml:space="preserve"> InputsTS!CIV$184</f>
        <v>0</v>
      </c>
      <c r="CIW77" s="223">
        <f xml:space="preserve"> InputsTS!CIW$184</f>
        <v>0</v>
      </c>
      <c r="CIX77" s="223">
        <f xml:space="preserve"> InputsTS!CIX$184</f>
        <v>0</v>
      </c>
      <c r="CIY77" s="223">
        <f xml:space="preserve"> InputsTS!CIY$184</f>
        <v>0</v>
      </c>
      <c r="CIZ77" s="223">
        <f xml:space="preserve"> InputsTS!CIZ$184</f>
        <v>0</v>
      </c>
      <c r="CJA77" s="223">
        <f xml:space="preserve"> InputsTS!CJA$184</f>
        <v>0</v>
      </c>
      <c r="CJB77" s="223">
        <f xml:space="preserve"> InputsTS!CJB$184</f>
        <v>0</v>
      </c>
      <c r="CJC77" s="223">
        <f xml:space="preserve"> InputsTS!CJC$184</f>
        <v>0</v>
      </c>
      <c r="CJD77" s="223">
        <f xml:space="preserve"> InputsTS!CJD$184</f>
        <v>0</v>
      </c>
      <c r="CJE77" s="223">
        <f xml:space="preserve"> InputsTS!CJE$184</f>
        <v>0</v>
      </c>
      <c r="CJF77" s="223">
        <f xml:space="preserve"> InputsTS!CJF$184</f>
        <v>0</v>
      </c>
      <c r="CJG77" s="223">
        <f xml:space="preserve"> InputsTS!CJG$184</f>
        <v>0</v>
      </c>
      <c r="CJH77" s="223">
        <f xml:space="preserve"> InputsTS!CJH$184</f>
        <v>0</v>
      </c>
      <c r="CJI77" s="223">
        <f xml:space="preserve"> InputsTS!CJI$184</f>
        <v>0</v>
      </c>
      <c r="CJJ77" s="223">
        <f xml:space="preserve"> InputsTS!CJJ$184</f>
        <v>0</v>
      </c>
      <c r="CJK77" s="223">
        <f xml:space="preserve"> InputsTS!CJK$184</f>
        <v>0</v>
      </c>
      <c r="CJL77" s="223">
        <f xml:space="preserve"> InputsTS!CJL$184</f>
        <v>0</v>
      </c>
      <c r="CJM77" s="223">
        <f xml:space="preserve"> InputsTS!CJM$184</f>
        <v>0</v>
      </c>
      <c r="CJN77" s="223">
        <f xml:space="preserve"> InputsTS!CJN$184</f>
        <v>0</v>
      </c>
      <c r="CJO77" s="223">
        <f xml:space="preserve"> InputsTS!CJO$184</f>
        <v>0</v>
      </c>
      <c r="CJP77" s="223">
        <f xml:space="preserve"> InputsTS!CJP$184</f>
        <v>0</v>
      </c>
      <c r="CJQ77" s="223">
        <f xml:space="preserve"> InputsTS!CJQ$184</f>
        <v>0</v>
      </c>
      <c r="CJR77" s="223">
        <f xml:space="preserve"> InputsTS!CJR$184</f>
        <v>0</v>
      </c>
      <c r="CJS77" s="223">
        <f xml:space="preserve"> InputsTS!CJS$184</f>
        <v>0</v>
      </c>
      <c r="CJT77" s="223">
        <f xml:space="preserve"> InputsTS!CJT$184</f>
        <v>0</v>
      </c>
      <c r="CJU77" s="223">
        <f xml:space="preserve"> InputsTS!CJU$184</f>
        <v>0</v>
      </c>
      <c r="CJV77" s="223">
        <f xml:space="preserve"> InputsTS!CJV$184</f>
        <v>0</v>
      </c>
      <c r="CJW77" s="223">
        <f xml:space="preserve"> InputsTS!CJW$184</f>
        <v>0</v>
      </c>
      <c r="CJX77" s="223">
        <f xml:space="preserve"> InputsTS!CJX$184</f>
        <v>0</v>
      </c>
      <c r="CJY77" s="223">
        <f xml:space="preserve"> InputsTS!CJY$184</f>
        <v>0</v>
      </c>
      <c r="CJZ77" s="223">
        <f xml:space="preserve"> InputsTS!CJZ$184</f>
        <v>0</v>
      </c>
      <c r="CKA77" s="223">
        <f xml:space="preserve"> InputsTS!CKA$184</f>
        <v>0</v>
      </c>
      <c r="CKB77" s="223">
        <f xml:space="preserve"> InputsTS!CKB$184</f>
        <v>0</v>
      </c>
      <c r="CKC77" s="223">
        <f xml:space="preserve"> InputsTS!CKC$184</f>
        <v>0</v>
      </c>
      <c r="CKD77" s="223">
        <f xml:space="preserve"> InputsTS!CKD$184</f>
        <v>0</v>
      </c>
      <c r="CKE77" s="223">
        <f xml:space="preserve"> InputsTS!CKE$184</f>
        <v>0</v>
      </c>
      <c r="CKF77" s="223">
        <f xml:space="preserve"> InputsTS!CKF$184</f>
        <v>0</v>
      </c>
      <c r="CKG77" s="223">
        <f xml:space="preserve"> InputsTS!CKG$184</f>
        <v>0</v>
      </c>
      <c r="CKH77" s="223">
        <f xml:space="preserve"> InputsTS!CKH$184</f>
        <v>0</v>
      </c>
      <c r="CKI77" s="223">
        <f xml:space="preserve"> InputsTS!CKI$184</f>
        <v>0</v>
      </c>
      <c r="CKJ77" s="223">
        <f xml:space="preserve"> InputsTS!CKJ$184</f>
        <v>0</v>
      </c>
      <c r="CKK77" s="223">
        <f xml:space="preserve"> InputsTS!CKK$184</f>
        <v>0</v>
      </c>
      <c r="CKL77" s="223">
        <f xml:space="preserve"> InputsTS!CKL$184</f>
        <v>0</v>
      </c>
      <c r="CKM77" s="223">
        <f xml:space="preserve"> InputsTS!CKM$184</f>
        <v>0</v>
      </c>
      <c r="CKN77" s="223">
        <f xml:space="preserve"> InputsTS!CKN$184</f>
        <v>0</v>
      </c>
      <c r="CKO77" s="223">
        <f xml:space="preserve"> InputsTS!CKO$184</f>
        <v>0</v>
      </c>
      <c r="CKP77" s="223">
        <f xml:space="preserve"> InputsTS!CKP$184</f>
        <v>0</v>
      </c>
      <c r="CKQ77" s="223">
        <f xml:space="preserve"> InputsTS!CKQ$184</f>
        <v>0</v>
      </c>
      <c r="CKR77" s="223">
        <f xml:space="preserve"> InputsTS!CKR$184</f>
        <v>0</v>
      </c>
      <c r="CKS77" s="223">
        <f xml:space="preserve"> InputsTS!CKS$184</f>
        <v>0</v>
      </c>
      <c r="CKT77" s="223">
        <f xml:space="preserve"> InputsTS!CKT$184</f>
        <v>0</v>
      </c>
      <c r="CKU77" s="223">
        <f xml:space="preserve"> InputsTS!CKU$184</f>
        <v>0</v>
      </c>
      <c r="CKV77" s="223">
        <f xml:space="preserve"> InputsTS!CKV$184</f>
        <v>0</v>
      </c>
      <c r="CKW77" s="223">
        <f xml:space="preserve"> InputsTS!CKW$184</f>
        <v>0</v>
      </c>
      <c r="CKX77" s="223">
        <f xml:space="preserve"> InputsTS!CKX$184</f>
        <v>0</v>
      </c>
      <c r="CKY77" s="223">
        <f xml:space="preserve"> InputsTS!CKY$184</f>
        <v>0</v>
      </c>
      <c r="CKZ77" s="223">
        <f xml:space="preserve"> InputsTS!CKZ$184</f>
        <v>0</v>
      </c>
      <c r="CLA77" s="223">
        <f xml:space="preserve"> InputsTS!CLA$184</f>
        <v>0</v>
      </c>
      <c r="CLB77" s="223">
        <f xml:space="preserve"> InputsTS!CLB$184</f>
        <v>0</v>
      </c>
      <c r="CLC77" s="223">
        <f xml:space="preserve"> InputsTS!CLC$184</f>
        <v>0</v>
      </c>
      <c r="CLD77" s="223">
        <f xml:space="preserve"> InputsTS!CLD$184</f>
        <v>0</v>
      </c>
      <c r="CLE77" s="223">
        <f xml:space="preserve"> InputsTS!CLE$184</f>
        <v>0</v>
      </c>
      <c r="CLF77" s="223">
        <f xml:space="preserve"> InputsTS!CLF$184</f>
        <v>0</v>
      </c>
      <c r="CLG77" s="223">
        <f xml:space="preserve"> InputsTS!CLG$184</f>
        <v>0</v>
      </c>
      <c r="CLH77" s="223">
        <f xml:space="preserve"> InputsTS!CLH$184</f>
        <v>0</v>
      </c>
      <c r="CLI77" s="223">
        <f xml:space="preserve"> InputsTS!CLI$184</f>
        <v>0</v>
      </c>
      <c r="CLJ77" s="223">
        <f xml:space="preserve"> InputsTS!CLJ$184</f>
        <v>0</v>
      </c>
      <c r="CLK77" s="223">
        <f xml:space="preserve"> InputsTS!CLK$184</f>
        <v>0</v>
      </c>
      <c r="CLL77" s="223">
        <f xml:space="preserve"> InputsTS!CLL$184</f>
        <v>0</v>
      </c>
      <c r="CLM77" s="223">
        <f xml:space="preserve"> InputsTS!CLM$184</f>
        <v>0</v>
      </c>
      <c r="CLN77" s="223">
        <f xml:space="preserve"> InputsTS!CLN$184</f>
        <v>0</v>
      </c>
      <c r="CLO77" s="223">
        <f xml:space="preserve"> InputsTS!CLO$184</f>
        <v>0</v>
      </c>
      <c r="CLP77" s="223">
        <f xml:space="preserve"> InputsTS!CLP$184</f>
        <v>0</v>
      </c>
      <c r="CLQ77" s="223">
        <f xml:space="preserve"> InputsTS!CLQ$184</f>
        <v>0</v>
      </c>
      <c r="CLR77" s="223">
        <f xml:space="preserve"> InputsTS!CLR$184</f>
        <v>0</v>
      </c>
      <c r="CLS77" s="223">
        <f xml:space="preserve"> InputsTS!CLS$184</f>
        <v>0</v>
      </c>
      <c r="CLT77" s="223">
        <f xml:space="preserve"> InputsTS!CLT$184</f>
        <v>0</v>
      </c>
      <c r="CLU77" s="223">
        <f xml:space="preserve"> InputsTS!CLU$184</f>
        <v>0</v>
      </c>
      <c r="CLV77" s="223">
        <f xml:space="preserve"> InputsTS!CLV$184</f>
        <v>0</v>
      </c>
      <c r="CLW77" s="223">
        <f xml:space="preserve"> InputsTS!CLW$184</f>
        <v>0</v>
      </c>
      <c r="CLX77" s="223">
        <f xml:space="preserve"> InputsTS!CLX$184</f>
        <v>0</v>
      </c>
      <c r="CLY77" s="223">
        <f xml:space="preserve"> InputsTS!CLY$184</f>
        <v>0</v>
      </c>
      <c r="CLZ77" s="223">
        <f xml:space="preserve"> InputsTS!CLZ$184</f>
        <v>0</v>
      </c>
      <c r="CMA77" s="223">
        <f xml:space="preserve"> InputsTS!CMA$184</f>
        <v>0</v>
      </c>
      <c r="CMB77" s="223">
        <f xml:space="preserve"> InputsTS!CMB$184</f>
        <v>0</v>
      </c>
      <c r="CMC77" s="223">
        <f xml:space="preserve"> InputsTS!CMC$184</f>
        <v>0</v>
      </c>
      <c r="CMD77" s="223">
        <f xml:space="preserve"> InputsTS!CMD$184</f>
        <v>0</v>
      </c>
      <c r="CME77" s="223">
        <f xml:space="preserve"> InputsTS!CME$184</f>
        <v>0</v>
      </c>
      <c r="CMF77" s="223">
        <f xml:space="preserve"> InputsTS!CMF$184</f>
        <v>0</v>
      </c>
      <c r="CMG77" s="223">
        <f xml:space="preserve"> InputsTS!CMG$184</f>
        <v>0</v>
      </c>
      <c r="CMH77" s="223">
        <f xml:space="preserve"> InputsTS!CMH$184</f>
        <v>0</v>
      </c>
      <c r="CMI77" s="223">
        <f xml:space="preserve"> InputsTS!CMI$184</f>
        <v>0</v>
      </c>
      <c r="CMJ77" s="223">
        <f xml:space="preserve"> InputsTS!CMJ$184</f>
        <v>0</v>
      </c>
      <c r="CMK77" s="223">
        <f xml:space="preserve"> InputsTS!CMK$184</f>
        <v>0</v>
      </c>
      <c r="CML77" s="223">
        <f xml:space="preserve"> InputsTS!CML$184</f>
        <v>0</v>
      </c>
      <c r="CMM77" s="223">
        <f xml:space="preserve"> InputsTS!CMM$184</f>
        <v>0</v>
      </c>
      <c r="CMN77" s="223">
        <f xml:space="preserve"> InputsTS!CMN$184</f>
        <v>0</v>
      </c>
      <c r="CMO77" s="223">
        <f xml:space="preserve"> InputsTS!CMO$184</f>
        <v>0</v>
      </c>
      <c r="CMP77" s="223">
        <f xml:space="preserve"> InputsTS!CMP$184</f>
        <v>0</v>
      </c>
      <c r="CMQ77" s="223">
        <f xml:space="preserve"> InputsTS!CMQ$184</f>
        <v>0</v>
      </c>
      <c r="CMR77" s="223">
        <f xml:space="preserve"> InputsTS!CMR$184</f>
        <v>0</v>
      </c>
      <c r="CMS77" s="223">
        <f xml:space="preserve"> InputsTS!CMS$184</f>
        <v>0</v>
      </c>
      <c r="CMT77" s="223">
        <f xml:space="preserve"> InputsTS!CMT$184</f>
        <v>0</v>
      </c>
      <c r="CMU77" s="223">
        <f xml:space="preserve"> InputsTS!CMU$184</f>
        <v>0</v>
      </c>
      <c r="CMV77" s="223">
        <f xml:space="preserve"> InputsTS!CMV$184</f>
        <v>0</v>
      </c>
      <c r="CMW77" s="223">
        <f xml:space="preserve"> InputsTS!CMW$184</f>
        <v>0</v>
      </c>
      <c r="CMX77" s="223">
        <f xml:space="preserve"> InputsTS!CMX$184</f>
        <v>0</v>
      </c>
      <c r="CMY77" s="223">
        <f xml:space="preserve"> InputsTS!CMY$184</f>
        <v>0</v>
      </c>
      <c r="CMZ77" s="223">
        <f xml:space="preserve"> InputsTS!CMZ$184</f>
        <v>0</v>
      </c>
      <c r="CNA77" s="223">
        <f xml:space="preserve"> InputsTS!CNA$184</f>
        <v>0</v>
      </c>
      <c r="CNB77" s="223">
        <f xml:space="preserve"> InputsTS!CNB$184</f>
        <v>0</v>
      </c>
      <c r="CNC77" s="223">
        <f xml:space="preserve"> InputsTS!CNC$184</f>
        <v>0</v>
      </c>
      <c r="CND77" s="223">
        <f xml:space="preserve"> InputsTS!CND$184</f>
        <v>0</v>
      </c>
      <c r="CNE77" s="223">
        <f xml:space="preserve"> InputsTS!CNE$184</f>
        <v>0</v>
      </c>
      <c r="CNF77" s="223">
        <f xml:space="preserve"> InputsTS!CNF$184</f>
        <v>0</v>
      </c>
      <c r="CNG77" s="223">
        <f xml:space="preserve"> InputsTS!CNG$184</f>
        <v>0</v>
      </c>
      <c r="CNH77" s="223">
        <f xml:space="preserve"> InputsTS!CNH$184</f>
        <v>0</v>
      </c>
      <c r="CNI77" s="223">
        <f xml:space="preserve"> InputsTS!CNI$184</f>
        <v>0</v>
      </c>
      <c r="CNJ77" s="223">
        <f xml:space="preserve"> InputsTS!CNJ$184</f>
        <v>0</v>
      </c>
      <c r="CNK77" s="223">
        <f xml:space="preserve"> InputsTS!CNK$184</f>
        <v>0</v>
      </c>
      <c r="CNL77" s="223">
        <f xml:space="preserve"> InputsTS!CNL$184</f>
        <v>0</v>
      </c>
      <c r="CNM77" s="223">
        <f xml:space="preserve"> InputsTS!CNM$184</f>
        <v>0</v>
      </c>
      <c r="CNN77" s="223">
        <f xml:space="preserve"> InputsTS!CNN$184</f>
        <v>0</v>
      </c>
      <c r="CNO77" s="223">
        <f xml:space="preserve"> InputsTS!CNO$184</f>
        <v>0</v>
      </c>
      <c r="CNP77" s="223">
        <f xml:space="preserve"> InputsTS!CNP$184</f>
        <v>0</v>
      </c>
      <c r="CNQ77" s="223">
        <f xml:space="preserve"> InputsTS!CNQ$184</f>
        <v>0</v>
      </c>
      <c r="CNR77" s="223">
        <f xml:space="preserve"> InputsTS!CNR$184</f>
        <v>0</v>
      </c>
      <c r="CNS77" s="223">
        <f xml:space="preserve"> InputsTS!CNS$184</f>
        <v>0</v>
      </c>
      <c r="CNT77" s="223">
        <f xml:space="preserve"> InputsTS!CNT$184</f>
        <v>0</v>
      </c>
      <c r="CNU77" s="223">
        <f xml:space="preserve"> InputsTS!CNU$184</f>
        <v>0</v>
      </c>
      <c r="CNV77" s="223">
        <f xml:space="preserve"> InputsTS!CNV$184</f>
        <v>0</v>
      </c>
      <c r="CNW77" s="223">
        <f xml:space="preserve"> InputsTS!CNW$184</f>
        <v>0</v>
      </c>
      <c r="CNX77" s="223">
        <f xml:space="preserve"> InputsTS!CNX$184</f>
        <v>0</v>
      </c>
      <c r="CNY77" s="223">
        <f xml:space="preserve"> InputsTS!CNY$184</f>
        <v>0</v>
      </c>
      <c r="CNZ77" s="223">
        <f xml:space="preserve"> InputsTS!CNZ$184</f>
        <v>0</v>
      </c>
      <c r="COA77" s="223">
        <f xml:space="preserve"> InputsTS!COA$184</f>
        <v>0</v>
      </c>
      <c r="COB77" s="223">
        <f xml:space="preserve"> InputsTS!COB$184</f>
        <v>0</v>
      </c>
      <c r="COC77" s="223">
        <f xml:space="preserve"> InputsTS!COC$184</f>
        <v>0</v>
      </c>
      <c r="COD77" s="223">
        <f xml:space="preserve"> InputsTS!COD$184</f>
        <v>0</v>
      </c>
      <c r="COE77" s="223">
        <f xml:space="preserve"> InputsTS!COE$184</f>
        <v>0</v>
      </c>
      <c r="COF77" s="223">
        <f xml:space="preserve"> InputsTS!COF$184</f>
        <v>0</v>
      </c>
      <c r="COG77" s="223">
        <f xml:space="preserve"> InputsTS!COG$184</f>
        <v>0</v>
      </c>
      <c r="COH77" s="223">
        <f xml:space="preserve"> InputsTS!COH$184</f>
        <v>0</v>
      </c>
      <c r="COI77" s="223">
        <f xml:space="preserve"> InputsTS!COI$184</f>
        <v>0</v>
      </c>
      <c r="COJ77" s="223">
        <f xml:space="preserve"> InputsTS!COJ$184</f>
        <v>0</v>
      </c>
      <c r="COK77" s="223">
        <f xml:space="preserve"> InputsTS!COK$184</f>
        <v>0</v>
      </c>
      <c r="COL77" s="223">
        <f xml:space="preserve"> InputsTS!COL$184</f>
        <v>0</v>
      </c>
      <c r="COM77" s="223">
        <f xml:space="preserve"> InputsTS!COM$184</f>
        <v>0</v>
      </c>
      <c r="CON77" s="223">
        <f xml:space="preserve"> InputsTS!CON$184</f>
        <v>0</v>
      </c>
      <c r="COO77" s="223">
        <f xml:space="preserve"> InputsTS!COO$184</f>
        <v>0</v>
      </c>
      <c r="COP77" s="223">
        <f xml:space="preserve"> InputsTS!COP$184</f>
        <v>0</v>
      </c>
      <c r="COQ77" s="223">
        <f xml:space="preserve"> InputsTS!COQ$184</f>
        <v>0</v>
      </c>
      <c r="COR77" s="223">
        <f xml:space="preserve"> InputsTS!COR$184</f>
        <v>0</v>
      </c>
      <c r="COS77" s="223">
        <f xml:space="preserve"> InputsTS!COS$184</f>
        <v>0</v>
      </c>
      <c r="COT77" s="223">
        <f xml:space="preserve"> InputsTS!COT$184</f>
        <v>0</v>
      </c>
      <c r="COU77" s="223">
        <f xml:space="preserve"> InputsTS!COU$184</f>
        <v>0</v>
      </c>
      <c r="COV77" s="223">
        <f xml:space="preserve"> InputsTS!COV$184</f>
        <v>0</v>
      </c>
      <c r="COW77" s="223">
        <f xml:space="preserve"> InputsTS!COW$184</f>
        <v>0</v>
      </c>
      <c r="COX77" s="223">
        <f xml:space="preserve"> InputsTS!COX$184</f>
        <v>0</v>
      </c>
      <c r="COY77" s="223">
        <f xml:space="preserve"> InputsTS!COY$184</f>
        <v>0</v>
      </c>
      <c r="COZ77" s="223">
        <f xml:space="preserve"> InputsTS!COZ$184</f>
        <v>0</v>
      </c>
      <c r="CPA77" s="223">
        <f xml:space="preserve"> InputsTS!CPA$184</f>
        <v>0</v>
      </c>
      <c r="CPB77" s="223">
        <f xml:space="preserve"> InputsTS!CPB$184</f>
        <v>0</v>
      </c>
      <c r="CPC77" s="223">
        <f xml:space="preserve"> InputsTS!CPC$184</f>
        <v>0</v>
      </c>
      <c r="CPD77" s="223">
        <f xml:space="preserve"> InputsTS!CPD$184</f>
        <v>0</v>
      </c>
      <c r="CPE77" s="223">
        <f xml:space="preserve"> InputsTS!CPE$184</f>
        <v>0</v>
      </c>
      <c r="CPF77" s="223">
        <f xml:space="preserve"> InputsTS!CPF$184</f>
        <v>0</v>
      </c>
      <c r="CPG77" s="223">
        <f xml:space="preserve"> InputsTS!CPG$184</f>
        <v>0</v>
      </c>
      <c r="CPH77" s="223">
        <f xml:space="preserve"> InputsTS!CPH$184</f>
        <v>0</v>
      </c>
      <c r="CPI77" s="223">
        <f xml:space="preserve"> InputsTS!CPI$184</f>
        <v>0</v>
      </c>
      <c r="CPJ77" s="223">
        <f xml:space="preserve"> InputsTS!CPJ$184</f>
        <v>0</v>
      </c>
      <c r="CPK77" s="223">
        <f xml:space="preserve"> InputsTS!CPK$184</f>
        <v>0</v>
      </c>
      <c r="CPL77" s="223">
        <f xml:space="preserve"> InputsTS!CPL$184</f>
        <v>0</v>
      </c>
      <c r="CPM77" s="223">
        <f xml:space="preserve"> InputsTS!CPM$184</f>
        <v>0</v>
      </c>
      <c r="CPN77" s="223">
        <f xml:space="preserve"> InputsTS!CPN$184</f>
        <v>0</v>
      </c>
      <c r="CPO77" s="223">
        <f xml:space="preserve"> InputsTS!CPO$184</f>
        <v>0</v>
      </c>
      <c r="CPP77" s="223">
        <f xml:space="preserve"> InputsTS!CPP$184</f>
        <v>0</v>
      </c>
      <c r="CPQ77" s="223">
        <f xml:space="preserve"> InputsTS!CPQ$184</f>
        <v>0</v>
      </c>
      <c r="CPR77" s="223">
        <f xml:space="preserve"> InputsTS!CPR$184</f>
        <v>0</v>
      </c>
      <c r="CPS77" s="223">
        <f xml:space="preserve"> InputsTS!CPS$184</f>
        <v>0</v>
      </c>
      <c r="CPT77" s="223">
        <f xml:space="preserve"> InputsTS!CPT$184</f>
        <v>0</v>
      </c>
      <c r="CPU77" s="223">
        <f xml:space="preserve"> InputsTS!CPU$184</f>
        <v>0</v>
      </c>
      <c r="CPV77" s="223">
        <f xml:space="preserve"> InputsTS!CPV$184</f>
        <v>0</v>
      </c>
      <c r="CPW77" s="223">
        <f xml:space="preserve"> InputsTS!CPW$184</f>
        <v>0</v>
      </c>
      <c r="CPX77" s="223">
        <f xml:space="preserve"> InputsTS!CPX$184</f>
        <v>0</v>
      </c>
      <c r="CPY77" s="223">
        <f xml:space="preserve"> InputsTS!CPY$184</f>
        <v>0</v>
      </c>
      <c r="CPZ77" s="223">
        <f xml:space="preserve"> InputsTS!CPZ$184</f>
        <v>0</v>
      </c>
      <c r="CQA77" s="223">
        <f xml:space="preserve"> InputsTS!CQA$184</f>
        <v>0</v>
      </c>
      <c r="CQB77" s="223">
        <f xml:space="preserve"> InputsTS!CQB$184</f>
        <v>0</v>
      </c>
      <c r="CQC77" s="223">
        <f xml:space="preserve"> InputsTS!CQC$184</f>
        <v>0</v>
      </c>
      <c r="CQD77" s="223">
        <f xml:space="preserve"> InputsTS!CQD$184</f>
        <v>0</v>
      </c>
      <c r="CQE77" s="223">
        <f xml:space="preserve"> InputsTS!CQE$184</f>
        <v>0</v>
      </c>
      <c r="CQF77" s="223">
        <f xml:space="preserve"> InputsTS!CQF$184</f>
        <v>0</v>
      </c>
      <c r="CQG77" s="223">
        <f xml:space="preserve"> InputsTS!CQG$184</f>
        <v>0</v>
      </c>
      <c r="CQH77" s="223">
        <f xml:space="preserve"> InputsTS!CQH$184</f>
        <v>0</v>
      </c>
      <c r="CQI77" s="223">
        <f xml:space="preserve"> InputsTS!CQI$184</f>
        <v>0</v>
      </c>
      <c r="CQJ77" s="223">
        <f xml:space="preserve"> InputsTS!CQJ$184</f>
        <v>0</v>
      </c>
      <c r="CQK77" s="223">
        <f xml:space="preserve"> InputsTS!CQK$184</f>
        <v>0</v>
      </c>
      <c r="CQL77" s="223">
        <f xml:space="preserve"> InputsTS!CQL$184</f>
        <v>0</v>
      </c>
      <c r="CQM77" s="223">
        <f xml:space="preserve"> InputsTS!CQM$184</f>
        <v>0</v>
      </c>
      <c r="CQN77" s="223">
        <f xml:space="preserve"> InputsTS!CQN$184</f>
        <v>0</v>
      </c>
      <c r="CQO77" s="223">
        <f xml:space="preserve"> InputsTS!CQO$184</f>
        <v>0</v>
      </c>
      <c r="CQP77" s="223">
        <f xml:space="preserve"> InputsTS!CQP$184</f>
        <v>0</v>
      </c>
      <c r="CQQ77" s="223">
        <f xml:space="preserve"> InputsTS!CQQ$184</f>
        <v>0</v>
      </c>
      <c r="CQR77" s="223">
        <f xml:space="preserve"> InputsTS!CQR$184</f>
        <v>0</v>
      </c>
      <c r="CQS77" s="223">
        <f xml:space="preserve"> InputsTS!CQS$184</f>
        <v>0</v>
      </c>
      <c r="CQT77" s="223">
        <f xml:space="preserve"> InputsTS!CQT$184</f>
        <v>0</v>
      </c>
      <c r="CQU77" s="223">
        <f xml:space="preserve"> InputsTS!CQU$184</f>
        <v>0</v>
      </c>
      <c r="CQV77" s="223">
        <f xml:space="preserve"> InputsTS!CQV$184</f>
        <v>0</v>
      </c>
      <c r="CQW77" s="223">
        <f xml:space="preserve"> InputsTS!CQW$184</f>
        <v>0</v>
      </c>
      <c r="CQX77" s="223">
        <f xml:space="preserve"> InputsTS!CQX$184</f>
        <v>0</v>
      </c>
      <c r="CQY77" s="223">
        <f xml:space="preserve"> InputsTS!CQY$184</f>
        <v>0</v>
      </c>
      <c r="CQZ77" s="223">
        <f xml:space="preserve"> InputsTS!CQZ$184</f>
        <v>0</v>
      </c>
      <c r="CRA77" s="223">
        <f xml:space="preserve"> InputsTS!CRA$184</f>
        <v>0</v>
      </c>
      <c r="CRB77" s="223">
        <f xml:space="preserve"> InputsTS!CRB$184</f>
        <v>0</v>
      </c>
      <c r="CRC77" s="223">
        <f xml:space="preserve"> InputsTS!CRC$184</f>
        <v>0</v>
      </c>
      <c r="CRD77" s="223">
        <f xml:space="preserve"> InputsTS!CRD$184</f>
        <v>0</v>
      </c>
      <c r="CRE77" s="223">
        <f xml:space="preserve"> InputsTS!CRE$184</f>
        <v>0</v>
      </c>
      <c r="CRF77" s="223">
        <f xml:space="preserve"> InputsTS!CRF$184</f>
        <v>0</v>
      </c>
      <c r="CRG77" s="223">
        <f xml:space="preserve"> InputsTS!CRG$184</f>
        <v>0</v>
      </c>
      <c r="CRH77" s="223">
        <f xml:space="preserve"> InputsTS!CRH$184</f>
        <v>0</v>
      </c>
      <c r="CRI77" s="223">
        <f xml:space="preserve"> InputsTS!CRI$184</f>
        <v>0</v>
      </c>
      <c r="CRJ77" s="223">
        <f xml:space="preserve"> InputsTS!CRJ$184</f>
        <v>0</v>
      </c>
      <c r="CRK77" s="223">
        <f xml:space="preserve"> InputsTS!CRK$184</f>
        <v>0</v>
      </c>
      <c r="CRL77" s="223">
        <f xml:space="preserve"> InputsTS!CRL$184</f>
        <v>0</v>
      </c>
      <c r="CRM77" s="223">
        <f xml:space="preserve"> InputsTS!CRM$184</f>
        <v>0</v>
      </c>
      <c r="CRN77" s="223">
        <f xml:space="preserve"> InputsTS!CRN$184</f>
        <v>0</v>
      </c>
      <c r="CRO77" s="223">
        <f xml:space="preserve"> InputsTS!CRO$184</f>
        <v>0</v>
      </c>
      <c r="CRP77" s="223">
        <f xml:space="preserve"> InputsTS!CRP$184</f>
        <v>0</v>
      </c>
      <c r="CRQ77" s="223">
        <f xml:space="preserve"> InputsTS!CRQ$184</f>
        <v>0</v>
      </c>
      <c r="CRR77" s="223">
        <f xml:space="preserve"> InputsTS!CRR$184</f>
        <v>0</v>
      </c>
      <c r="CRS77" s="223">
        <f xml:space="preserve"> InputsTS!CRS$184</f>
        <v>0</v>
      </c>
      <c r="CRT77" s="223">
        <f xml:space="preserve"> InputsTS!CRT$184</f>
        <v>0</v>
      </c>
      <c r="CRU77" s="223">
        <f xml:space="preserve"> InputsTS!CRU$184</f>
        <v>0</v>
      </c>
      <c r="CRV77" s="223">
        <f xml:space="preserve"> InputsTS!CRV$184</f>
        <v>0</v>
      </c>
      <c r="CRW77" s="223">
        <f xml:space="preserve"> InputsTS!CRW$184</f>
        <v>0</v>
      </c>
      <c r="CRX77" s="223">
        <f xml:space="preserve"> InputsTS!CRX$184</f>
        <v>0</v>
      </c>
      <c r="CRY77" s="223">
        <f xml:space="preserve"> InputsTS!CRY$184</f>
        <v>0</v>
      </c>
      <c r="CRZ77" s="223">
        <f xml:space="preserve"> InputsTS!CRZ$184</f>
        <v>0</v>
      </c>
      <c r="CSA77" s="223">
        <f xml:space="preserve"> InputsTS!CSA$184</f>
        <v>0</v>
      </c>
      <c r="CSB77" s="223">
        <f xml:space="preserve"> InputsTS!CSB$184</f>
        <v>0</v>
      </c>
      <c r="CSC77" s="223">
        <f xml:space="preserve"> InputsTS!CSC$184</f>
        <v>0</v>
      </c>
      <c r="CSD77" s="223">
        <f xml:space="preserve"> InputsTS!CSD$184</f>
        <v>0</v>
      </c>
      <c r="CSE77" s="223">
        <f xml:space="preserve"> InputsTS!CSE$184</f>
        <v>0</v>
      </c>
      <c r="CSF77" s="223">
        <f xml:space="preserve"> InputsTS!CSF$184</f>
        <v>0</v>
      </c>
      <c r="CSG77" s="223">
        <f xml:space="preserve"> InputsTS!CSG$184</f>
        <v>0</v>
      </c>
      <c r="CSH77" s="223">
        <f xml:space="preserve"> InputsTS!CSH$184</f>
        <v>0</v>
      </c>
      <c r="CSI77" s="223">
        <f xml:space="preserve"> InputsTS!CSI$184</f>
        <v>0</v>
      </c>
      <c r="CSJ77" s="223">
        <f xml:space="preserve"> InputsTS!CSJ$184</f>
        <v>0</v>
      </c>
      <c r="CSK77" s="223">
        <f xml:space="preserve"> InputsTS!CSK$184</f>
        <v>0</v>
      </c>
      <c r="CSL77" s="223">
        <f xml:space="preserve"> InputsTS!CSL$184</f>
        <v>0</v>
      </c>
      <c r="CSM77" s="223">
        <f xml:space="preserve"> InputsTS!CSM$184</f>
        <v>0</v>
      </c>
      <c r="CSN77" s="223">
        <f xml:space="preserve"> InputsTS!CSN$184</f>
        <v>0</v>
      </c>
      <c r="CSO77" s="223">
        <f xml:space="preserve"> InputsTS!CSO$184</f>
        <v>0</v>
      </c>
      <c r="CSP77" s="223">
        <f xml:space="preserve"> InputsTS!CSP$184</f>
        <v>0</v>
      </c>
      <c r="CSQ77" s="223">
        <f xml:space="preserve"> InputsTS!CSQ$184</f>
        <v>0</v>
      </c>
      <c r="CSR77" s="223">
        <f xml:space="preserve"> InputsTS!CSR$184</f>
        <v>0</v>
      </c>
      <c r="CSS77" s="223">
        <f xml:space="preserve"> InputsTS!CSS$184</f>
        <v>0</v>
      </c>
      <c r="CST77" s="223">
        <f xml:space="preserve"> InputsTS!CST$184</f>
        <v>0</v>
      </c>
      <c r="CSU77" s="223">
        <f xml:space="preserve"> InputsTS!CSU$184</f>
        <v>0</v>
      </c>
      <c r="CSV77" s="223">
        <f xml:space="preserve"> InputsTS!CSV$184</f>
        <v>0</v>
      </c>
      <c r="CSW77" s="223">
        <f xml:space="preserve"> InputsTS!CSW$184</f>
        <v>0</v>
      </c>
      <c r="CSX77" s="223">
        <f xml:space="preserve"> InputsTS!CSX$184</f>
        <v>0</v>
      </c>
      <c r="CSY77" s="223">
        <f xml:space="preserve"> InputsTS!CSY$184</f>
        <v>0</v>
      </c>
      <c r="CSZ77" s="223">
        <f xml:space="preserve"> InputsTS!CSZ$184</f>
        <v>0</v>
      </c>
      <c r="CTA77" s="223">
        <f xml:space="preserve"> InputsTS!CTA$184</f>
        <v>0</v>
      </c>
      <c r="CTB77" s="223">
        <f xml:space="preserve"> InputsTS!CTB$184</f>
        <v>0</v>
      </c>
      <c r="CTC77" s="223">
        <f xml:space="preserve"> InputsTS!CTC$184</f>
        <v>0</v>
      </c>
      <c r="CTD77" s="223">
        <f xml:space="preserve"> InputsTS!CTD$184</f>
        <v>0</v>
      </c>
      <c r="CTE77" s="223">
        <f xml:space="preserve"> InputsTS!CTE$184</f>
        <v>0</v>
      </c>
      <c r="CTF77" s="223">
        <f xml:space="preserve"> InputsTS!CTF$184</f>
        <v>0</v>
      </c>
      <c r="CTG77" s="223">
        <f xml:space="preserve"> InputsTS!CTG$184</f>
        <v>0</v>
      </c>
      <c r="CTH77" s="223">
        <f xml:space="preserve"> InputsTS!CTH$184</f>
        <v>0</v>
      </c>
      <c r="CTI77" s="223">
        <f xml:space="preserve"> InputsTS!CTI$184</f>
        <v>0</v>
      </c>
      <c r="CTJ77" s="223">
        <f xml:space="preserve"> InputsTS!CTJ$184</f>
        <v>0</v>
      </c>
      <c r="CTK77" s="223">
        <f xml:space="preserve"> InputsTS!CTK$184</f>
        <v>0</v>
      </c>
      <c r="CTL77" s="223">
        <f xml:space="preserve"> InputsTS!CTL$184</f>
        <v>0</v>
      </c>
      <c r="CTM77" s="223">
        <f xml:space="preserve"> InputsTS!CTM$184</f>
        <v>0</v>
      </c>
      <c r="CTN77" s="223">
        <f xml:space="preserve"> InputsTS!CTN$184</f>
        <v>0</v>
      </c>
      <c r="CTO77" s="223">
        <f xml:space="preserve"> InputsTS!CTO$184</f>
        <v>0</v>
      </c>
      <c r="CTP77" s="223">
        <f xml:space="preserve"> InputsTS!CTP$184</f>
        <v>0</v>
      </c>
      <c r="CTQ77" s="223">
        <f xml:space="preserve"> InputsTS!CTQ$184</f>
        <v>0</v>
      </c>
      <c r="CTR77" s="223">
        <f xml:space="preserve"> InputsTS!CTR$184</f>
        <v>0</v>
      </c>
      <c r="CTS77" s="223">
        <f xml:space="preserve"> InputsTS!CTS$184</f>
        <v>0</v>
      </c>
      <c r="CTT77" s="223">
        <f xml:space="preserve"> InputsTS!CTT$184</f>
        <v>0</v>
      </c>
      <c r="CTU77" s="223">
        <f xml:space="preserve"> InputsTS!CTU$184</f>
        <v>0</v>
      </c>
      <c r="CTV77" s="223">
        <f xml:space="preserve"> InputsTS!CTV$184</f>
        <v>0</v>
      </c>
      <c r="CTW77" s="223">
        <f xml:space="preserve"> InputsTS!CTW$184</f>
        <v>0</v>
      </c>
      <c r="CTX77" s="223">
        <f xml:space="preserve"> InputsTS!CTX$184</f>
        <v>0</v>
      </c>
      <c r="CTY77" s="223">
        <f xml:space="preserve"> InputsTS!CTY$184</f>
        <v>0</v>
      </c>
      <c r="CTZ77" s="223">
        <f xml:space="preserve"> InputsTS!CTZ$184</f>
        <v>0</v>
      </c>
      <c r="CUA77" s="223">
        <f xml:space="preserve"> InputsTS!CUA$184</f>
        <v>0</v>
      </c>
      <c r="CUB77" s="223">
        <f xml:space="preserve"> InputsTS!CUB$184</f>
        <v>0</v>
      </c>
      <c r="CUC77" s="223">
        <f xml:space="preserve"> InputsTS!CUC$184</f>
        <v>0</v>
      </c>
      <c r="CUD77" s="223">
        <f xml:space="preserve"> InputsTS!CUD$184</f>
        <v>0</v>
      </c>
      <c r="CUE77" s="223">
        <f xml:space="preserve"> InputsTS!CUE$184</f>
        <v>0</v>
      </c>
      <c r="CUF77" s="223">
        <f xml:space="preserve"> InputsTS!CUF$184</f>
        <v>0</v>
      </c>
      <c r="CUG77" s="223">
        <f xml:space="preserve"> InputsTS!CUG$184</f>
        <v>0</v>
      </c>
      <c r="CUH77" s="223">
        <f xml:space="preserve"> InputsTS!CUH$184</f>
        <v>0</v>
      </c>
      <c r="CUI77" s="223">
        <f xml:space="preserve"> InputsTS!CUI$184</f>
        <v>0</v>
      </c>
      <c r="CUJ77" s="223">
        <f xml:space="preserve"> InputsTS!CUJ$184</f>
        <v>0</v>
      </c>
      <c r="CUK77" s="223">
        <f xml:space="preserve"> InputsTS!CUK$184</f>
        <v>0</v>
      </c>
      <c r="CUL77" s="223">
        <f xml:space="preserve"> InputsTS!CUL$184</f>
        <v>0</v>
      </c>
      <c r="CUM77" s="223">
        <f xml:space="preserve"> InputsTS!CUM$184</f>
        <v>0</v>
      </c>
      <c r="CUN77" s="223">
        <f xml:space="preserve"> InputsTS!CUN$184</f>
        <v>0</v>
      </c>
      <c r="CUO77" s="223">
        <f xml:space="preserve"> InputsTS!CUO$184</f>
        <v>0</v>
      </c>
      <c r="CUP77" s="223">
        <f xml:space="preserve"> InputsTS!CUP$184</f>
        <v>0</v>
      </c>
      <c r="CUQ77" s="223">
        <f xml:space="preserve"> InputsTS!CUQ$184</f>
        <v>0</v>
      </c>
      <c r="CUR77" s="223">
        <f xml:space="preserve"> InputsTS!CUR$184</f>
        <v>0</v>
      </c>
      <c r="CUS77" s="223">
        <f xml:space="preserve"> InputsTS!CUS$184</f>
        <v>0</v>
      </c>
      <c r="CUT77" s="223">
        <f xml:space="preserve"> InputsTS!CUT$184</f>
        <v>0</v>
      </c>
      <c r="CUU77" s="223">
        <f xml:space="preserve"> InputsTS!CUU$184</f>
        <v>0</v>
      </c>
      <c r="CUV77" s="223">
        <f xml:space="preserve"> InputsTS!CUV$184</f>
        <v>0</v>
      </c>
      <c r="CUW77" s="223">
        <f xml:space="preserve"> InputsTS!CUW$184</f>
        <v>0</v>
      </c>
      <c r="CUX77" s="223">
        <f xml:space="preserve"> InputsTS!CUX$184</f>
        <v>0</v>
      </c>
      <c r="CUY77" s="223">
        <f xml:space="preserve"> InputsTS!CUY$184</f>
        <v>0</v>
      </c>
      <c r="CUZ77" s="223">
        <f xml:space="preserve"> InputsTS!CUZ$184</f>
        <v>0</v>
      </c>
      <c r="CVA77" s="223">
        <f xml:space="preserve"> InputsTS!CVA$184</f>
        <v>0</v>
      </c>
      <c r="CVB77" s="223">
        <f xml:space="preserve"> InputsTS!CVB$184</f>
        <v>0</v>
      </c>
      <c r="CVC77" s="223">
        <f xml:space="preserve"> InputsTS!CVC$184</f>
        <v>0</v>
      </c>
      <c r="CVD77" s="223">
        <f xml:space="preserve"> InputsTS!CVD$184</f>
        <v>0</v>
      </c>
      <c r="CVE77" s="223">
        <f xml:space="preserve"> InputsTS!CVE$184</f>
        <v>0</v>
      </c>
      <c r="CVF77" s="223">
        <f xml:space="preserve"> InputsTS!CVF$184</f>
        <v>0</v>
      </c>
      <c r="CVG77" s="223">
        <f xml:space="preserve"> InputsTS!CVG$184</f>
        <v>0</v>
      </c>
      <c r="CVH77" s="223">
        <f xml:space="preserve"> InputsTS!CVH$184</f>
        <v>0</v>
      </c>
      <c r="CVI77" s="223">
        <f xml:space="preserve"> InputsTS!CVI$184</f>
        <v>0</v>
      </c>
      <c r="CVJ77" s="223">
        <f xml:space="preserve"> InputsTS!CVJ$184</f>
        <v>0</v>
      </c>
      <c r="CVK77" s="223">
        <f xml:space="preserve"> InputsTS!CVK$184</f>
        <v>0</v>
      </c>
      <c r="CVL77" s="223">
        <f xml:space="preserve"> InputsTS!CVL$184</f>
        <v>0</v>
      </c>
      <c r="CVM77" s="223">
        <f xml:space="preserve"> InputsTS!CVM$184</f>
        <v>0</v>
      </c>
      <c r="CVN77" s="223">
        <f xml:space="preserve"> InputsTS!CVN$184</f>
        <v>0</v>
      </c>
      <c r="CVO77" s="223">
        <f xml:space="preserve"> InputsTS!CVO$184</f>
        <v>0</v>
      </c>
      <c r="CVP77" s="223">
        <f xml:space="preserve"> InputsTS!CVP$184</f>
        <v>0</v>
      </c>
      <c r="CVQ77" s="223">
        <f xml:space="preserve"> InputsTS!CVQ$184</f>
        <v>0</v>
      </c>
      <c r="CVR77" s="223">
        <f xml:space="preserve"> InputsTS!CVR$184</f>
        <v>0</v>
      </c>
      <c r="CVS77" s="223">
        <f xml:space="preserve"> InputsTS!CVS$184</f>
        <v>0</v>
      </c>
      <c r="CVT77" s="223">
        <f xml:space="preserve"> InputsTS!CVT$184</f>
        <v>0</v>
      </c>
      <c r="CVU77" s="223">
        <f xml:space="preserve"> InputsTS!CVU$184</f>
        <v>0</v>
      </c>
      <c r="CVV77" s="223">
        <f xml:space="preserve"> InputsTS!CVV$184</f>
        <v>0</v>
      </c>
      <c r="CVW77" s="223">
        <f xml:space="preserve"> InputsTS!CVW$184</f>
        <v>0</v>
      </c>
      <c r="CVX77" s="223">
        <f xml:space="preserve"> InputsTS!CVX$184</f>
        <v>0</v>
      </c>
      <c r="CVY77" s="223">
        <f xml:space="preserve"> InputsTS!CVY$184</f>
        <v>0</v>
      </c>
      <c r="CVZ77" s="223">
        <f xml:space="preserve"> InputsTS!CVZ$184</f>
        <v>0</v>
      </c>
      <c r="CWA77" s="223">
        <f xml:space="preserve"> InputsTS!CWA$184</f>
        <v>0</v>
      </c>
      <c r="CWB77" s="223">
        <f xml:space="preserve"> InputsTS!CWB$184</f>
        <v>0</v>
      </c>
      <c r="CWC77" s="223">
        <f xml:space="preserve"> InputsTS!CWC$184</f>
        <v>0</v>
      </c>
      <c r="CWD77" s="223">
        <f xml:space="preserve"> InputsTS!CWD$184</f>
        <v>0</v>
      </c>
      <c r="CWE77" s="223">
        <f xml:space="preserve"> InputsTS!CWE$184</f>
        <v>0</v>
      </c>
      <c r="CWF77" s="223">
        <f xml:space="preserve"> InputsTS!CWF$184</f>
        <v>0</v>
      </c>
      <c r="CWG77" s="223">
        <f xml:space="preserve"> InputsTS!CWG$184</f>
        <v>0</v>
      </c>
      <c r="CWH77" s="223">
        <f xml:space="preserve"> InputsTS!CWH$184</f>
        <v>0</v>
      </c>
      <c r="CWI77" s="223">
        <f xml:space="preserve"> InputsTS!CWI$184</f>
        <v>0</v>
      </c>
      <c r="CWJ77" s="223">
        <f xml:space="preserve"> InputsTS!CWJ$184</f>
        <v>0</v>
      </c>
      <c r="CWK77" s="223">
        <f xml:space="preserve"> InputsTS!CWK$184</f>
        <v>0</v>
      </c>
      <c r="CWL77" s="223">
        <f xml:space="preserve"> InputsTS!CWL$184</f>
        <v>0</v>
      </c>
      <c r="CWM77" s="223">
        <f xml:space="preserve"> InputsTS!CWM$184</f>
        <v>0</v>
      </c>
      <c r="CWN77" s="223">
        <f xml:space="preserve"> InputsTS!CWN$184</f>
        <v>0</v>
      </c>
      <c r="CWO77" s="223">
        <f xml:space="preserve"> InputsTS!CWO$184</f>
        <v>0</v>
      </c>
      <c r="CWP77" s="223">
        <f xml:space="preserve"> InputsTS!CWP$184</f>
        <v>0</v>
      </c>
      <c r="CWQ77" s="223">
        <f xml:space="preserve"> InputsTS!CWQ$184</f>
        <v>0</v>
      </c>
      <c r="CWR77" s="223">
        <f xml:space="preserve"> InputsTS!CWR$184</f>
        <v>0</v>
      </c>
      <c r="CWS77" s="223">
        <f xml:space="preserve"> InputsTS!CWS$184</f>
        <v>0</v>
      </c>
      <c r="CWT77" s="223">
        <f xml:space="preserve"> InputsTS!CWT$184</f>
        <v>0</v>
      </c>
      <c r="CWU77" s="223">
        <f xml:space="preserve"> InputsTS!CWU$184</f>
        <v>0</v>
      </c>
      <c r="CWV77" s="223">
        <f xml:space="preserve"> InputsTS!CWV$184</f>
        <v>0</v>
      </c>
      <c r="CWW77" s="223">
        <f xml:space="preserve"> InputsTS!CWW$184</f>
        <v>0</v>
      </c>
      <c r="CWX77" s="223">
        <f xml:space="preserve"> InputsTS!CWX$184</f>
        <v>0</v>
      </c>
      <c r="CWY77" s="223">
        <f xml:space="preserve"> InputsTS!CWY$184</f>
        <v>0</v>
      </c>
      <c r="CWZ77" s="223">
        <f xml:space="preserve"> InputsTS!CWZ$184</f>
        <v>0</v>
      </c>
      <c r="CXA77" s="223">
        <f xml:space="preserve"> InputsTS!CXA$184</f>
        <v>0</v>
      </c>
      <c r="CXB77" s="223">
        <f xml:space="preserve"> InputsTS!CXB$184</f>
        <v>0</v>
      </c>
      <c r="CXC77" s="223">
        <f xml:space="preserve"> InputsTS!CXC$184</f>
        <v>0</v>
      </c>
      <c r="CXD77" s="223">
        <f xml:space="preserve"> InputsTS!CXD$184</f>
        <v>0</v>
      </c>
      <c r="CXE77" s="223">
        <f xml:space="preserve"> InputsTS!CXE$184</f>
        <v>0</v>
      </c>
      <c r="CXF77" s="223">
        <f xml:space="preserve"> InputsTS!CXF$184</f>
        <v>0</v>
      </c>
      <c r="CXG77" s="223">
        <f xml:space="preserve"> InputsTS!CXG$184</f>
        <v>0</v>
      </c>
      <c r="CXH77" s="223">
        <f xml:space="preserve"> InputsTS!CXH$184</f>
        <v>0</v>
      </c>
      <c r="CXI77" s="223">
        <f xml:space="preserve"> InputsTS!CXI$184</f>
        <v>0</v>
      </c>
      <c r="CXJ77" s="223">
        <f xml:space="preserve"> InputsTS!CXJ$184</f>
        <v>0</v>
      </c>
      <c r="CXK77" s="223">
        <f xml:space="preserve"> InputsTS!CXK$184</f>
        <v>0</v>
      </c>
      <c r="CXL77" s="223">
        <f xml:space="preserve"> InputsTS!CXL$184</f>
        <v>0</v>
      </c>
      <c r="CXM77" s="223">
        <f xml:space="preserve"> InputsTS!CXM$184</f>
        <v>0</v>
      </c>
      <c r="CXN77" s="223">
        <f xml:space="preserve"> InputsTS!CXN$184</f>
        <v>0</v>
      </c>
      <c r="CXO77" s="223">
        <f xml:space="preserve"> InputsTS!CXO$184</f>
        <v>0</v>
      </c>
      <c r="CXP77" s="223">
        <f xml:space="preserve"> InputsTS!CXP$184</f>
        <v>0</v>
      </c>
      <c r="CXQ77" s="223">
        <f xml:space="preserve"> InputsTS!CXQ$184</f>
        <v>0</v>
      </c>
      <c r="CXR77" s="223">
        <f xml:space="preserve"> InputsTS!CXR$184</f>
        <v>0</v>
      </c>
      <c r="CXS77" s="223">
        <f xml:space="preserve"> InputsTS!CXS$184</f>
        <v>0</v>
      </c>
      <c r="CXT77" s="223">
        <f xml:space="preserve"> InputsTS!CXT$184</f>
        <v>0</v>
      </c>
      <c r="CXU77" s="223">
        <f xml:space="preserve"> InputsTS!CXU$184</f>
        <v>0</v>
      </c>
      <c r="CXV77" s="223">
        <f xml:space="preserve"> InputsTS!CXV$184</f>
        <v>0</v>
      </c>
      <c r="CXW77" s="223">
        <f xml:space="preserve"> InputsTS!CXW$184</f>
        <v>0</v>
      </c>
      <c r="CXX77" s="223">
        <f xml:space="preserve"> InputsTS!CXX$184</f>
        <v>0</v>
      </c>
      <c r="CXY77" s="223">
        <f xml:space="preserve"> InputsTS!CXY$184</f>
        <v>0</v>
      </c>
      <c r="CXZ77" s="223">
        <f xml:space="preserve"> InputsTS!CXZ$184</f>
        <v>0</v>
      </c>
      <c r="CYA77" s="223">
        <f xml:space="preserve"> InputsTS!CYA$184</f>
        <v>0</v>
      </c>
      <c r="CYB77" s="223">
        <f xml:space="preserve"> InputsTS!CYB$184</f>
        <v>0</v>
      </c>
      <c r="CYC77" s="223">
        <f xml:space="preserve"> InputsTS!CYC$184</f>
        <v>0</v>
      </c>
      <c r="CYD77" s="223">
        <f xml:space="preserve"> InputsTS!CYD$184</f>
        <v>0</v>
      </c>
      <c r="CYE77" s="223">
        <f xml:space="preserve"> InputsTS!CYE$184</f>
        <v>0</v>
      </c>
      <c r="CYF77" s="223">
        <f xml:space="preserve"> InputsTS!CYF$184</f>
        <v>0</v>
      </c>
      <c r="CYG77" s="223">
        <f xml:space="preserve"> InputsTS!CYG$184</f>
        <v>0</v>
      </c>
      <c r="CYH77" s="223">
        <f xml:space="preserve"> InputsTS!CYH$184</f>
        <v>0</v>
      </c>
      <c r="CYI77" s="223">
        <f xml:space="preserve"> InputsTS!CYI$184</f>
        <v>0</v>
      </c>
      <c r="CYJ77" s="223">
        <f xml:space="preserve"> InputsTS!CYJ$184</f>
        <v>0</v>
      </c>
      <c r="CYK77" s="223">
        <f xml:space="preserve"> InputsTS!CYK$184</f>
        <v>0</v>
      </c>
      <c r="CYL77" s="223">
        <f xml:space="preserve"> InputsTS!CYL$184</f>
        <v>0</v>
      </c>
      <c r="CYM77" s="223">
        <f xml:space="preserve"> InputsTS!CYM$184</f>
        <v>0</v>
      </c>
      <c r="CYN77" s="223">
        <f xml:space="preserve"> InputsTS!CYN$184</f>
        <v>0</v>
      </c>
      <c r="CYO77" s="223">
        <f xml:space="preserve"> InputsTS!CYO$184</f>
        <v>0</v>
      </c>
      <c r="CYP77" s="223">
        <f xml:space="preserve"> InputsTS!CYP$184</f>
        <v>0</v>
      </c>
      <c r="CYQ77" s="223">
        <f xml:space="preserve"> InputsTS!CYQ$184</f>
        <v>0</v>
      </c>
      <c r="CYR77" s="223">
        <f xml:space="preserve"> InputsTS!CYR$184</f>
        <v>0</v>
      </c>
      <c r="CYS77" s="223">
        <f xml:space="preserve"> InputsTS!CYS$184</f>
        <v>0</v>
      </c>
      <c r="CYT77" s="223">
        <f xml:space="preserve"> InputsTS!CYT$184</f>
        <v>0</v>
      </c>
      <c r="CYU77" s="223">
        <f xml:space="preserve"> InputsTS!CYU$184</f>
        <v>0</v>
      </c>
      <c r="CYV77" s="223">
        <f xml:space="preserve"> InputsTS!CYV$184</f>
        <v>0</v>
      </c>
      <c r="CYW77" s="223">
        <f xml:space="preserve"> InputsTS!CYW$184</f>
        <v>0</v>
      </c>
      <c r="CYX77" s="223">
        <f xml:space="preserve"> InputsTS!CYX$184</f>
        <v>0</v>
      </c>
      <c r="CYY77" s="223">
        <f xml:space="preserve"> InputsTS!CYY$184</f>
        <v>0</v>
      </c>
      <c r="CYZ77" s="223">
        <f xml:space="preserve"> InputsTS!CYZ$184</f>
        <v>0</v>
      </c>
      <c r="CZA77" s="223">
        <f xml:space="preserve"> InputsTS!CZA$184</f>
        <v>0</v>
      </c>
      <c r="CZB77" s="223">
        <f xml:space="preserve"> InputsTS!CZB$184</f>
        <v>0</v>
      </c>
      <c r="CZC77" s="223">
        <f xml:space="preserve"> InputsTS!CZC$184</f>
        <v>0</v>
      </c>
      <c r="CZD77" s="223">
        <f xml:space="preserve"> InputsTS!CZD$184</f>
        <v>0</v>
      </c>
      <c r="CZE77" s="223">
        <f xml:space="preserve"> InputsTS!CZE$184</f>
        <v>0</v>
      </c>
      <c r="CZF77" s="223">
        <f xml:space="preserve"> InputsTS!CZF$184</f>
        <v>0</v>
      </c>
      <c r="CZG77" s="223">
        <f xml:space="preserve"> InputsTS!CZG$184</f>
        <v>0</v>
      </c>
      <c r="CZH77" s="223">
        <f xml:space="preserve"> InputsTS!CZH$184</f>
        <v>0</v>
      </c>
      <c r="CZI77" s="223">
        <f xml:space="preserve"> InputsTS!CZI$184</f>
        <v>0</v>
      </c>
      <c r="CZJ77" s="223">
        <f xml:space="preserve"> InputsTS!CZJ$184</f>
        <v>0</v>
      </c>
      <c r="CZK77" s="223">
        <f xml:space="preserve"> InputsTS!CZK$184</f>
        <v>0</v>
      </c>
      <c r="CZL77" s="223">
        <f xml:space="preserve"> InputsTS!CZL$184</f>
        <v>0</v>
      </c>
      <c r="CZM77" s="223">
        <f xml:space="preserve"> InputsTS!CZM$184</f>
        <v>0</v>
      </c>
      <c r="CZN77" s="223">
        <f xml:space="preserve"> InputsTS!CZN$184</f>
        <v>0</v>
      </c>
      <c r="CZO77" s="223">
        <f xml:space="preserve"> InputsTS!CZO$184</f>
        <v>0</v>
      </c>
      <c r="CZP77" s="223">
        <f xml:space="preserve"> InputsTS!CZP$184</f>
        <v>0</v>
      </c>
      <c r="CZQ77" s="223">
        <f xml:space="preserve"> InputsTS!CZQ$184</f>
        <v>0</v>
      </c>
      <c r="CZR77" s="223">
        <f xml:space="preserve"> InputsTS!CZR$184</f>
        <v>0</v>
      </c>
      <c r="CZS77" s="223">
        <f xml:space="preserve"> InputsTS!CZS$184</f>
        <v>0</v>
      </c>
      <c r="CZT77" s="223">
        <f xml:space="preserve"> InputsTS!CZT$184</f>
        <v>0</v>
      </c>
      <c r="CZU77" s="223">
        <f xml:space="preserve"> InputsTS!CZU$184</f>
        <v>0</v>
      </c>
      <c r="CZV77" s="223">
        <f xml:space="preserve"> InputsTS!CZV$184</f>
        <v>0</v>
      </c>
      <c r="CZW77" s="223">
        <f xml:space="preserve"> InputsTS!CZW$184</f>
        <v>0</v>
      </c>
      <c r="CZX77" s="223">
        <f xml:space="preserve"> InputsTS!CZX$184</f>
        <v>0</v>
      </c>
      <c r="CZY77" s="223">
        <f xml:space="preserve"> InputsTS!CZY$184</f>
        <v>0</v>
      </c>
      <c r="CZZ77" s="223">
        <f xml:space="preserve"> InputsTS!CZZ$184</f>
        <v>0</v>
      </c>
      <c r="DAA77" s="223">
        <f xml:space="preserve"> InputsTS!DAA$184</f>
        <v>0</v>
      </c>
      <c r="DAB77" s="223">
        <f xml:space="preserve"> InputsTS!DAB$184</f>
        <v>0</v>
      </c>
      <c r="DAC77" s="223">
        <f xml:space="preserve"> InputsTS!DAC$184</f>
        <v>0</v>
      </c>
      <c r="DAD77" s="223">
        <f xml:space="preserve"> InputsTS!DAD$184</f>
        <v>0</v>
      </c>
      <c r="DAE77" s="223">
        <f xml:space="preserve"> InputsTS!DAE$184</f>
        <v>0</v>
      </c>
      <c r="DAF77" s="223">
        <f xml:space="preserve"> InputsTS!DAF$184</f>
        <v>0</v>
      </c>
      <c r="DAG77" s="223">
        <f xml:space="preserve"> InputsTS!DAG$184</f>
        <v>0</v>
      </c>
      <c r="DAH77" s="223">
        <f xml:space="preserve"> InputsTS!DAH$184</f>
        <v>0</v>
      </c>
      <c r="DAI77" s="223">
        <f xml:space="preserve"> InputsTS!DAI$184</f>
        <v>0</v>
      </c>
      <c r="DAJ77" s="223">
        <f xml:space="preserve"> InputsTS!DAJ$184</f>
        <v>0</v>
      </c>
      <c r="DAK77" s="223">
        <f xml:space="preserve"> InputsTS!DAK$184</f>
        <v>0</v>
      </c>
      <c r="DAL77" s="223">
        <f xml:space="preserve"> InputsTS!DAL$184</f>
        <v>0</v>
      </c>
      <c r="DAM77" s="223">
        <f xml:space="preserve"> InputsTS!DAM$184</f>
        <v>0</v>
      </c>
      <c r="DAN77" s="223">
        <f xml:space="preserve"> InputsTS!DAN$184</f>
        <v>0</v>
      </c>
      <c r="DAO77" s="223">
        <f xml:space="preserve"> InputsTS!DAO$184</f>
        <v>0</v>
      </c>
      <c r="DAP77" s="223">
        <f xml:space="preserve"> InputsTS!DAP$184</f>
        <v>0</v>
      </c>
      <c r="DAQ77" s="223">
        <f xml:space="preserve"> InputsTS!DAQ$184</f>
        <v>0</v>
      </c>
      <c r="DAR77" s="223">
        <f xml:space="preserve"> InputsTS!DAR$184</f>
        <v>0</v>
      </c>
      <c r="DAS77" s="223">
        <f xml:space="preserve"> InputsTS!DAS$184</f>
        <v>0</v>
      </c>
      <c r="DAT77" s="223">
        <f xml:space="preserve"> InputsTS!DAT$184</f>
        <v>0</v>
      </c>
      <c r="DAU77" s="223">
        <f xml:space="preserve"> InputsTS!DAU$184</f>
        <v>0</v>
      </c>
      <c r="DAV77" s="223">
        <f xml:space="preserve"> InputsTS!DAV$184</f>
        <v>0</v>
      </c>
      <c r="DAW77" s="223">
        <f xml:space="preserve"> InputsTS!DAW$184</f>
        <v>0</v>
      </c>
      <c r="DAX77" s="223">
        <f xml:space="preserve"> InputsTS!DAX$184</f>
        <v>0</v>
      </c>
      <c r="DAY77" s="223">
        <f xml:space="preserve"> InputsTS!DAY$184</f>
        <v>0</v>
      </c>
      <c r="DAZ77" s="223">
        <f xml:space="preserve"> InputsTS!DAZ$184</f>
        <v>0</v>
      </c>
      <c r="DBA77" s="223">
        <f xml:space="preserve"> InputsTS!DBA$184</f>
        <v>0</v>
      </c>
      <c r="DBB77" s="223">
        <f xml:space="preserve"> InputsTS!DBB$184</f>
        <v>0</v>
      </c>
      <c r="DBC77" s="223">
        <f xml:space="preserve"> InputsTS!DBC$184</f>
        <v>0</v>
      </c>
      <c r="DBD77" s="223">
        <f xml:space="preserve"> InputsTS!DBD$184</f>
        <v>0</v>
      </c>
      <c r="DBE77" s="223">
        <f xml:space="preserve"> InputsTS!DBE$184</f>
        <v>0</v>
      </c>
      <c r="DBF77" s="223">
        <f xml:space="preserve"> InputsTS!DBF$184</f>
        <v>0</v>
      </c>
      <c r="DBG77" s="223">
        <f xml:space="preserve"> InputsTS!DBG$184</f>
        <v>0</v>
      </c>
      <c r="DBH77" s="223">
        <f xml:space="preserve"> InputsTS!DBH$184</f>
        <v>0</v>
      </c>
      <c r="DBI77" s="223">
        <f xml:space="preserve"> InputsTS!DBI$184</f>
        <v>0</v>
      </c>
      <c r="DBJ77" s="223">
        <f xml:space="preserve"> InputsTS!DBJ$184</f>
        <v>0</v>
      </c>
      <c r="DBK77" s="223">
        <f xml:space="preserve"> InputsTS!DBK$184</f>
        <v>0</v>
      </c>
      <c r="DBL77" s="223">
        <f xml:space="preserve"> InputsTS!DBL$184</f>
        <v>0</v>
      </c>
      <c r="DBM77" s="223">
        <f xml:space="preserve"> InputsTS!DBM$184</f>
        <v>0</v>
      </c>
      <c r="DBN77" s="223">
        <f xml:space="preserve"> InputsTS!DBN$184</f>
        <v>0</v>
      </c>
      <c r="DBO77" s="223">
        <f xml:space="preserve"> InputsTS!DBO$184</f>
        <v>0</v>
      </c>
      <c r="DBP77" s="223">
        <f xml:space="preserve"> InputsTS!DBP$184</f>
        <v>0</v>
      </c>
      <c r="DBQ77" s="223">
        <f xml:space="preserve"> InputsTS!DBQ$184</f>
        <v>0</v>
      </c>
      <c r="DBR77" s="223">
        <f xml:space="preserve"> InputsTS!DBR$184</f>
        <v>0</v>
      </c>
      <c r="DBS77" s="223">
        <f xml:space="preserve"> InputsTS!DBS$184</f>
        <v>0</v>
      </c>
      <c r="DBT77" s="223">
        <f xml:space="preserve"> InputsTS!DBT$184</f>
        <v>0</v>
      </c>
      <c r="DBU77" s="223">
        <f xml:space="preserve"> InputsTS!DBU$184</f>
        <v>0</v>
      </c>
      <c r="DBV77" s="223">
        <f xml:space="preserve"> InputsTS!DBV$184</f>
        <v>0</v>
      </c>
      <c r="DBW77" s="223">
        <f xml:space="preserve"> InputsTS!DBW$184</f>
        <v>0</v>
      </c>
      <c r="DBX77" s="223">
        <f xml:space="preserve"> InputsTS!DBX$184</f>
        <v>0</v>
      </c>
      <c r="DBY77" s="223">
        <f xml:space="preserve"> InputsTS!DBY$184</f>
        <v>0</v>
      </c>
      <c r="DBZ77" s="223">
        <f xml:space="preserve"> InputsTS!DBZ$184</f>
        <v>0</v>
      </c>
      <c r="DCA77" s="223">
        <f xml:space="preserve"> InputsTS!DCA$184</f>
        <v>0</v>
      </c>
      <c r="DCB77" s="223">
        <f xml:space="preserve"> InputsTS!DCB$184</f>
        <v>0</v>
      </c>
      <c r="DCC77" s="223">
        <f xml:space="preserve"> InputsTS!DCC$184</f>
        <v>0</v>
      </c>
      <c r="DCD77" s="223">
        <f xml:space="preserve"> InputsTS!DCD$184</f>
        <v>0</v>
      </c>
      <c r="DCE77" s="223">
        <f xml:space="preserve"> InputsTS!DCE$184</f>
        <v>0</v>
      </c>
      <c r="DCF77" s="223">
        <f xml:space="preserve"> InputsTS!DCF$184</f>
        <v>0</v>
      </c>
      <c r="DCG77" s="223">
        <f xml:space="preserve"> InputsTS!DCG$184</f>
        <v>0</v>
      </c>
      <c r="DCH77" s="223">
        <f xml:space="preserve"> InputsTS!DCH$184</f>
        <v>0</v>
      </c>
      <c r="DCI77" s="223">
        <f xml:space="preserve"> InputsTS!DCI$184</f>
        <v>0</v>
      </c>
      <c r="DCJ77" s="223">
        <f xml:space="preserve"> InputsTS!DCJ$184</f>
        <v>0</v>
      </c>
      <c r="DCK77" s="223">
        <f xml:space="preserve"> InputsTS!DCK$184</f>
        <v>0</v>
      </c>
      <c r="DCL77" s="223">
        <f xml:space="preserve"> InputsTS!DCL$184</f>
        <v>0</v>
      </c>
      <c r="DCM77" s="223">
        <f xml:space="preserve"> InputsTS!DCM$184</f>
        <v>0</v>
      </c>
      <c r="DCN77" s="223">
        <f xml:space="preserve"> InputsTS!DCN$184</f>
        <v>0</v>
      </c>
      <c r="DCO77" s="223">
        <f xml:space="preserve"> InputsTS!DCO$184</f>
        <v>0</v>
      </c>
      <c r="DCP77" s="223">
        <f xml:space="preserve"> InputsTS!DCP$184</f>
        <v>0</v>
      </c>
      <c r="DCQ77" s="223">
        <f xml:space="preserve"> InputsTS!DCQ$184</f>
        <v>0</v>
      </c>
      <c r="DCR77" s="223">
        <f xml:space="preserve"> InputsTS!DCR$184</f>
        <v>0</v>
      </c>
      <c r="DCS77" s="223">
        <f xml:space="preserve"> InputsTS!DCS$184</f>
        <v>0</v>
      </c>
      <c r="DCT77" s="223">
        <f xml:space="preserve"> InputsTS!DCT$184</f>
        <v>0</v>
      </c>
      <c r="DCU77" s="223">
        <f xml:space="preserve"> InputsTS!DCU$184</f>
        <v>0</v>
      </c>
      <c r="DCV77" s="223">
        <f xml:space="preserve"> InputsTS!DCV$184</f>
        <v>0</v>
      </c>
      <c r="DCW77" s="223">
        <f xml:space="preserve"> InputsTS!DCW$184</f>
        <v>0</v>
      </c>
      <c r="DCX77" s="223">
        <f xml:space="preserve"> InputsTS!DCX$184</f>
        <v>0</v>
      </c>
      <c r="DCY77" s="223">
        <f xml:space="preserve"> InputsTS!DCY$184</f>
        <v>0</v>
      </c>
      <c r="DCZ77" s="223">
        <f xml:space="preserve"> InputsTS!DCZ$184</f>
        <v>0</v>
      </c>
      <c r="DDA77" s="223">
        <f xml:space="preserve"> InputsTS!DDA$184</f>
        <v>0</v>
      </c>
      <c r="DDB77" s="223">
        <f xml:space="preserve"> InputsTS!DDB$184</f>
        <v>0</v>
      </c>
      <c r="DDC77" s="223">
        <f xml:space="preserve"> InputsTS!DDC$184</f>
        <v>0</v>
      </c>
      <c r="DDD77" s="223">
        <f xml:space="preserve"> InputsTS!DDD$184</f>
        <v>0</v>
      </c>
      <c r="DDE77" s="223">
        <f xml:space="preserve"> InputsTS!DDE$184</f>
        <v>0</v>
      </c>
      <c r="DDF77" s="223">
        <f xml:space="preserve"> InputsTS!DDF$184</f>
        <v>0</v>
      </c>
      <c r="DDG77" s="223">
        <f xml:space="preserve"> InputsTS!DDG$184</f>
        <v>0</v>
      </c>
      <c r="DDH77" s="223">
        <f xml:space="preserve"> InputsTS!DDH$184</f>
        <v>0</v>
      </c>
      <c r="DDI77" s="223">
        <f xml:space="preserve"> InputsTS!DDI$184</f>
        <v>0</v>
      </c>
      <c r="DDJ77" s="223">
        <f xml:space="preserve"> InputsTS!DDJ$184</f>
        <v>0</v>
      </c>
      <c r="DDK77" s="223">
        <f xml:space="preserve"> InputsTS!DDK$184</f>
        <v>0</v>
      </c>
      <c r="DDL77" s="223">
        <f xml:space="preserve"> InputsTS!DDL$184</f>
        <v>0</v>
      </c>
      <c r="DDM77" s="223">
        <f xml:space="preserve"> InputsTS!DDM$184</f>
        <v>0</v>
      </c>
      <c r="DDN77" s="223">
        <f xml:space="preserve"> InputsTS!DDN$184</f>
        <v>0</v>
      </c>
      <c r="DDO77" s="223">
        <f xml:space="preserve"> InputsTS!DDO$184</f>
        <v>0</v>
      </c>
      <c r="DDP77" s="223">
        <f xml:space="preserve"> InputsTS!DDP$184</f>
        <v>0</v>
      </c>
      <c r="DDQ77" s="223">
        <f xml:space="preserve"> InputsTS!DDQ$184</f>
        <v>0</v>
      </c>
      <c r="DDR77" s="223">
        <f xml:space="preserve"> InputsTS!DDR$184</f>
        <v>0</v>
      </c>
      <c r="DDS77" s="223">
        <f xml:space="preserve"> InputsTS!DDS$184</f>
        <v>0</v>
      </c>
      <c r="DDT77" s="223">
        <f xml:space="preserve"> InputsTS!DDT$184</f>
        <v>0</v>
      </c>
      <c r="DDU77" s="223">
        <f xml:space="preserve"> InputsTS!DDU$184</f>
        <v>0</v>
      </c>
      <c r="DDV77" s="223">
        <f xml:space="preserve"> InputsTS!DDV$184</f>
        <v>0</v>
      </c>
      <c r="DDW77" s="223">
        <f xml:space="preserve"> InputsTS!DDW$184</f>
        <v>0</v>
      </c>
      <c r="DDX77" s="223">
        <f xml:space="preserve"> InputsTS!DDX$184</f>
        <v>0</v>
      </c>
      <c r="DDY77" s="223">
        <f xml:space="preserve"> InputsTS!DDY$184</f>
        <v>0</v>
      </c>
      <c r="DDZ77" s="223">
        <f xml:space="preserve"> InputsTS!DDZ$184</f>
        <v>0</v>
      </c>
      <c r="DEA77" s="223">
        <f xml:space="preserve"> InputsTS!DEA$184</f>
        <v>0</v>
      </c>
      <c r="DEB77" s="223">
        <f xml:space="preserve"> InputsTS!DEB$184</f>
        <v>0</v>
      </c>
      <c r="DEC77" s="223">
        <f xml:space="preserve"> InputsTS!DEC$184</f>
        <v>0</v>
      </c>
      <c r="DED77" s="223">
        <f xml:space="preserve"> InputsTS!DED$184</f>
        <v>0</v>
      </c>
      <c r="DEE77" s="223">
        <f xml:space="preserve"> InputsTS!DEE$184</f>
        <v>0</v>
      </c>
      <c r="DEF77" s="223">
        <f xml:space="preserve"> InputsTS!DEF$184</f>
        <v>0</v>
      </c>
      <c r="DEG77" s="223">
        <f xml:space="preserve"> InputsTS!DEG$184</f>
        <v>0</v>
      </c>
      <c r="DEH77" s="223">
        <f xml:space="preserve"> InputsTS!DEH$184</f>
        <v>0</v>
      </c>
      <c r="DEI77" s="223">
        <f xml:space="preserve"> InputsTS!DEI$184</f>
        <v>0</v>
      </c>
      <c r="DEJ77" s="223">
        <f xml:space="preserve"> InputsTS!DEJ$184</f>
        <v>0</v>
      </c>
      <c r="DEK77" s="223">
        <f xml:space="preserve"> InputsTS!DEK$184</f>
        <v>0</v>
      </c>
      <c r="DEL77" s="223">
        <f xml:space="preserve"> InputsTS!DEL$184</f>
        <v>0</v>
      </c>
      <c r="DEM77" s="223">
        <f xml:space="preserve"> InputsTS!DEM$184</f>
        <v>0</v>
      </c>
      <c r="DEN77" s="223">
        <f xml:space="preserve"> InputsTS!DEN$184</f>
        <v>0</v>
      </c>
      <c r="DEO77" s="223">
        <f xml:space="preserve"> InputsTS!DEO$184</f>
        <v>0</v>
      </c>
      <c r="DEP77" s="223">
        <f xml:space="preserve"> InputsTS!DEP$184</f>
        <v>0</v>
      </c>
      <c r="DEQ77" s="223">
        <f xml:space="preserve"> InputsTS!DEQ$184</f>
        <v>0</v>
      </c>
      <c r="DER77" s="223">
        <f xml:space="preserve"> InputsTS!DER$184</f>
        <v>0</v>
      </c>
      <c r="DES77" s="223">
        <f xml:space="preserve"> InputsTS!DES$184</f>
        <v>0</v>
      </c>
      <c r="DET77" s="223">
        <f xml:space="preserve"> InputsTS!DET$184</f>
        <v>0</v>
      </c>
      <c r="DEU77" s="223">
        <f xml:space="preserve"> InputsTS!DEU$184</f>
        <v>0</v>
      </c>
      <c r="DEV77" s="223">
        <f xml:space="preserve"> InputsTS!DEV$184</f>
        <v>0</v>
      </c>
      <c r="DEW77" s="223">
        <f xml:space="preserve"> InputsTS!DEW$184</f>
        <v>0</v>
      </c>
      <c r="DEX77" s="223">
        <f xml:space="preserve"> InputsTS!DEX$184</f>
        <v>0</v>
      </c>
      <c r="DEY77" s="223">
        <f xml:space="preserve"> InputsTS!DEY$184</f>
        <v>0</v>
      </c>
      <c r="DEZ77" s="223">
        <f xml:space="preserve"> InputsTS!DEZ$184</f>
        <v>0</v>
      </c>
      <c r="DFA77" s="223">
        <f xml:space="preserve"> InputsTS!DFA$184</f>
        <v>0</v>
      </c>
      <c r="DFB77" s="223">
        <f xml:space="preserve"> InputsTS!DFB$184</f>
        <v>0</v>
      </c>
      <c r="DFC77" s="223">
        <f xml:space="preserve"> InputsTS!DFC$184</f>
        <v>0</v>
      </c>
      <c r="DFD77" s="223">
        <f xml:space="preserve"> InputsTS!DFD$184</f>
        <v>0</v>
      </c>
      <c r="DFE77" s="223">
        <f xml:space="preserve"> InputsTS!DFE$184</f>
        <v>0</v>
      </c>
      <c r="DFF77" s="223">
        <f xml:space="preserve"> InputsTS!DFF$184</f>
        <v>0</v>
      </c>
      <c r="DFG77" s="223">
        <f xml:space="preserve"> InputsTS!DFG$184</f>
        <v>0</v>
      </c>
      <c r="DFH77" s="223">
        <f xml:space="preserve"> InputsTS!DFH$184</f>
        <v>0</v>
      </c>
      <c r="DFI77" s="223">
        <f xml:space="preserve"> InputsTS!DFI$184</f>
        <v>0</v>
      </c>
      <c r="DFJ77" s="223">
        <f xml:space="preserve"> InputsTS!DFJ$184</f>
        <v>0</v>
      </c>
      <c r="DFK77" s="223">
        <f xml:space="preserve"> InputsTS!DFK$184</f>
        <v>0</v>
      </c>
      <c r="DFL77" s="223">
        <f xml:space="preserve"> InputsTS!DFL$184</f>
        <v>0</v>
      </c>
      <c r="DFM77" s="223">
        <f xml:space="preserve"> InputsTS!DFM$184</f>
        <v>0</v>
      </c>
      <c r="DFN77" s="223">
        <f xml:space="preserve"> InputsTS!DFN$184</f>
        <v>0</v>
      </c>
      <c r="DFO77" s="223">
        <f xml:space="preserve"> InputsTS!DFO$184</f>
        <v>0</v>
      </c>
      <c r="DFP77" s="223">
        <f xml:space="preserve"> InputsTS!DFP$184</f>
        <v>0</v>
      </c>
      <c r="DFQ77" s="223">
        <f xml:space="preserve"> InputsTS!DFQ$184</f>
        <v>0</v>
      </c>
      <c r="DFR77" s="223">
        <f xml:space="preserve"> InputsTS!DFR$184</f>
        <v>0</v>
      </c>
      <c r="DFS77" s="223">
        <f xml:space="preserve"> InputsTS!DFS$184</f>
        <v>0</v>
      </c>
      <c r="DFT77" s="223">
        <f xml:space="preserve"> InputsTS!DFT$184</f>
        <v>0</v>
      </c>
      <c r="DFU77" s="223">
        <f xml:space="preserve"> InputsTS!DFU$184</f>
        <v>0</v>
      </c>
      <c r="DFV77" s="223">
        <f xml:space="preserve"> InputsTS!DFV$184</f>
        <v>0</v>
      </c>
      <c r="DFW77" s="223">
        <f xml:space="preserve"> InputsTS!DFW$184</f>
        <v>0</v>
      </c>
      <c r="DFX77" s="223">
        <f xml:space="preserve"> InputsTS!DFX$184</f>
        <v>0</v>
      </c>
      <c r="DFY77" s="223">
        <f xml:space="preserve"> InputsTS!DFY$184</f>
        <v>0</v>
      </c>
      <c r="DFZ77" s="223">
        <f xml:space="preserve"> InputsTS!DFZ$184</f>
        <v>0</v>
      </c>
      <c r="DGA77" s="223">
        <f xml:space="preserve"> InputsTS!DGA$184</f>
        <v>0</v>
      </c>
      <c r="DGB77" s="223">
        <f xml:space="preserve"> InputsTS!DGB$184</f>
        <v>0</v>
      </c>
      <c r="DGC77" s="223">
        <f xml:space="preserve"> InputsTS!DGC$184</f>
        <v>0</v>
      </c>
      <c r="DGD77" s="223">
        <f xml:space="preserve"> InputsTS!DGD$184</f>
        <v>0</v>
      </c>
      <c r="DGE77" s="223">
        <f xml:space="preserve"> InputsTS!DGE$184</f>
        <v>0</v>
      </c>
      <c r="DGF77" s="223">
        <f xml:space="preserve"> InputsTS!DGF$184</f>
        <v>0</v>
      </c>
      <c r="DGG77" s="223">
        <f xml:space="preserve"> InputsTS!DGG$184</f>
        <v>0</v>
      </c>
      <c r="DGH77" s="223">
        <f xml:space="preserve"> InputsTS!DGH$184</f>
        <v>0</v>
      </c>
      <c r="DGI77" s="223">
        <f xml:space="preserve"> InputsTS!DGI$184</f>
        <v>0</v>
      </c>
      <c r="DGJ77" s="223">
        <f xml:space="preserve"> InputsTS!DGJ$184</f>
        <v>0</v>
      </c>
      <c r="DGK77" s="223">
        <f xml:space="preserve"> InputsTS!DGK$184</f>
        <v>0</v>
      </c>
      <c r="DGL77" s="223">
        <f xml:space="preserve"> InputsTS!DGL$184</f>
        <v>0</v>
      </c>
      <c r="DGM77" s="223">
        <f xml:space="preserve"> InputsTS!DGM$184</f>
        <v>0</v>
      </c>
      <c r="DGN77" s="223">
        <f xml:space="preserve"> InputsTS!DGN$184</f>
        <v>0</v>
      </c>
      <c r="DGO77" s="223">
        <f xml:space="preserve"> InputsTS!DGO$184</f>
        <v>0</v>
      </c>
      <c r="DGP77" s="223">
        <f xml:space="preserve"> InputsTS!DGP$184</f>
        <v>0</v>
      </c>
      <c r="DGQ77" s="223">
        <f xml:space="preserve"> InputsTS!DGQ$184</f>
        <v>0</v>
      </c>
      <c r="DGR77" s="223">
        <f xml:space="preserve"> InputsTS!DGR$184</f>
        <v>0</v>
      </c>
      <c r="DGS77" s="223">
        <f xml:space="preserve"> InputsTS!DGS$184</f>
        <v>0</v>
      </c>
      <c r="DGT77" s="223">
        <f xml:space="preserve"> InputsTS!DGT$184</f>
        <v>0</v>
      </c>
      <c r="DGU77" s="223">
        <f xml:space="preserve"> InputsTS!DGU$184</f>
        <v>0</v>
      </c>
      <c r="DGV77" s="223">
        <f xml:space="preserve"> InputsTS!DGV$184</f>
        <v>0</v>
      </c>
      <c r="DGW77" s="223">
        <f xml:space="preserve"> InputsTS!DGW$184</f>
        <v>0</v>
      </c>
      <c r="DGX77" s="223">
        <f xml:space="preserve"> InputsTS!DGX$184</f>
        <v>0</v>
      </c>
      <c r="DGY77" s="223">
        <f xml:space="preserve"> InputsTS!DGY$184</f>
        <v>0</v>
      </c>
      <c r="DGZ77" s="223">
        <f xml:space="preserve"> InputsTS!DGZ$184</f>
        <v>0</v>
      </c>
      <c r="DHA77" s="223">
        <f xml:space="preserve"> InputsTS!DHA$184</f>
        <v>0</v>
      </c>
      <c r="DHB77" s="223">
        <f xml:space="preserve"> InputsTS!DHB$184</f>
        <v>0</v>
      </c>
      <c r="DHC77" s="223">
        <f xml:space="preserve"> InputsTS!DHC$184</f>
        <v>0</v>
      </c>
      <c r="DHD77" s="223">
        <f xml:space="preserve"> InputsTS!DHD$184</f>
        <v>0</v>
      </c>
      <c r="DHE77" s="223">
        <f xml:space="preserve"> InputsTS!DHE$184</f>
        <v>0</v>
      </c>
      <c r="DHF77" s="223">
        <f xml:space="preserve"> InputsTS!DHF$184</f>
        <v>0</v>
      </c>
      <c r="DHG77" s="223">
        <f xml:space="preserve"> InputsTS!DHG$184</f>
        <v>0</v>
      </c>
      <c r="DHH77" s="223">
        <f xml:space="preserve"> InputsTS!DHH$184</f>
        <v>0</v>
      </c>
      <c r="DHI77" s="223">
        <f xml:space="preserve"> InputsTS!DHI$184</f>
        <v>0</v>
      </c>
      <c r="DHJ77" s="223">
        <f xml:space="preserve"> InputsTS!DHJ$184</f>
        <v>0</v>
      </c>
      <c r="DHK77" s="223">
        <f xml:space="preserve"> InputsTS!DHK$184</f>
        <v>0</v>
      </c>
      <c r="DHL77" s="223">
        <f xml:space="preserve"> InputsTS!DHL$184</f>
        <v>0</v>
      </c>
      <c r="DHM77" s="223">
        <f xml:space="preserve"> InputsTS!DHM$184</f>
        <v>0</v>
      </c>
      <c r="DHN77" s="223">
        <f xml:space="preserve"> InputsTS!DHN$184</f>
        <v>0</v>
      </c>
      <c r="DHO77" s="223">
        <f xml:space="preserve"> InputsTS!DHO$184</f>
        <v>0</v>
      </c>
      <c r="DHP77" s="223">
        <f xml:space="preserve"> InputsTS!DHP$184</f>
        <v>0</v>
      </c>
      <c r="DHQ77" s="223">
        <f xml:space="preserve"> InputsTS!DHQ$184</f>
        <v>0</v>
      </c>
      <c r="DHR77" s="223">
        <f xml:space="preserve"> InputsTS!DHR$184</f>
        <v>0</v>
      </c>
      <c r="DHS77" s="223">
        <f xml:space="preserve"> InputsTS!DHS$184</f>
        <v>0</v>
      </c>
      <c r="DHT77" s="223">
        <f xml:space="preserve"> InputsTS!DHT$184</f>
        <v>0</v>
      </c>
      <c r="DHU77" s="223">
        <f xml:space="preserve"> InputsTS!DHU$184</f>
        <v>0</v>
      </c>
      <c r="DHV77" s="223">
        <f xml:space="preserve"> InputsTS!DHV$184</f>
        <v>0</v>
      </c>
      <c r="DHW77" s="223">
        <f xml:space="preserve"> InputsTS!DHW$184</f>
        <v>0</v>
      </c>
      <c r="DHX77" s="223">
        <f xml:space="preserve"> InputsTS!DHX$184</f>
        <v>0</v>
      </c>
      <c r="DHY77" s="223">
        <f xml:space="preserve"> InputsTS!DHY$184</f>
        <v>0</v>
      </c>
      <c r="DHZ77" s="223">
        <f xml:space="preserve"> InputsTS!DHZ$184</f>
        <v>0</v>
      </c>
      <c r="DIA77" s="223">
        <f xml:space="preserve"> InputsTS!DIA$184</f>
        <v>0</v>
      </c>
      <c r="DIB77" s="223">
        <f xml:space="preserve"> InputsTS!DIB$184</f>
        <v>0</v>
      </c>
      <c r="DIC77" s="223">
        <f xml:space="preserve"> InputsTS!DIC$184</f>
        <v>0</v>
      </c>
      <c r="DID77" s="223">
        <f xml:space="preserve"> InputsTS!DID$184</f>
        <v>0</v>
      </c>
      <c r="DIE77" s="223">
        <f xml:space="preserve"> InputsTS!DIE$184</f>
        <v>0</v>
      </c>
      <c r="DIF77" s="223">
        <f xml:space="preserve"> InputsTS!DIF$184</f>
        <v>0</v>
      </c>
      <c r="DIG77" s="223">
        <f xml:space="preserve"> InputsTS!DIG$184</f>
        <v>0</v>
      </c>
      <c r="DIH77" s="223">
        <f xml:space="preserve"> InputsTS!DIH$184</f>
        <v>0</v>
      </c>
      <c r="DII77" s="223">
        <f xml:space="preserve"> InputsTS!DII$184</f>
        <v>0</v>
      </c>
      <c r="DIJ77" s="223">
        <f xml:space="preserve"> InputsTS!DIJ$184</f>
        <v>0</v>
      </c>
      <c r="DIK77" s="223">
        <f xml:space="preserve"> InputsTS!DIK$184</f>
        <v>0</v>
      </c>
      <c r="DIL77" s="223">
        <f xml:space="preserve"> InputsTS!DIL$184</f>
        <v>0</v>
      </c>
      <c r="DIM77" s="223">
        <f xml:space="preserve"> InputsTS!DIM$184</f>
        <v>0</v>
      </c>
      <c r="DIN77" s="223">
        <f xml:space="preserve"> InputsTS!DIN$184</f>
        <v>0</v>
      </c>
      <c r="DIO77" s="223">
        <f xml:space="preserve"> InputsTS!DIO$184</f>
        <v>0</v>
      </c>
      <c r="DIP77" s="223">
        <f xml:space="preserve"> InputsTS!DIP$184</f>
        <v>0</v>
      </c>
      <c r="DIQ77" s="223">
        <f xml:space="preserve"> InputsTS!DIQ$184</f>
        <v>0</v>
      </c>
      <c r="DIR77" s="223">
        <f xml:space="preserve"> InputsTS!DIR$184</f>
        <v>0</v>
      </c>
      <c r="DIS77" s="223">
        <f xml:space="preserve"> InputsTS!DIS$184</f>
        <v>0</v>
      </c>
      <c r="DIT77" s="223">
        <f xml:space="preserve"> InputsTS!DIT$184</f>
        <v>0</v>
      </c>
      <c r="DIU77" s="223">
        <f xml:space="preserve"> InputsTS!DIU$184</f>
        <v>0</v>
      </c>
      <c r="DIV77" s="223">
        <f xml:space="preserve"> InputsTS!DIV$184</f>
        <v>0</v>
      </c>
      <c r="DIW77" s="223">
        <f xml:space="preserve"> InputsTS!DIW$184</f>
        <v>0</v>
      </c>
      <c r="DIX77" s="223">
        <f xml:space="preserve"> InputsTS!DIX$184</f>
        <v>0</v>
      </c>
      <c r="DIY77" s="223">
        <f xml:space="preserve"> InputsTS!DIY$184</f>
        <v>0</v>
      </c>
      <c r="DIZ77" s="223">
        <f xml:space="preserve"> InputsTS!DIZ$184</f>
        <v>0</v>
      </c>
      <c r="DJA77" s="223">
        <f xml:space="preserve"> InputsTS!DJA$184</f>
        <v>0</v>
      </c>
      <c r="DJB77" s="223">
        <f xml:space="preserve"> InputsTS!DJB$184</f>
        <v>0</v>
      </c>
      <c r="DJC77" s="223">
        <f xml:space="preserve"> InputsTS!DJC$184</f>
        <v>0</v>
      </c>
      <c r="DJD77" s="223">
        <f xml:space="preserve"> InputsTS!DJD$184</f>
        <v>0</v>
      </c>
      <c r="DJE77" s="223">
        <f xml:space="preserve"> InputsTS!DJE$184</f>
        <v>0</v>
      </c>
      <c r="DJF77" s="223">
        <f xml:space="preserve"> InputsTS!DJF$184</f>
        <v>0</v>
      </c>
      <c r="DJG77" s="223">
        <f xml:space="preserve"> InputsTS!DJG$184</f>
        <v>0</v>
      </c>
      <c r="DJH77" s="223">
        <f xml:space="preserve"> InputsTS!DJH$184</f>
        <v>0</v>
      </c>
      <c r="DJI77" s="223">
        <f xml:space="preserve"> InputsTS!DJI$184</f>
        <v>0</v>
      </c>
      <c r="DJJ77" s="223">
        <f xml:space="preserve"> InputsTS!DJJ$184</f>
        <v>0</v>
      </c>
      <c r="DJK77" s="223">
        <f xml:space="preserve"> InputsTS!DJK$184</f>
        <v>0</v>
      </c>
      <c r="DJL77" s="223">
        <f xml:space="preserve"> InputsTS!DJL$184</f>
        <v>0</v>
      </c>
      <c r="DJM77" s="223">
        <f xml:space="preserve"> InputsTS!DJM$184</f>
        <v>0</v>
      </c>
      <c r="DJN77" s="223">
        <f xml:space="preserve"> InputsTS!DJN$184</f>
        <v>0</v>
      </c>
      <c r="DJO77" s="223">
        <f xml:space="preserve"> InputsTS!DJO$184</f>
        <v>0</v>
      </c>
      <c r="DJP77" s="223">
        <f xml:space="preserve"> InputsTS!DJP$184</f>
        <v>0</v>
      </c>
      <c r="DJQ77" s="223">
        <f xml:space="preserve"> InputsTS!DJQ$184</f>
        <v>0</v>
      </c>
      <c r="DJR77" s="223">
        <f xml:space="preserve"> InputsTS!DJR$184</f>
        <v>0</v>
      </c>
      <c r="DJS77" s="223">
        <f xml:space="preserve"> InputsTS!DJS$184</f>
        <v>0</v>
      </c>
      <c r="DJT77" s="223">
        <f xml:space="preserve"> InputsTS!DJT$184</f>
        <v>0</v>
      </c>
      <c r="DJU77" s="223">
        <f xml:space="preserve"> InputsTS!DJU$184</f>
        <v>0</v>
      </c>
      <c r="DJV77" s="223">
        <f xml:space="preserve"> InputsTS!DJV$184</f>
        <v>0</v>
      </c>
      <c r="DJW77" s="223">
        <f xml:space="preserve"> InputsTS!DJW$184</f>
        <v>0</v>
      </c>
      <c r="DJX77" s="223">
        <f xml:space="preserve"> InputsTS!DJX$184</f>
        <v>0</v>
      </c>
      <c r="DJY77" s="223">
        <f xml:space="preserve"> InputsTS!DJY$184</f>
        <v>0</v>
      </c>
      <c r="DJZ77" s="223">
        <f xml:space="preserve"> InputsTS!DJZ$184</f>
        <v>0</v>
      </c>
      <c r="DKA77" s="223">
        <f xml:space="preserve"> InputsTS!DKA$184</f>
        <v>0</v>
      </c>
      <c r="DKB77" s="223">
        <f xml:space="preserve"> InputsTS!DKB$184</f>
        <v>0</v>
      </c>
      <c r="DKC77" s="223">
        <f xml:space="preserve"> InputsTS!DKC$184</f>
        <v>0</v>
      </c>
      <c r="DKD77" s="223">
        <f xml:space="preserve"> InputsTS!DKD$184</f>
        <v>0</v>
      </c>
      <c r="DKE77" s="223">
        <f xml:space="preserve"> InputsTS!DKE$184</f>
        <v>0</v>
      </c>
      <c r="DKF77" s="223">
        <f xml:space="preserve"> InputsTS!DKF$184</f>
        <v>0</v>
      </c>
      <c r="DKG77" s="223">
        <f xml:space="preserve"> InputsTS!DKG$184</f>
        <v>0</v>
      </c>
      <c r="DKH77" s="223">
        <f xml:space="preserve"> InputsTS!DKH$184</f>
        <v>0</v>
      </c>
      <c r="DKI77" s="223">
        <f xml:space="preserve"> InputsTS!DKI$184</f>
        <v>0</v>
      </c>
      <c r="DKJ77" s="223">
        <f xml:space="preserve"> InputsTS!DKJ$184</f>
        <v>0</v>
      </c>
      <c r="DKK77" s="223">
        <f xml:space="preserve"> InputsTS!DKK$184</f>
        <v>0</v>
      </c>
      <c r="DKL77" s="223">
        <f xml:space="preserve"> InputsTS!DKL$184</f>
        <v>0</v>
      </c>
      <c r="DKM77" s="223">
        <f xml:space="preserve"> InputsTS!DKM$184</f>
        <v>0</v>
      </c>
      <c r="DKN77" s="223">
        <f xml:space="preserve"> InputsTS!DKN$184</f>
        <v>0</v>
      </c>
      <c r="DKO77" s="223">
        <f xml:space="preserve"> InputsTS!DKO$184</f>
        <v>0</v>
      </c>
      <c r="DKP77" s="223">
        <f xml:space="preserve"> InputsTS!DKP$184</f>
        <v>0</v>
      </c>
      <c r="DKQ77" s="223">
        <f xml:space="preserve"> InputsTS!DKQ$184</f>
        <v>0</v>
      </c>
      <c r="DKR77" s="223">
        <f xml:space="preserve"> InputsTS!DKR$184</f>
        <v>0</v>
      </c>
      <c r="DKS77" s="223">
        <f xml:space="preserve"> InputsTS!DKS$184</f>
        <v>0</v>
      </c>
      <c r="DKT77" s="223">
        <f xml:space="preserve"> InputsTS!DKT$184</f>
        <v>0</v>
      </c>
      <c r="DKU77" s="223">
        <f xml:space="preserve"> InputsTS!DKU$184</f>
        <v>0</v>
      </c>
      <c r="DKV77" s="223">
        <f xml:space="preserve"> InputsTS!DKV$184</f>
        <v>0</v>
      </c>
      <c r="DKW77" s="223">
        <f xml:space="preserve"> InputsTS!DKW$184</f>
        <v>0</v>
      </c>
      <c r="DKX77" s="223">
        <f xml:space="preserve"> InputsTS!DKX$184</f>
        <v>0</v>
      </c>
      <c r="DKY77" s="223">
        <f xml:space="preserve"> InputsTS!DKY$184</f>
        <v>0</v>
      </c>
      <c r="DKZ77" s="223">
        <f xml:space="preserve"> InputsTS!DKZ$184</f>
        <v>0</v>
      </c>
      <c r="DLA77" s="223">
        <f xml:space="preserve"> InputsTS!DLA$184</f>
        <v>0</v>
      </c>
      <c r="DLB77" s="223">
        <f xml:space="preserve"> InputsTS!DLB$184</f>
        <v>0</v>
      </c>
      <c r="DLC77" s="223">
        <f xml:space="preserve"> InputsTS!DLC$184</f>
        <v>0</v>
      </c>
      <c r="DLD77" s="223">
        <f xml:space="preserve"> InputsTS!DLD$184</f>
        <v>0</v>
      </c>
      <c r="DLE77" s="223">
        <f xml:space="preserve"> InputsTS!DLE$184</f>
        <v>0</v>
      </c>
      <c r="DLF77" s="223">
        <f xml:space="preserve"> InputsTS!DLF$184</f>
        <v>0</v>
      </c>
      <c r="DLG77" s="223">
        <f xml:space="preserve"> InputsTS!DLG$184</f>
        <v>0</v>
      </c>
      <c r="DLH77" s="223">
        <f xml:space="preserve"> InputsTS!DLH$184</f>
        <v>0</v>
      </c>
      <c r="DLI77" s="223">
        <f xml:space="preserve"> InputsTS!DLI$184</f>
        <v>0</v>
      </c>
      <c r="DLJ77" s="223">
        <f xml:space="preserve"> InputsTS!DLJ$184</f>
        <v>0</v>
      </c>
      <c r="DLK77" s="223">
        <f xml:space="preserve"> InputsTS!DLK$184</f>
        <v>0</v>
      </c>
      <c r="DLL77" s="223">
        <f xml:space="preserve"> InputsTS!DLL$184</f>
        <v>0</v>
      </c>
      <c r="DLM77" s="223">
        <f xml:space="preserve"> InputsTS!DLM$184</f>
        <v>0</v>
      </c>
      <c r="DLN77" s="223">
        <f xml:space="preserve"> InputsTS!DLN$184</f>
        <v>0</v>
      </c>
      <c r="DLO77" s="223">
        <f xml:space="preserve"> InputsTS!DLO$184</f>
        <v>0</v>
      </c>
      <c r="DLP77" s="223">
        <f xml:space="preserve"> InputsTS!DLP$184</f>
        <v>0</v>
      </c>
      <c r="DLQ77" s="223">
        <f xml:space="preserve"> InputsTS!DLQ$184</f>
        <v>0</v>
      </c>
      <c r="DLR77" s="223">
        <f xml:space="preserve"> InputsTS!DLR$184</f>
        <v>0</v>
      </c>
      <c r="DLS77" s="223">
        <f xml:space="preserve"> InputsTS!DLS$184</f>
        <v>0</v>
      </c>
      <c r="DLT77" s="223">
        <f xml:space="preserve"> InputsTS!DLT$184</f>
        <v>0</v>
      </c>
      <c r="DLU77" s="223">
        <f xml:space="preserve"> InputsTS!DLU$184</f>
        <v>0</v>
      </c>
      <c r="DLV77" s="223">
        <f xml:space="preserve"> InputsTS!DLV$184</f>
        <v>0</v>
      </c>
      <c r="DLW77" s="223">
        <f xml:space="preserve"> InputsTS!DLW$184</f>
        <v>0</v>
      </c>
      <c r="DLX77" s="223">
        <f xml:space="preserve"> InputsTS!DLX$184</f>
        <v>0</v>
      </c>
      <c r="DLY77" s="223">
        <f xml:space="preserve"> InputsTS!DLY$184</f>
        <v>0</v>
      </c>
      <c r="DLZ77" s="223">
        <f xml:space="preserve"> InputsTS!DLZ$184</f>
        <v>0</v>
      </c>
      <c r="DMA77" s="223">
        <f xml:space="preserve"> InputsTS!DMA$184</f>
        <v>0</v>
      </c>
      <c r="DMB77" s="223">
        <f xml:space="preserve"> InputsTS!DMB$184</f>
        <v>0</v>
      </c>
      <c r="DMC77" s="223">
        <f xml:space="preserve"> InputsTS!DMC$184</f>
        <v>0</v>
      </c>
      <c r="DMD77" s="223">
        <f xml:space="preserve"> InputsTS!DMD$184</f>
        <v>0</v>
      </c>
      <c r="DME77" s="223">
        <f xml:space="preserve"> InputsTS!DME$184</f>
        <v>0</v>
      </c>
      <c r="DMF77" s="223">
        <f xml:space="preserve"> InputsTS!DMF$184</f>
        <v>0</v>
      </c>
      <c r="DMG77" s="223">
        <f xml:space="preserve"> InputsTS!DMG$184</f>
        <v>0</v>
      </c>
      <c r="DMH77" s="223">
        <f xml:space="preserve"> InputsTS!DMH$184</f>
        <v>0</v>
      </c>
      <c r="DMI77" s="223">
        <f xml:space="preserve"> InputsTS!DMI$184</f>
        <v>0</v>
      </c>
      <c r="DMJ77" s="223">
        <f xml:space="preserve"> InputsTS!DMJ$184</f>
        <v>0</v>
      </c>
      <c r="DMK77" s="223">
        <f xml:space="preserve"> InputsTS!DMK$184</f>
        <v>0</v>
      </c>
      <c r="DML77" s="223">
        <f xml:space="preserve"> InputsTS!DML$184</f>
        <v>0</v>
      </c>
      <c r="DMM77" s="223">
        <f xml:space="preserve"> InputsTS!DMM$184</f>
        <v>0</v>
      </c>
      <c r="DMN77" s="223">
        <f xml:space="preserve"> InputsTS!DMN$184</f>
        <v>0</v>
      </c>
      <c r="DMO77" s="223">
        <f xml:space="preserve"> InputsTS!DMO$184</f>
        <v>0</v>
      </c>
      <c r="DMP77" s="223">
        <f xml:space="preserve"> InputsTS!DMP$184</f>
        <v>0</v>
      </c>
      <c r="DMQ77" s="223">
        <f xml:space="preserve"> InputsTS!DMQ$184</f>
        <v>0</v>
      </c>
      <c r="DMR77" s="223">
        <f xml:space="preserve"> InputsTS!DMR$184</f>
        <v>0</v>
      </c>
      <c r="DMS77" s="223">
        <f xml:space="preserve"> InputsTS!DMS$184</f>
        <v>0</v>
      </c>
      <c r="DMT77" s="223">
        <f xml:space="preserve"> InputsTS!DMT$184</f>
        <v>0</v>
      </c>
      <c r="DMU77" s="223">
        <f xml:space="preserve"> InputsTS!DMU$184</f>
        <v>0</v>
      </c>
      <c r="DMV77" s="223">
        <f xml:space="preserve"> InputsTS!DMV$184</f>
        <v>0</v>
      </c>
      <c r="DMW77" s="223">
        <f xml:space="preserve"> InputsTS!DMW$184</f>
        <v>0</v>
      </c>
      <c r="DMX77" s="223">
        <f xml:space="preserve"> InputsTS!DMX$184</f>
        <v>0</v>
      </c>
      <c r="DMY77" s="223">
        <f xml:space="preserve"> InputsTS!DMY$184</f>
        <v>0</v>
      </c>
      <c r="DMZ77" s="223">
        <f xml:space="preserve"> InputsTS!DMZ$184</f>
        <v>0</v>
      </c>
      <c r="DNA77" s="223">
        <f xml:space="preserve"> InputsTS!DNA$184</f>
        <v>0</v>
      </c>
      <c r="DNB77" s="223">
        <f xml:space="preserve"> InputsTS!DNB$184</f>
        <v>0</v>
      </c>
      <c r="DNC77" s="223">
        <f xml:space="preserve"> InputsTS!DNC$184</f>
        <v>0</v>
      </c>
      <c r="DND77" s="223">
        <f xml:space="preserve"> InputsTS!DND$184</f>
        <v>0</v>
      </c>
      <c r="DNE77" s="223">
        <f xml:space="preserve"> InputsTS!DNE$184</f>
        <v>0</v>
      </c>
      <c r="DNF77" s="223">
        <f xml:space="preserve"> InputsTS!DNF$184</f>
        <v>0</v>
      </c>
      <c r="DNG77" s="223">
        <f xml:space="preserve"> InputsTS!DNG$184</f>
        <v>0</v>
      </c>
      <c r="DNH77" s="223">
        <f xml:space="preserve"> InputsTS!DNH$184</f>
        <v>0</v>
      </c>
      <c r="DNI77" s="223">
        <f xml:space="preserve"> InputsTS!DNI$184</f>
        <v>0</v>
      </c>
      <c r="DNJ77" s="223">
        <f xml:space="preserve"> InputsTS!DNJ$184</f>
        <v>0</v>
      </c>
      <c r="DNK77" s="223">
        <f xml:space="preserve"> InputsTS!DNK$184</f>
        <v>0</v>
      </c>
      <c r="DNL77" s="223">
        <f xml:space="preserve"> InputsTS!DNL$184</f>
        <v>0</v>
      </c>
      <c r="DNM77" s="223">
        <f xml:space="preserve"> InputsTS!DNM$184</f>
        <v>0</v>
      </c>
      <c r="DNN77" s="223">
        <f xml:space="preserve"> InputsTS!DNN$184</f>
        <v>0</v>
      </c>
      <c r="DNO77" s="223">
        <f xml:space="preserve"> InputsTS!DNO$184</f>
        <v>0</v>
      </c>
      <c r="DNP77" s="223">
        <f xml:space="preserve"> InputsTS!DNP$184</f>
        <v>0</v>
      </c>
      <c r="DNQ77" s="223">
        <f xml:space="preserve"> InputsTS!DNQ$184</f>
        <v>0</v>
      </c>
      <c r="DNR77" s="223">
        <f xml:space="preserve"> InputsTS!DNR$184</f>
        <v>0</v>
      </c>
      <c r="DNS77" s="223">
        <f xml:space="preserve"> InputsTS!DNS$184</f>
        <v>0</v>
      </c>
      <c r="DNT77" s="223">
        <f xml:space="preserve"> InputsTS!DNT$184</f>
        <v>0</v>
      </c>
      <c r="DNU77" s="223">
        <f xml:space="preserve"> InputsTS!DNU$184</f>
        <v>0</v>
      </c>
      <c r="DNV77" s="223">
        <f xml:space="preserve"> InputsTS!DNV$184</f>
        <v>0</v>
      </c>
      <c r="DNW77" s="223">
        <f xml:space="preserve"> InputsTS!DNW$184</f>
        <v>0</v>
      </c>
      <c r="DNX77" s="223">
        <f xml:space="preserve"> InputsTS!DNX$184</f>
        <v>0</v>
      </c>
      <c r="DNY77" s="223">
        <f xml:space="preserve"> InputsTS!DNY$184</f>
        <v>0</v>
      </c>
      <c r="DNZ77" s="223">
        <f xml:space="preserve"> InputsTS!DNZ$184</f>
        <v>0</v>
      </c>
      <c r="DOA77" s="223">
        <f xml:space="preserve"> InputsTS!DOA$184</f>
        <v>0</v>
      </c>
      <c r="DOB77" s="223">
        <f xml:space="preserve"> InputsTS!DOB$184</f>
        <v>0</v>
      </c>
      <c r="DOC77" s="223">
        <f xml:space="preserve"> InputsTS!DOC$184</f>
        <v>0</v>
      </c>
      <c r="DOD77" s="223">
        <f xml:space="preserve"> InputsTS!DOD$184</f>
        <v>0</v>
      </c>
      <c r="DOE77" s="223">
        <f xml:space="preserve"> InputsTS!DOE$184</f>
        <v>0</v>
      </c>
      <c r="DOF77" s="223">
        <f xml:space="preserve"> InputsTS!DOF$184</f>
        <v>0</v>
      </c>
      <c r="DOG77" s="223">
        <f xml:space="preserve"> InputsTS!DOG$184</f>
        <v>0</v>
      </c>
      <c r="DOH77" s="223">
        <f xml:space="preserve"> InputsTS!DOH$184</f>
        <v>0</v>
      </c>
      <c r="DOI77" s="223">
        <f xml:space="preserve"> InputsTS!DOI$184</f>
        <v>0</v>
      </c>
      <c r="DOJ77" s="223">
        <f xml:space="preserve"> InputsTS!DOJ$184</f>
        <v>0</v>
      </c>
      <c r="DOK77" s="223">
        <f xml:space="preserve"> InputsTS!DOK$184</f>
        <v>0</v>
      </c>
      <c r="DOL77" s="223">
        <f xml:space="preserve"> InputsTS!DOL$184</f>
        <v>0</v>
      </c>
      <c r="DOM77" s="223">
        <f xml:space="preserve"> InputsTS!DOM$184</f>
        <v>0</v>
      </c>
      <c r="DON77" s="223">
        <f xml:space="preserve"> InputsTS!DON$184</f>
        <v>0</v>
      </c>
      <c r="DOO77" s="223">
        <f xml:space="preserve"> InputsTS!DOO$184</f>
        <v>0</v>
      </c>
      <c r="DOP77" s="223">
        <f xml:space="preserve"> InputsTS!DOP$184</f>
        <v>0</v>
      </c>
      <c r="DOQ77" s="223">
        <f xml:space="preserve"> InputsTS!DOQ$184</f>
        <v>0</v>
      </c>
      <c r="DOR77" s="223">
        <f xml:space="preserve"> InputsTS!DOR$184</f>
        <v>0</v>
      </c>
      <c r="DOS77" s="223">
        <f xml:space="preserve"> InputsTS!DOS$184</f>
        <v>0</v>
      </c>
      <c r="DOT77" s="223">
        <f xml:space="preserve"> InputsTS!DOT$184</f>
        <v>0</v>
      </c>
      <c r="DOU77" s="223">
        <f xml:space="preserve"> InputsTS!DOU$184</f>
        <v>0</v>
      </c>
      <c r="DOV77" s="223">
        <f xml:space="preserve"> InputsTS!DOV$184</f>
        <v>0</v>
      </c>
      <c r="DOW77" s="223">
        <f xml:space="preserve"> InputsTS!DOW$184</f>
        <v>0</v>
      </c>
      <c r="DOX77" s="223">
        <f xml:space="preserve"> InputsTS!DOX$184</f>
        <v>0</v>
      </c>
      <c r="DOY77" s="223">
        <f xml:space="preserve"> InputsTS!DOY$184</f>
        <v>0</v>
      </c>
      <c r="DOZ77" s="223">
        <f xml:space="preserve"> InputsTS!DOZ$184</f>
        <v>0</v>
      </c>
      <c r="DPA77" s="223">
        <f xml:space="preserve"> InputsTS!DPA$184</f>
        <v>0</v>
      </c>
      <c r="DPB77" s="223">
        <f xml:space="preserve"> InputsTS!DPB$184</f>
        <v>0</v>
      </c>
      <c r="DPC77" s="223">
        <f xml:space="preserve"> InputsTS!DPC$184</f>
        <v>0</v>
      </c>
      <c r="DPD77" s="223">
        <f xml:space="preserve"> InputsTS!DPD$184</f>
        <v>0</v>
      </c>
      <c r="DPE77" s="223">
        <f xml:space="preserve"> InputsTS!DPE$184</f>
        <v>0</v>
      </c>
      <c r="DPF77" s="223">
        <f xml:space="preserve"> InputsTS!DPF$184</f>
        <v>0</v>
      </c>
      <c r="DPG77" s="223">
        <f xml:space="preserve"> InputsTS!DPG$184</f>
        <v>0</v>
      </c>
      <c r="DPH77" s="223">
        <f xml:space="preserve"> InputsTS!DPH$184</f>
        <v>0</v>
      </c>
      <c r="DPI77" s="223">
        <f xml:space="preserve"> InputsTS!DPI$184</f>
        <v>0</v>
      </c>
      <c r="DPJ77" s="223">
        <f xml:space="preserve"> InputsTS!DPJ$184</f>
        <v>0</v>
      </c>
      <c r="DPK77" s="223">
        <f xml:space="preserve"> InputsTS!DPK$184</f>
        <v>0</v>
      </c>
      <c r="DPL77" s="223">
        <f xml:space="preserve"> InputsTS!DPL$184</f>
        <v>0</v>
      </c>
      <c r="DPM77" s="223">
        <f xml:space="preserve"> InputsTS!DPM$184</f>
        <v>0</v>
      </c>
      <c r="DPN77" s="223">
        <f xml:space="preserve"> InputsTS!DPN$184</f>
        <v>0</v>
      </c>
      <c r="DPO77" s="223">
        <f xml:space="preserve"> InputsTS!DPO$184</f>
        <v>0</v>
      </c>
      <c r="DPP77" s="223">
        <f xml:space="preserve"> InputsTS!DPP$184</f>
        <v>0</v>
      </c>
      <c r="DPQ77" s="223">
        <f xml:space="preserve"> InputsTS!DPQ$184</f>
        <v>0</v>
      </c>
      <c r="DPR77" s="223">
        <f xml:space="preserve"> InputsTS!DPR$184</f>
        <v>0</v>
      </c>
      <c r="DPS77" s="223">
        <f xml:space="preserve"> InputsTS!DPS$184</f>
        <v>0</v>
      </c>
      <c r="DPT77" s="223">
        <f xml:space="preserve"> InputsTS!DPT$184</f>
        <v>0</v>
      </c>
      <c r="DPU77" s="223">
        <f xml:space="preserve"> InputsTS!DPU$184</f>
        <v>0</v>
      </c>
      <c r="DPV77" s="223">
        <f xml:space="preserve"> InputsTS!DPV$184</f>
        <v>0</v>
      </c>
      <c r="DPW77" s="223">
        <f xml:space="preserve"> InputsTS!DPW$184</f>
        <v>0</v>
      </c>
      <c r="DPX77" s="223">
        <f xml:space="preserve"> InputsTS!DPX$184</f>
        <v>0</v>
      </c>
      <c r="DPY77" s="223">
        <f xml:space="preserve"> InputsTS!DPY$184</f>
        <v>0</v>
      </c>
      <c r="DPZ77" s="223">
        <f xml:space="preserve"> InputsTS!DPZ$184</f>
        <v>0</v>
      </c>
      <c r="DQA77" s="223">
        <f xml:space="preserve"> InputsTS!DQA$184</f>
        <v>0</v>
      </c>
      <c r="DQB77" s="223">
        <f xml:space="preserve"> InputsTS!DQB$184</f>
        <v>0</v>
      </c>
      <c r="DQC77" s="223">
        <f xml:space="preserve"> InputsTS!DQC$184</f>
        <v>0</v>
      </c>
      <c r="DQD77" s="223">
        <f xml:space="preserve"> InputsTS!DQD$184</f>
        <v>0</v>
      </c>
      <c r="DQE77" s="223">
        <f xml:space="preserve"> InputsTS!DQE$184</f>
        <v>0</v>
      </c>
      <c r="DQF77" s="223">
        <f xml:space="preserve"> InputsTS!DQF$184</f>
        <v>0</v>
      </c>
      <c r="DQG77" s="223">
        <f xml:space="preserve"> InputsTS!DQG$184</f>
        <v>0</v>
      </c>
      <c r="DQH77" s="223">
        <f xml:space="preserve"> InputsTS!DQH$184</f>
        <v>0</v>
      </c>
      <c r="DQI77" s="223">
        <f xml:space="preserve"> InputsTS!DQI$184</f>
        <v>0</v>
      </c>
      <c r="DQJ77" s="223">
        <f xml:space="preserve"> InputsTS!DQJ$184</f>
        <v>0</v>
      </c>
      <c r="DQK77" s="223">
        <f xml:space="preserve"> InputsTS!DQK$184</f>
        <v>0</v>
      </c>
      <c r="DQL77" s="223">
        <f xml:space="preserve"> InputsTS!DQL$184</f>
        <v>0</v>
      </c>
      <c r="DQM77" s="223">
        <f xml:space="preserve"> InputsTS!DQM$184</f>
        <v>0</v>
      </c>
      <c r="DQN77" s="223">
        <f xml:space="preserve"> InputsTS!DQN$184</f>
        <v>0</v>
      </c>
      <c r="DQO77" s="223">
        <f xml:space="preserve"> InputsTS!DQO$184</f>
        <v>0</v>
      </c>
      <c r="DQP77" s="223">
        <f xml:space="preserve"> InputsTS!DQP$184</f>
        <v>0</v>
      </c>
      <c r="DQQ77" s="223">
        <f xml:space="preserve"> InputsTS!DQQ$184</f>
        <v>0</v>
      </c>
      <c r="DQR77" s="223">
        <f xml:space="preserve"> InputsTS!DQR$184</f>
        <v>0</v>
      </c>
      <c r="DQS77" s="223">
        <f xml:space="preserve"> InputsTS!DQS$184</f>
        <v>0</v>
      </c>
      <c r="DQT77" s="223">
        <f xml:space="preserve"> InputsTS!DQT$184</f>
        <v>0</v>
      </c>
      <c r="DQU77" s="223">
        <f xml:space="preserve"> InputsTS!DQU$184</f>
        <v>0</v>
      </c>
      <c r="DQV77" s="223">
        <f xml:space="preserve"> InputsTS!DQV$184</f>
        <v>0</v>
      </c>
      <c r="DQW77" s="223">
        <f xml:space="preserve"> InputsTS!DQW$184</f>
        <v>0</v>
      </c>
      <c r="DQX77" s="223">
        <f xml:space="preserve"> InputsTS!DQX$184</f>
        <v>0</v>
      </c>
      <c r="DQY77" s="223">
        <f xml:space="preserve"> InputsTS!DQY$184</f>
        <v>0</v>
      </c>
      <c r="DQZ77" s="223">
        <f xml:space="preserve"> InputsTS!DQZ$184</f>
        <v>0</v>
      </c>
      <c r="DRA77" s="223">
        <f xml:space="preserve"> InputsTS!DRA$184</f>
        <v>0</v>
      </c>
      <c r="DRB77" s="223">
        <f xml:space="preserve"> InputsTS!DRB$184</f>
        <v>0</v>
      </c>
      <c r="DRC77" s="223">
        <f xml:space="preserve"> InputsTS!DRC$184</f>
        <v>0</v>
      </c>
      <c r="DRD77" s="223">
        <f xml:space="preserve"> InputsTS!DRD$184</f>
        <v>0</v>
      </c>
      <c r="DRE77" s="223">
        <f xml:space="preserve"> InputsTS!DRE$184</f>
        <v>0</v>
      </c>
      <c r="DRF77" s="223">
        <f xml:space="preserve"> InputsTS!DRF$184</f>
        <v>0</v>
      </c>
      <c r="DRG77" s="223">
        <f xml:space="preserve"> InputsTS!DRG$184</f>
        <v>0</v>
      </c>
      <c r="DRH77" s="223">
        <f xml:space="preserve"> InputsTS!DRH$184</f>
        <v>0</v>
      </c>
      <c r="DRI77" s="223">
        <f xml:space="preserve"> InputsTS!DRI$184</f>
        <v>0</v>
      </c>
      <c r="DRJ77" s="223">
        <f xml:space="preserve"> InputsTS!DRJ$184</f>
        <v>0</v>
      </c>
      <c r="DRK77" s="223">
        <f xml:space="preserve"> InputsTS!DRK$184</f>
        <v>0</v>
      </c>
      <c r="DRL77" s="223">
        <f xml:space="preserve"> InputsTS!DRL$184</f>
        <v>0</v>
      </c>
      <c r="DRM77" s="223">
        <f xml:space="preserve"> InputsTS!DRM$184</f>
        <v>0</v>
      </c>
      <c r="DRN77" s="223">
        <f xml:space="preserve"> InputsTS!DRN$184</f>
        <v>0</v>
      </c>
      <c r="DRO77" s="223">
        <f xml:space="preserve"> InputsTS!DRO$184</f>
        <v>0</v>
      </c>
      <c r="DRP77" s="223">
        <f xml:space="preserve"> InputsTS!DRP$184</f>
        <v>0</v>
      </c>
      <c r="DRQ77" s="223">
        <f xml:space="preserve"> InputsTS!DRQ$184</f>
        <v>0</v>
      </c>
      <c r="DRR77" s="223">
        <f xml:space="preserve"> InputsTS!DRR$184</f>
        <v>0</v>
      </c>
      <c r="DRS77" s="223">
        <f xml:space="preserve"> InputsTS!DRS$184</f>
        <v>0</v>
      </c>
      <c r="DRT77" s="223">
        <f xml:space="preserve"> InputsTS!DRT$184</f>
        <v>0</v>
      </c>
      <c r="DRU77" s="223">
        <f xml:space="preserve"> InputsTS!DRU$184</f>
        <v>0</v>
      </c>
      <c r="DRV77" s="223">
        <f xml:space="preserve"> InputsTS!DRV$184</f>
        <v>0</v>
      </c>
      <c r="DRW77" s="223">
        <f xml:space="preserve"> InputsTS!DRW$184</f>
        <v>0</v>
      </c>
      <c r="DRX77" s="223">
        <f xml:space="preserve"> InputsTS!DRX$184</f>
        <v>0</v>
      </c>
      <c r="DRY77" s="223">
        <f xml:space="preserve"> InputsTS!DRY$184</f>
        <v>0</v>
      </c>
      <c r="DRZ77" s="223">
        <f xml:space="preserve"> InputsTS!DRZ$184</f>
        <v>0</v>
      </c>
      <c r="DSA77" s="223">
        <f xml:space="preserve"> InputsTS!DSA$184</f>
        <v>0</v>
      </c>
      <c r="DSB77" s="223">
        <f xml:space="preserve"> InputsTS!DSB$184</f>
        <v>0</v>
      </c>
      <c r="DSC77" s="223">
        <f xml:space="preserve"> InputsTS!DSC$184</f>
        <v>0</v>
      </c>
      <c r="DSD77" s="223">
        <f xml:space="preserve"> InputsTS!DSD$184</f>
        <v>0</v>
      </c>
      <c r="DSE77" s="223">
        <f xml:space="preserve"> InputsTS!DSE$184</f>
        <v>0</v>
      </c>
      <c r="DSF77" s="223">
        <f xml:space="preserve"> InputsTS!DSF$184</f>
        <v>0</v>
      </c>
      <c r="DSG77" s="223">
        <f xml:space="preserve"> InputsTS!DSG$184</f>
        <v>0</v>
      </c>
      <c r="DSH77" s="223">
        <f xml:space="preserve"> InputsTS!DSH$184</f>
        <v>0</v>
      </c>
      <c r="DSI77" s="223">
        <f xml:space="preserve"> InputsTS!DSI$184</f>
        <v>0</v>
      </c>
      <c r="DSJ77" s="223">
        <f xml:space="preserve"> InputsTS!DSJ$184</f>
        <v>0</v>
      </c>
      <c r="DSK77" s="223">
        <f xml:space="preserve"> InputsTS!DSK$184</f>
        <v>0</v>
      </c>
      <c r="DSL77" s="223">
        <f xml:space="preserve"> InputsTS!DSL$184</f>
        <v>0</v>
      </c>
      <c r="DSM77" s="223">
        <f xml:space="preserve"> InputsTS!DSM$184</f>
        <v>0</v>
      </c>
      <c r="DSN77" s="223">
        <f xml:space="preserve"> InputsTS!DSN$184</f>
        <v>0</v>
      </c>
      <c r="DSO77" s="223">
        <f xml:space="preserve"> InputsTS!DSO$184</f>
        <v>0</v>
      </c>
      <c r="DSP77" s="223">
        <f xml:space="preserve"> InputsTS!DSP$184</f>
        <v>0</v>
      </c>
      <c r="DSQ77" s="223">
        <f xml:space="preserve"> InputsTS!DSQ$184</f>
        <v>0</v>
      </c>
      <c r="DSR77" s="223">
        <f xml:space="preserve"> InputsTS!DSR$184</f>
        <v>0</v>
      </c>
      <c r="DSS77" s="223">
        <f xml:space="preserve"> InputsTS!DSS$184</f>
        <v>0</v>
      </c>
      <c r="DST77" s="223">
        <f xml:space="preserve"> InputsTS!DST$184</f>
        <v>0</v>
      </c>
      <c r="DSU77" s="223">
        <f xml:space="preserve"> InputsTS!DSU$184</f>
        <v>0</v>
      </c>
      <c r="DSV77" s="223">
        <f xml:space="preserve"> InputsTS!DSV$184</f>
        <v>0</v>
      </c>
      <c r="DSW77" s="223">
        <f xml:space="preserve"> InputsTS!DSW$184</f>
        <v>0</v>
      </c>
      <c r="DSX77" s="223">
        <f xml:space="preserve"> InputsTS!DSX$184</f>
        <v>0</v>
      </c>
      <c r="DSY77" s="223">
        <f xml:space="preserve"> InputsTS!DSY$184</f>
        <v>0</v>
      </c>
      <c r="DSZ77" s="223">
        <f xml:space="preserve"> InputsTS!DSZ$184</f>
        <v>0</v>
      </c>
      <c r="DTA77" s="223">
        <f xml:space="preserve"> InputsTS!DTA$184</f>
        <v>0</v>
      </c>
      <c r="DTB77" s="223">
        <f xml:space="preserve"> InputsTS!DTB$184</f>
        <v>0</v>
      </c>
      <c r="DTC77" s="223">
        <f xml:space="preserve"> InputsTS!DTC$184</f>
        <v>0</v>
      </c>
      <c r="DTD77" s="223">
        <f xml:space="preserve"> InputsTS!DTD$184</f>
        <v>0</v>
      </c>
      <c r="DTE77" s="223">
        <f xml:space="preserve"> InputsTS!DTE$184</f>
        <v>0</v>
      </c>
      <c r="DTF77" s="223">
        <f xml:space="preserve"> InputsTS!DTF$184</f>
        <v>0</v>
      </c>
      <c r="DTG77" s="223">
        <f xml:space="preserve"> InputsTS!DTG$184</f>
        <v>0</v>
      </c>
      <c r="DTH77" s="223">
        <f xml:space="preserve"> InputsTS!DTH$184</f>
        <v>0</v>
      </c>
      <c r="DTI77" s="223">
        <f xml:space="preserve"> InputsTS!DTI$184</f>
        <v>0</v>
      </c>
      <c r="DTJ77" s="223">
        <f xml:space="preserve"> InputsTS!DTJ$184</f>
        <v>0</v>
      </c>
      <c r="DTK77" s="223">
        <f xml:space="preserve"> InputsTS!DTK$184</f>
        <v>0</v>
      </c>
      <c r="DTL77" s="223">
        <f xml:space="preserve"> InputsTS!DTL$184</f>
        <v>0</v>
      </c>
      <c r="DTM77" s="223">
        <f xml:space="preserve"> InputsTS!DTM$184</f>
        <v>0</v>
      </c>
      <c r="DTN77" s="223">
        <f xml:space="preserve"> InputsTS!DTN$184</f>
        <v>0</v>
      </c>
      <c r="DTO77" s="223">
        <f xml:space="preserve"> InputsTS!DTO$184</f>
        <v>0</v>
      </c>
      <c r="DTP77" s="223">
        <f xml:space="preserve"> InputsTS!DTP$184</f>
        <v>0</v>
      </c>
      <c r="DTQ77" s="223">
        <f xml:space="preserve"> InputsTS!DTQ$184</f>
        <v>0</v>
      </c>
      <c r="DTR77" s="223">
        <f xml:space="preserve"> InputsTS!DTR$184</f>
        <v>0</v>
      </c>
      <c r="DTS77" s="223">
        <f xml:space="preserve"> InputsTS!DTS$184</f>
        <v>0</v>
      </c>
      <c r="DTT77" s="223">
        <f xml:space="preserve"> InputsTS!DTT$184</f>
        <v>0</v>
      </c>
      <c r="DTU77" s="223">
        <f xml:space="preserve"> InputsTS!DTU$184</f>
        <v>0</v>
      </c>
      <c r="DTV77" s="223">
        <f xml:space="preserve"> InputsTS!DTV$184</f>
        <v>0</v>
      </c>
      <c r="DTW77" s="223">
        <f xml:space="preserve"> InputsTS!DTW$184</f>
        <v>0</v>
      </c>
      <c r="DTX77" s="223">
        <f xml:space="preserve"> InputsTS!DTX$184</f>
        <v>0</v>
      </c>
      <c r="DTY77" s="223">
        <f xml:space="preserve"> InputsTS!DTY$184</f>
        <v>0</v>
      </c>
      <c r="DTZ77" s="223">
        <f xml:space="preserve"> InputsTS!DTZ$184</f>
        <v>0</v>
      </c>
      <c r="DUA77" s="223">
        <f xml:space="preserve"> InputsTS!DUA$184</f>
        <v>0</v>
      </c>
      <c r="DUB77" s="223">
        <f xml:space="preserve"> InputsTS!DUB$184</f>
        <v>0</v>
      </c>
      <c r="DUC77" s="223">
        <f xml:space="preserve"> InputsTS!DUC$184</f>
        <v>0</v>
      </c>
      <c r="DUD77" s="223">
        <f xml:space="preserve"> InputsTS!DUD$184</f>
        <v>0</v>
      </c>
      <c r="DUE77" s="223">
        <f xml:space="preserve"> InputsTS!DUE$184</f>
        <v>0</v>
      </c>
      <c r="DUF77" s="223">
        <f xml:space="preserve"> InputsTS!DUF$184</f>
        <v>0</v>
      </c>
      <c r="DUG77" s="223">
        <f xml:space="preserve"> InputsTS!DUG$184</f>
        <v>0</v>
      </c>
      <c r="DUH77" s="223">
        <f xml:space="preserve"> InputsTS!DUH$184</f>
        <v>0</v>
      </c>
      <c r="DUI77" s="223">
        <f xml:space="preserve"> InputsTS!DUI$184</f>
        <v>0</v>
      </c>
      <c r="DUJ77" s="223">
        <f xml:space="preserve"> InputsTS!DUJ$184</f>
        <v>0</v>
      </c>
      <c r="DUK77" s="223">
        <f xml:space="preserve"> InputsTS!DUK$184</f>
        <v>0</v>
      </c>
      <c r="DUL77" s="223">
        <f xml:space="preserve"> InputsTS!DUL$184</f>
        <v>0</v>
      </c>
      <c r="DUM77" s="223">
        <f xml:space="preserve"> InputsTS!DUM$184</f>
        <v>0</v>
      </c>
      <c r="DUN77" s="223">
        <f xml:space="preserve"> InputsTS!DUN$184</f>
        <v>0</v>
      </c>
      <c r="DUO77" s="223">
        <f xml:space="preserve"> InputsTS!DUO$184</f>
        <v>0</v>
      </c>
      <c r="DUP77" s="223">
        <f xml:space="preserve"> InputsTS!DUP$184</f>
        <v>0</v>
      </c>
      <c r="DUQ77" s="223">
        <f xml:space="preserve"> InputsTS!DUQ$184</f>
        <v>0</v>
      </c>
      <c r="DUR77" s="223">
        <f xml:space="preserve"> InputsTS!DUR$184</f>
        <v>0</v>
      </c>
      <c r="DUS77" s="223">
        <f xml:space="preserve"> InputsTS!DUS$184</f>
        <v>0</v>
      </c>
      <c r="DUT77" s="223">
        <f xml:space="preserve"> InputsTS!DUT$184</f>
        <v>0</v>
      </c>
      <c r="DUU77" s="223">
        <f xml:space="preserve"> InputsTS!DUU$184</f>
        <v>0</v>
      </c>
      <c r="DUV77" s="223">
        <f xml:space="preserve"> InputsTS!DUV$184</f>
        <v>0</v>
      </c>
      <c r="DUW77" s="223">
        <f xml:space="preserve"> InputsTS!DUW$184</f>
        <v>0</v>
      </c>
      <c r="DUX77" s="223">
        <f xml:space="preserve"> InputsTS!DUX$184</f>
        <v>0</v>
      </c>
      <c r="DUY77" s="223">
        <f xml:space="preserve"> InputsTS!DUY$184</f>
        <v>0</v>
      </c>
      <c r="DUZ77" s="223">
        <f xml:space="preserve"> InputsTS!DUZ$184</f>
        <v>0</v>
      </c>
      <c r="DVA77" s="223">
        <f xml:space="preserve"> InputsTS!DVA$184</f>
        <v>0</v>
      </c>
      <c r="DVB77" s="223">
        <f xml:space="preserve"> InputsTS!DVB$184</f>
        <v>0</v>
      </c>
      <c r="DVC77" s="223">
        <f xml:space="preserve"> InputsTS!DVC$184</f>
        <v>0</v>
      </c>
      <c r="DVD77" s="223">
        <f xml:space="preserve"> InputsTS!DVD$184</f>
        <v>0</v>
      </c>
      <c r="DVE77" s="223">
        <f xml:space="preserve"> InputsTS!DVE$184</f>
        <v>0</v>
      </c>
      <c r="DVF77" s="223">
        <f xml:space="preserve"> InputsTS!DVF$184</f>
        <v>0</v>
      </c>
      <c r="DVG77" s="223">
        <f xml:space="preserve"> InputsTS!DVG$184</f>
        <v>0</v>
      </c>
      <c r="DVH77" s="223">
        <f xml:space="preserve"> InputsTS!DVH$184</f>
        <v>0</v>
      </c>
      <c r="DVI77" s="223">
        <f xml:space="preserve"> InputsTS!DVI$184</f>
        <v>0</v>
      </c>
      <c r="DVJ77" s="223">
        <f xml:space="preserve"> InputsTS!DVJ$184</f>
        <v>0</v>
      </c>
      <c r="DVK77" s="223">
        <f xml:space="preserve"> InputsTS!DVK$184</f>
        <v>0</v>
      </c>
      <c r="DVL77" s="223">
        <f xml:space="preserve"> InputsTS!DVL$184</f>
        <v>0</v>
      </c>
      <c r="DVM77" s="223">
        <f xml:space="preserve"> InputsTS!DVM$184</f>
        <v>0</v>
      </c>
      <c r="DVN77" s="223">
        <f xml:space="preserve"> InputsTS!DVN$184</f>
        <v>0</v>
      </c>
      <c r="DVO77" s="223">
        <f xml:space="preserve"> InputsTS!DVO$184</f>
        <v>0</v>
      </c>
      <c r="DVP77" s="223">
        <f xml:space="preserve"> InputsTS!DVP$184</f>
        <v>0</v>
      </c>
      <c r="DVQ77" s="223">
        <f xml:space="preserve"> InputsTS!DVQ$184</f>
        <v>0</v>
      </c>
      <c r="DVR77" s="223">
        <f xml:space="preserve"> InputsTS!DVR$184</f>
        <v>0</v>
      </c>
      <c r="DVS77" s="223">
        <f xml:space="preserve"> InputsTS!DVS$184</f>
        <v>0</v>
      </c>
      <c r="DVT77" s="223">
        <f xml:space="preserve"> InputsTS!DVT$184</f>
        <v>0</v>
      </c>
      <c r="DVU77" s="223">
        <f xml:space="preserve"> InputsTS!DVU$184</f>
        <v>0</v>
      </c>
      <c r="DVV77" s="223">
        <f xml:space="preserve"> InputsTS!DVV$184</f>
        <v>0</v>
      </c>
      <c r="DVW77" s="223">
        <f xml:space="preserve"> InputsTS!DVW$184</f>
        <v>0</v>
      </c>
      <c r="DVX77" s="223">
        <f xml:space="preserve"> InputsTS!DVX$184</f>
        <v>0</v>
      </c>
      <c r="DVY77" s="223">
        <f xml:space="preserve"> InputsTS!DVY$184</f>
        <v>0</v>
      </c>
      <c r="DVZ77" s="223">
        <f xml:space="preserve"> InputsTS!DVZ$184</f>
        <v>0</v>
      </c>
      <c r="DWA77" s="223">
        <f xml:space="preserve"> InputsTS!DWA$184</f>
        <v>0</v>
      </c>
      <c r="DWB77" s="223">
        <f xml:space="preserve"> InputsTS!DWB$184</f>
        <v>0</v>
      </c>
      <c r="DWC77" s="223">
        <f xml:space="preserve"> InputsTS!DWC$184</f>
        <v>0</v>
      </c>
      <c r="DWD77" s="223">
        <f xml:space="preserve"> InputsTS!DWD$184</f>
        <v>0</v>
      </c>
      <c r="DWE77" s="223">
        <f xml:space="preserve"> InputsTS!DWE$184</f>
        <v>0</v>
      </c>
      <c r="DWF77" s="223">
        <f xml:space="preserve"> InputsTS!DWF$184</f>
        <v>0</v>
      </c>
      <c r="DWG77" s="223">
        <f xml:space="preserve"> InputsTS!DWG$184</f>
        <v>0</v>
      </c>
      <c r="DWH77" s="223">
        <f xml:space="preserve"> InputsTS!DWH$184</f>
        <v>0</v>
      </c>
      <c r="DWI77" s="223">
        <f xml:space="preserve"> InputsTS!DWI$184</f>
        <v>0</v>
      </c>
      <c r="DWJ77" s="223">
        <f xml:space="preserve"> InputsTS!DWJ$184</f>
        <v>0</v>
      </c>
      <c r="DWK77" s="223">
        <f xml:space="preserve"> InputsTS!DWK$184</f>
        <v>0</v>
      </c>
      <c r="DWL77" s="223">
        <f xml:space="preserve"> InputsTS!DWL$184</f>
        <v>0</v>
      </c>
      <c r="DWM77" s="223">
        <f xml:space="preserve"> InputsTS!DWM$184</f>
        <v>0</v>
      </c>
      <c r="DWN77" s="223">
        <f xml:space="preserve"> InputsTS!DWN$184</f>
        <v>0</v>
      </c>
      <c r="DWO77" s="223">
        <f xml:space="preserve"> InputsTS!DWO$184</f>
        <v>0</v>
      </c>
      <c r="DWP77" s="223">
        <f xml:space="preserve"> InputsTS!DWP$184</f>
        <v>0</v>
      </c>
      <c r="DWQ77" s="223">
        <f xml:space="preserve"> InputsTS!DWQ$184</f>
        <v>0</v>
      </c>
      <c r="DWR77" s="223">
        <f xml:space="preserve"> InputsTS!DWR$184</f>
        <v>0</v>
      </c>
      <c r="DWS77" s="223">
        <f xml:space="preserve"> InputsTS!DWS$184</f>
        <v>0</v>
      </c>
      <c r="DWT77" s="223">
        <f xml:space="preserve"> InputsTS!DWT$184</f>
        <v>0</v>
      </c>
      <c r="DWU77" s="223">
        <f xml:space="preserve"> InputsTS!DWU$184</f>
        <v>0</v>
      </c>
      <c r="DWV77" s="223">
        <f xml:space="preserve"> InputsTS!DWV$184</f>
        <v>0</v>
      </c>
      <c r="DWW77" s="223">
        <f xml:space="preserve"> InputsTS!DWW$184</f>
        <v>0</v>
      </c>
      <c r="DWX77" s="223">
        <f xml:space="preserve"> InputsTS!DWX$184</f>
        <v>0</v>
      </c>
      <c r="DWY77" s="223">
        <f xml:space="preserve"> InputsTS!DWY$184</f>
        <v>0</v>
      </c>
      <c r="DWZ77" s="223">
        <f xml:space="preserve"> InputsTS!DWZ$184</f>
        <v>0</v>
      </c>
      <c r="DXA77" s="223">
        <f xml:space="preserve"> InputsTS!DXA$184</f>
        <v>0</v>
      </c>
      <c r="DXB77" s="223">
        <f xml:space="preserve"> InputsTS!DXB$184</f>
        <v>0</v>
      </c>
      <c r="DXC77" s="223">
        <f xml:space="preserve"> InputsTS!DXC$184</f>
        <v>0</v>
      </c>
      <c r="DXD77" s="223">
        <f xml:space="preserve"> InputsTS!DXD$184</f>
        <v>0</v>
      </c>
      <c r="DXE77" s="223">
        <f xml:space="preserve"> InputsTS!DXE$184</f>
        <v>0</v>
      </c>
      <c r="DXF77" s="223">
        <f xml:space="preserve"> InputsTS!DXF$184</f>
        <v>0</v>
      </c>
      <c r="DXG77" s="223">
        <f xml:space="preserve"> InputsTS!DXG$184</f>
        <v>0</v>
      </c>
      <c r="DXH77" s="223">
        <f xml:space="preserve"> InputsTS!DXH$184</f>
        <v>0</v>
      </c>
      <c r="DXI77" s="223">
        <f xml:space="preserve"> InputsTS!DXI$184</f>
        <v>0</v>
      </c>
      <c r="DXJ77" s="223">
        <f xml:space="preserve"> InputsTS!DXJ$184</f>
        <v>0</v>
      </c>
      <c r="DXK77" s="223">
        <f xml:space="preserve"> InputsTS!DXK$184</f>
        <v>0</v>
      </c>
      <c r="DXL77" s="223">
        <f xml:space="preserve"> InputsTS!DXL$184</f>
        <v>0</v>
      </c>
      <c r="DXM77" s="223">
        <f xml:space="preserve"> InputsTS!DXM$184</f>
        <v>0</v>
      </c>
      <c r="DXN77" s="223">
        <f xml:space="preserve"> InputsTS!DXN$184</f>
        <v>0</v>
      </c>
      <c r="DXO77" s="223">
        <f xml:space="preserve"> InputsTS!DXO$184</f>
        <v>0</v>
      </c>
      <c r="DXP77" s="223">
        <f xml:space="preserve"> InputsTS!DXP$184</f>
        <v>0</v>
      </c>
      <c r="DXQ77" s="223">
        <f xml:space="preserve"> InputsTS!DXQ$184</f>
        <v>0</v>
      </c>
      <c r="DXR77" s="223">
        <f xml:space="preserve"> InputsTS!DXR$184</f>
        <v>0</v>
      </c>
      <c r="DXS77" s="223">
        <f xml:space="preserve"> InputsTS!DXS$184</f>
        <v>0</v>
      </c>
      <c r="DXT77" s="223">
        <f xml:space="preserve"> InputsTS!DXT$184</f>
        <v>0</v>
      </c>
      <c r="DXU77" s="223">
        <f xml:space="preserve"> InputsTS!DXU$184</f>
        <v>0</v>
      </c>
      <c r="DXV77" s="223">
        <f xml:space="preserve"> InputsTS!DXV$184</f>
        <v>0</v>
      </c>
      <c r="DXW77" s="223">
        <f xml:space="preserve"> InputsTS!DXW$184</f>
        <v>0</v>
      </c>
      <c r="DXX77" s="223">
        <f xml:space="preserve"> InputsTS!DXX$184</f>
        <v>0</v>
      </c>
      <c r="DXY77" s="223">
        <f xml:space="preserve"> InputsTS!DXY$184</f>
        <v>0</v>
      </c>
      <c r="DXZ77" s="223">
        <f xml:space="preserve"> InputsTS!DXZ$184</f>
        <v>0</v>
      </c>
      <c r="DYA77" s="223">
        <f xml:space="preserve"> InputsTS!DYA$184</f>
        <v>0</v>
      </c>
      <c r="DYB77" s="223">
        <f xml:space="preserve"> InputsTS!DYB$184</f>
        <v>0</v>
      </c>
      <c r="DYC77" s="223">
        <f xml:space="preserve"> InputsTS!DYC$184</f>
        <v>0</v>
      </c>
      <c r="DYD77" s="223">
        <f xml:space="preserve"> InputsTS!DYD$184</f>
        <v>0</v>
      </c>
      <c r="DYE77" s="223">
        <f xml:space="preserve"> InputsTS!DYE$184</f>
        <v>0</v>
      </c>
      <c r="DYF77" s="223">
        <f xml:space="preserve"> InputsTS!DYF$184</f>
        <v>0</v>
      </c>
      <c r="DYG77" s="223">
        <f xml:space="preserve"> InputsTS!DYG$184</f>
        <v>0</v>
      </c>
      <c r="DYH77" s="223">
        <f xml:space="preserve"> InputsTS!DYH$184</f>
        <v>0</v>
      </c>
      <c r="DYI77" s="223">
        <f xml:space="preserve"> InputsTS!DYI$184</f>
        <v>0</v>
      </c>
      <c r="DYJ77" s="223">
        <f xml:space="preserve"> InputsTS!DYJ$184</f>
        <v>0</v>
      </c>
      <c r="DYK77" s="223">
        <f xml:space="preserve"> InputsTS!DYK$184</f>
        <v>0</v>
      </c>
      <c r="DYL77" s="223">
        <f xml:space="preserve"> InputsTS!DYL$184</f>
        <v>0</v>
      </c>
      <c r="DYM77" s="223">
        <f xml:space="preserve"> InputsTS!DYM$184</f>
        <v>0</v>
      </c>
      <c r="DYN77" s="223">
        <f xml:space="preserve"> InputsTS!DYN$184</f>
        <v>0</v>
      </c>
      <c r="DYO77" s="223">
        <f xml:space="preserve"> InputsTS!DYO$184</f>
        <v>0</v>
      </c>
      <c r="DYP77" s="223">
        <f xml:space="preserve"> InputsTS!DYP$184</f>
        <v>0</v>
      </c>
      <c r="DYQ77" s="223">
        <f xml:space="preserve"> InputsTS!DYQ$184</f>
        <v>0</v>
      </c>
      <c r="DYR77" s="223">
        <f xml:space="preserve"> InputsTS!DYR$184</f>
        <v>0</v>
      </c>
      <c r="DYS77" s="223">
        <f xml:space="preserve"> InputsTS!DYS$184</f>
        <v>0</v>
      </c>
      <c r="DYT77" s="223">
        <f xml:space="preserve"> InputsTS!DYT$184</f>
        <v>0</v>
      </c>
      <c r="DYU77" s="223">
        <f xml:space="preserve"> InputsTS!DYU$184</f>
        <v>0</v>
      </c>
      <c r="DYV77" s="223">
        <f xml:space="preserve"> InputsTS!DYV$184</f>
        <v>0</v>
      </c>
      <c r="DYW77" s="223">
        <f xml:space="preserve"> InputsTS!DYW$184</f>
        <v>0</v>
      </c>
      <c r="DYX77" s="223">
        <f xml:space="preserve"> InputsTS!DYX$184</f>
        <v>0</v>
      </c>
      <c r="DYY77" s="223">
        <f xml:space="preserve"> InputsTS!DYY$184</f>
        <v>0</v>
      </c>
      <c r="DYZ77" s="223">
        <f xml:space="preserve"> InputsTS!DYZ$184</f>
        <v>0</v>
      </c>
      <c r="DZA77" s="223">
        <f xml:space="preserve"> InputsTS!DZA$184</f>
        <v>0</v>
      </c>
      <c r="DZB77" s="223">
        <f xml:space="preserve"> InputsTS!DZB$184</f>
        <v>0</v>
      </c>
      <c r="DZC77" s="223">
        <f xml:space="preserve"> InputsTS!DZC$184</f>
        <v>0</v>
      </c>
      <c r="DZD77" s="223">
        <f xml:space="preserve"> InputsTS!DZD$184</f>
        <v>0</v>
      </c>
      <c r="DZE77" s="223">
        <f xml:space="preserve"> InputsTS!DZE$184</f>
        <v>0</v>
      </c>
      <c r="DZF77" s="223">
        <f xml:space="preserve"> InputsTS!DZF$184</f>
        <v>0</v>
      </c>
      <c r="DZG77" s="223">
        <f xml:space="preserve"> InputsTS!DZG$184</f>
        <v>0</v>
      </c>
      <c r="DZH77" s="223">
        <f xml:space="preserve"> InputsTS!DZH$184</f>
        <v>0</v>
      </c>
      <c r="DZI77" s="223">
        <f xml:space="preserve"> InputsTS!DZI$184</f>
        <v>0</v>
      </c>
      <c r="DZJ77" s="223">
        <f xml:space="preserve"> InputsTS!DZJ$184</f>
        <v>0</v>
      </c>
      <c r="DZK77" s="223">
        <f xml:space="preserve"> InputsTS!DZK$184</f>
        <v>0</v>
      </c>
      <c r="DZL77" s="223">
        <f xml:space="preserve"> InputsTS!DZL$184</f>
        <v>0</v>
      </c>
      <c r="DZM77" s="223">
        <f xml:space="preserve"> InputsTS!DZM$184</f>
        <v>0</v>
      </c>
      <c r="DZN77" s="223">
        <f xml:space="preserve"> InputsTS!DZN$184</f>
        <v>0</v>
      </c>
      <c r="DZO77" s="223">
        <f xml:space="preserve"> InputsTS!DZO$184</f>
        <v>0</v>
      </c>
      <c r="DZP77" s="223">
        <f xml:space="preserve"> InputsTS!DZP$184</f>
        <v>0</v>
      </c>
      <c r="DZQ77" s="223">
        <f xml:space="preserve"> InputsTS!DZQ$184</f>
        <v>0</v>
      </c>
      <c r="DZR77" s="223">
        <f xml:space="preserve"> InputsTS!DZR$184</f>
        <v>0</v>
      </c>
      <c r="DZS77" s="223">
        <f xml:space="preserve"> InputsTS!DZS$184</f>
        <v>0</v>
      </c>
      <c r="DZT77" s="223">
        <f xml:space="preserve"> InputsTS!DZT$184</f>
        <v>0</v>
      </c>
      <c r="DZU77" s="223">
        <f xml:space="preserve"> InputsTS!DZU$184</f>
        <v>0</v>
      </c>
      <c r="DZV77" s="223">
        <f xml:space="preserve"> InputsTS!DZV$184</f>
        <v>0</v>
      </c>
      <c r="DZW77" s="223">
        <f xml:space="preserve"> InputsTS!DZW$184</f>
        <v>0</v>
      </c>
      <c r="DZX77" s="223">
        <f xml:space="preserve"> InputsTS!DZX$184</f>
        <v>0</v>
      </c>
      <c r="DZY77" s="223">
        <f xml:space="preserve"> InputsTS!DZY$184</f>
        <v>0</v>
      </c>
      <c r="DZZ77" s="223">
        <f xml:space="preserve"> InputsTS!DZZ$184</f>
        <v>0</v>
      </c>
      <c r="EAA77" s="223">
        <f xml:space="preserve"> InputsTS!EAA$184</f>
        <v>0</v>
      </c>
      <c r="EAB77" s="223">
        <f xml:space="preserve"> InputsTS!EAB$184</f>
        <v>0</v>
      </c>
      <c r="EAC77" s="223">
        <f xml:space="preserve"> InputsTS!EAC$184</f>
        <v>0</v>
      </c>
      <c r="EAD77" s="223">
        <f xml:space="preserve"> InputsTS!EAD$184</f>
        <v>0</v>
      </c>
      <c r="EAE77" s="223">
        <f xml:space="preserve"> InputsTS!EAE$184</f>
        <v>0</v>
      </c>
      <c r="EAF77" s="223">
        <f xml:space="preserve"> InputsTS!EAF$184</f>
        <v>0</v>
      </c>
      <c r="EAG77" s="223">
        <f xml:space="preserve"> InputsTS!EAG$184</f>
        <v>0</v>
      </c>
      <c r="EAH77" s="223">
        <f xml:space="preserve"> InputsTS!EAH$184</f>
        <v>0</v>
      </c>
      <c r="EAI77" s="223">
        <f xml:space="preserve"> InputsTS!EAI$184</f>
        <v>0</v>
      </c>
      <c r="EAJ77" s="223">
        <f xml:space="preserve"> InputsTS!EAJ$184</f>
        <v>0</v>
      </c>
      <c r="EAK77" s="223">
        <f xml:space="preserve"> InputsTS!EAK$184</f>
        <v>0</v>
      </c>
      <c r="EAL77" s="223">
        <f xml:space="preserve"> InputsTS!EAL$184</f>
        <v>0</v>
      </c>
      <c r="EAM77" s="223">
        <f xml:space="preserve"> InputsTS!EAM$184</f>
        <v>0</v>
      </c>
      <c r="EAN77" s="223">
        <f xml:space="preserve"> InputsTS!EAN$184</f>
        <v>0</v>
      </c>
      <c r="EAO77" s="223">
        <f xml:space="preserve"> InputsTS!EAO$184</f>
        <v>0</v>
      </c>
      <c r="EAP77" s="223">
        <f xml:space="preserve"> InputsTS!EAP$184</f>
        <v>0</v>
      </c>
      <c r="EAQ77" s="223">
        <f xml:space="preserve"> InputsTS!EAQ$184</f>
        <v>0</v>
      </c>
      <c r="EAR77" s="223">
        <f xml:space="preserve"> InputsTS!EAR$184</f>
        <v>0</v>
      </c>
      <c r="EAS77" s="223">
        <f xml:space="preserve"> InputsTS!EAS$184</f>
        <v>0</v>
      </c>
      <c r="EAT77" s="223">
        <f xml:space="preserve"> InputsTS!EAT$184</f>
        <v>0</v>
      </c>
      <c r="EAU77" s="223">
        <f xml:space="preserve"> InputsTS!EAU$184</f>
        <v>0</v>
      </c>
      <c r="EAV77" s="223">
        <f xml:space="preserve"> InputsTS!EAV$184</f>
        <v>0</v>
      </c>
      <c r="EAW77" s="223">
        <f xml:space="preserve"> InputsTS!EAW$184</f>
        <v>0</v>
      </c>
      <c r="EAX77" s="223">
        <f xml:space="preserve"> InputsTS!EAX$184</f>
        <v>0</v>
      </c>
      <c r="EAY77" s="223">
        <f xml:space="preserve"> InputsTS!EAY$184</f>
        <v>0</v>
      </c>
      <c r="EAZ77" s="223">
        <f xml:space="preserve"> InputsTS!EAZ$184</f>
        <v>0</v>
      </c>
      <c r="EBA77" s="223">
        <f xml:space="preserve"> InputsTS!EBA$184</f>
        <v>0</v>
      </c>
      <c r="EBB77" s="223">
        <f xml:space="preserve"> InputsTS!EBB$184</f>
        <v>0</v>
      </c>
      <c r="EBC77" s="223">
        <f xml:space="preserve"> InputsTS!EBC$184</f>
        <v>0</v>
      </c>
      <c r="EBD77" s="223">
        <f xml:space="preserve"> InputsTS!EBD$184</f>
        <v>0</v>
      </c>
      <c r="EBE77" s="223">
        <f xml:space="preserve"> InputsTS!EBE$184</f>
        <v>0</v>
      </c>
      <c r="EBF77" s="223">
        <f xml:space="preserve"> InputsTS!EBF$184</f>
        <v>0</v>
      </c>
      <c r="EBG77" s="223">
        <f xml:space="preserve"> InputsTS!EBG$184</f>
        <v>0</v>
      </c>
      <c r="EBH77" s="223">
        <f xml:space="preserve"> InputsTS!EBH$184</f>
        <v>0</v>
      </c>
      <c r="EBI77" s="223">
        <f xml:space="preserve"> InputsTS!EBI$184</f>
        <v>0</v>
      </c>
      <c r="EBJ77" s="223">
        <f xml:space="preserve"> InputsTS!EBJ$184</f>
        <v>0</v>
      </c>
      <c r="EBK77" s="223">
        <f xml:space="preserve"> InputsTS!EBK$184</f>
        <v>0</v>
      </c>
      <c r="EBL77" s="223">
        <f xml:space="preserve"> InputsTS!EBL$184</f>
        <v>0</v>
      </c>
      <c r="EBM77" s="223">
        <f xml:space="preserve"> InputsTS!EBM$184</f>
        <v>0</v>
      </c>
      <c r="EBN77" s="223">
        <f xml:space="preserve"> InputsTS!EBN$184</f>
        <v>0</v>
      </c>
      <c r="EBO77" s="223">
        <f xml:space="preserve"> InputsTS!EBO$184</f>
        <v>0</v>
      </c>
      <c r="EBP77" s="223">
        <f xml:space="preserve"> InputsTS!EBP$184</f>
        <v>0</v>
      </c>
      <c r="EBQ77" s="223">
        <f xml:space="preserve"> InputsTS!EBQ$184</f>
        <v>0</v>
      </c>
      <c r="EBR77" s="223">
        <f xml:space="preserve"> InputsTS!EBR$184</f>
        <v>0</v>
      </c>
      <c r="EBS77" s="223">
        <f xml:space="preserve"> InputsTS!EBS$184</f>
        <v>0</v>
      </c>
      <c r="EBT77" s="223">
        <f xml:space="preserve"> InputsTS!EBT$184</f>
        <v>0</v>
      </c>
      <c r="EBU77" s="223">
        <f xml:space="preserve"> InputsTS!EBU$184</f>
        <v>0</v>
      </c>
      <c r="EBV77" s="223">
        <f xml:space="preserve"> InputsTS!EBV$184</f>
        <v>0</v>
      </c>
      <c r="EBW77" s="223">
        <f xml:space="preserve"> InputsTS!EBW$184</f>
        <v>0</v>
      </c>
      <c r="EBX77" s="223">
        <f xml:space="preserve"> InputsTS!EBX$184</f>
        <v>0</v>
      </c>
      <c r="EBY77" s="223">
        <f xml:space="preserve"> InputsTS!EBY$184</f>
        <v>0</v>
      </c>
      <c r="EBZ77" s="223">
        <f xml:space="preserve"> InputsTS!EBZ$184</f>
        <v>0</v>
      </c>
      <c r="ECA77" s="223">
        <f xml:space="preserve"> InputsTS!ECA$184</f>
        <v>0</v>
      </c>
      <c r="ECB77" s="223">
        <f xml:space="preserve"> InputsTS!ECB$184</f>
        <v>0</v>
      </c>
      <c r="ECC77" s="223">
        <f xml:space="preserve"> InputsTS!ECC$184</f>
        <v>0</v>
      </c>
      <c r="ECD77" s="223">
        <f xml:space="preserve"> InputsTS!ECD$184</f>
        <v>0</v>
      </c>
      <c r="ECE77" s="223">
        <f xml:space="preserve"> InputsTS!ECE$184</f>
        <v>0</v>
      </c>
      <c r="ECF77" s="223">
        <f xml:space="preserve"> InputsTS!ECF$184</f>
        <v>0</v>
      </c>
      <c r="ECG77" s="223">
        <f xml:space="preserve"> InputsTS!ECG$184</f>
        <v>0</v>
      </c>
      <c r="ECH77" s="223">
        <f xml:space="preserve"> InputsTS!ECH$184</f>
        <v>0</v>
      </c>
      <c r="ECI77" s="223">
        <f xml:space="preserve"> InputsTS!ECI$184</f>
        <v>0</v>
      </c>
      <c r="ECJ77" s="223">
        <f xml:space="preserve"> InputsTS!ECJ$184</f>
        <v>0</v>
      </c>
      <c r="ECK77" s="223">
        <f xml:space="preserve"> InputsTS!ECK$184</f>
        <v>0</v>
      </c>
      <c r="ECL77" s="223">
        <f xml:space="preserve"> InputsTS!ECL$184</f>
        <v>0</v>
      </c>
      <c r="ECM77" s="223">
        <f xml:space="preserve"> InputsTS!ECM$184</f>
        <v>0</v>
      </c>
      <c r="ECN77" s="223">
        <f xml:space="preserve"> InputsTS!ECN$184</f>
        <v>0</v>
      </c>
      <c r="ECO77" s="223">
        <f xml:space="preserve"> InputsTS!ECO$184</f>
        <v>0</v>
      </c>
      <c r="ECP77" s="223">
        <f xml:space="preserve"> InputsTS!ECP$184</f>
        <v>0</v>
      </c>
      <c r="ECQ77" s="223">
        <f xml:space="preserve"> InputsTS!ECQ$184</f>
        <v>0</v>
      </c>
      <c r="ECR77" s="223">
        <f xml:space="preserve"> InputsTS!ECR$184</f>
        <v>0</v>
      </c>
      <c r="ECS77" s="223">
        <f xml:space="preserve"> InputsTS!ECS$184</f>
        <v>0</v>
      </c>
      <c r="ECT77" s="223">
        <f xml:space="preserve"> InputsTS!ECT$184</f>
        <v>0</v>
      </c>
      <c r="ECU77" s="223">
        <f xml:space="preserve"> InputsTS!ECU$184</f>
        <v>0</v>
      </c>
      <c r="ECV77" s="223">
        <f xml:space="preserve"> InputsTS!ECV$184</f>
        <v>0</v>
      </c>
      <c r="ECW77" s="223">
        <f xml:space="preserve"> InputsTS!ECW$184</f>
        <v>0</v>
      </c>
      <c r="ECX77" s="223">
        <f xml:space="preserve"> InputsTS!ECX$184</f>
        <v>0</v>
      </c>
      <c r="ECY77" s="223">
        <f xml:space="preserve"> InputsTS!ECY$184</f>
        <v>0</v>
      </c>
      <c r="ECZ77" s="223">
        <f xml:space="preserve"> InputsTS!ECZ$184</f>
        <v>0</v>
      </c>
      <c r="EDA77" s="223">
        <f xml:space="preserve"> InputsTS!EDA$184</f>
        <v>0</v>
      </c>
      <c r="EDB77" s="223">
        <f xml:space="preserve"> InputsTS!EDB$184</f>
        <v>0</v>
      </c>
      <c r="EDC77" s="223">
        <f xml:space="preserve"> InputsTS!EDC$184</f>
        <v>0</v>
      </c>
      <c r="EDD77" s="223">
        <f xml:space="preserve"> InputsTS!EDD$184</f>
        <v>0</v>
      </c>
      <c r="EDE77" s="223">
        <f xml:space="preserve"> InputsTS!EDE$184</f>
        <v>0</v>
      </c>
      <c r="EDF77" s="223">
        <f xml:space="preserve"> InputsTS!EDF$184</f>
        <v>0</v>
      </c>
      <c r="EDG77" s="223">
        <f xml:space="preserve"> InputsTS!EDG$184</f>
        <v>0</v>
      </c>
      <c r="EDH77" s="223">
        <f xml:space="preserve"> InputsTS!EDH$184</f>
        <v>0</v>
      </c>
      <c r="EDI77" s="223">
        <f xml:space="preserve"> InputsTS!EDI$184</f>
        <v>0</v>
      </c>
      <c r="EDJ77" s="223">
        <f xml:space="preserve"> InputsTS!EDJ$184</f>
        <v>0</v>
      </c>
      <c r="EDK77" s="223">
        <f xml:space="preserve"> InputsTS!EDK$184</f>
        <v>0</v>
      </c>
      <c r="EDL77" s="223">
        <f xml:space="preserve"> InputsTS!EDL$184</f>
        <v>0</v>
      </c>
      <c r="EDM77" s="223">
        <f xml:space="preserve"> InputsTS!EDM$184</f>
        <v>0</v>
      </c>
      <c r="EDN77" s="223">
        <f xml:space="preserve"> InputsTS!EDN$184</f>
        <v>0</v>
      </c>
      <c r="EDO77" s="223">
        <f xml:space="preserve"> InputsTS!EDO$184</f>
        <v>0</v>
      </c>
      <c r="EDP77" s="223">
        <f xml:space="preserve"> InputsTS!EDP$184</f>
        <v>0</v>
      </c>
      <c r="EDQ77" s="223">
        <f xml:space="preserve"> InputsTS!EDQ$184</f>
        <v>0</v>
      </c>
      <c r="EDR77" s="223">
        <f xml:space="preserve"> InputsTS!EDR$184</f>
        <v>0</v>
      </c>
      <c r="EDS77" s="223">
        <f xml:space="preserve"> InputsTS!EDS$184</f>
        <v>0</v>
      </c>
      <c r="EDT77" s="223">
        <f xml:space="preserve"> InputsTS!EDT$184</f>
        <v>0</v>
      </c>
      <c r="EDU77" s="223">
        <f xml:space="preserve"> InputsTS!EDU$184</f>
        <v>0</v>
      </c>
      <c r="EDV77" s="223">
        <f xml:space="preserve"> InputsTS!EDV$184</f>
        <v>0</v>
      </c>
      <c r="EDW77" s="223">
        <f xml:space="preserve"> InputsTS!EDW$184</f>
        <v>0</v>
      </c>
      <c r="EDX77" s="223">
        <f xml:space="preserve"> InputsTS!EDX$184</f>
        <v>0</v>
      </c>
      <c r="EDY77" s="223">
        <f xml:space="preserve"> InputsTS!EDY$184</f>
        <v>0</v>
      </c>
      <c r="EDZ77" s="223">
        <f xml:space="preserve"> InputsTS!EDZ$184</f>
        <v>0</v>
      </c>
      <c r="EEA77" s="223">
        <f xml:space="preserve"> InputsTS!EEA$184</f>
        <v>0</v>
      </c>
      <c r="EEB77" s="223">
        <f xml:space="preserve"> InputsTS!EEB$184</f>
        <v>0</v>
      </c>
      <c r="EEC77" s="223">
        <f xml:space="preserve"> InputsTS!EEC$184</f>
        <v>0</v>
      </c>
      <c r="EED77" s="223">
        <f xml:space="preserve"> InputsTS!EED$184</f>
        <v>0</v>
      </c>
      <c r="EEE77" s="223">
        <f xml:space="preserve"> InputsTS!EEE$184</f>
        <v>0</v>
      </c>
      <c r="EEF77" s="223">
        <f xml:space="preserve"> InputsTS!EEF$184</f>
        <v>0</v>
      </c>
      <c r="EEG77" s="223">
        <f xml:space="preserve"> InputsTS!EEG$184</f>
        <v>0</v>
      </c>
      <c r="EEH77" s="223">
        <f xml:space="preserve"> InputsTS!EEH$184</f>
        <v>0</v>
      </c>
      <c r="EEI77" s="223">
        <f xml:space="preserve"> InputsTS!EEI$184</f>
        <v>0</v>
      </c>
      <c r="EEJ77" s="223">
        <f xml:space="preserve"> InputsTS!EEJ$184</f>
        <v>0</v>
      </c>
      <c r="EEK77" s="223">
        <f xml:space="preserve"> InputsTS!EEK$184</f>
        <v>0</v>
      </c>
      <c r="EEL77" s="223">
        <f xml:space="preserve"> InputsTS!EEL$184</f>
        <v>0</v>
      </c>
      <c r="EEM77" s="223">
        <f xml:space="preserve"> InputsTS!EEM$184</f>
        <v>0</v>
      </c>
      <c r="EEN77" s="223">
        <f xml:space="preserve"> InputsTS!EEN$184</f>
        <v>0</v>
      </c>
      <c r="EEO77" s="223">
        <f xml:space="preserve"> InputsTS!EEO$184</f>
        <v>0</v>
      </c>
      <c r="EEP77" s="223">
        <f xml:space="preserve"> InputsTS!EEP$184</f>
        <v>0</v>
      </c>
      <c r="EEQ77" s="223">
        <f xml:space="preserve"> InputsTS!EEQ$184</f>
        <v>0</v>
      </c>
      <c r="EER77" s="223">
        <f xml:space="preserve"> InputsTS!EER$184</f>
        <v>0</v>
      </c>
      <c r="EES77" s="223">
        <f xml:space="preserve"> InputsTS!EES$184</f>
        <v>0</v>
      </c>
      <c r="EET77" s="223">
        <f xml:space="preserve"> InputsTS!EET$184</f>
        <v>0</v>
      </c>
      <c r="EEU77" s="223">
        <f xml:space="preserve"> InputsTS!EEU$184</f>
        <v>0</v>
      </c>
      <c r="EEV77" s="223">
        <f xml:space="preserve"> InputsTS!EEV$184</f>
        <v>0</v>
      </c>
      <c r="EEW77" s="223">
        <f xml:space="preserve"> InputsTS!EEW$184</f>
        <v>0</v>
      </c>
      <c r="EEX77" s="223">
        <f xml:space="preserve"> InputsTS!EEX$184</f>
        <v>0</v>
      </c>
      <c r="EEY77" s="223">
        <f xml:space="preserve"> InputsTS!EEY$184</f>
        <v>0</v>
      </c>
      <c r="EEZ77" s="223">
        <f xml:space="preserve"> InputsTS!EEZ$184</f>
        <v>0</v>
      </c>
      <c r="EFA77" s="223">
        <f xml:space="preserve"> InputsTS!EFA$184</f>
        <v>0</v>
      </c>
      <c r="EFB77" s="223">
        <f xml:space="preserve"> InputsTS!EFB$184</f>
        <v>0</v>
      </c>
      <c r="EFC77" s="223">
        <f xml:space="preserve"> InputsTS!EFC$184</f>
        <v>0</v>
      </c>
      <c r="EFD77" s="223">
        <f xml:space="preserve"> InputsTS!EFD$184</f>
        <v>0</v>
      </c>
      <c r="EFE77" s="223">
        <f xml:space="preserve"> InputsTS!EFE$184</f>
        <v>0</v>
      </c>
      <c r="EFF77" s="223">
        <f xml:space="preserve"> InputsTS!EFF$184</f>
        <v>0</v>
      </c>
      <c r="EFG77" s="223">
        <f xml:space="preserve"> InputsTS!EFG$184</f>
        <v>0</v>
      </c>
      <c r="EFH77" s="223">
        <f xml:space="preserve"> InputsTS!EFH$184</f>
        <v>0</v>
      </c>
      <c r="EFI77" s="223">
        <f xml:space="preserve"> InputsTS!EFI$184</f>
        <v>0</v>
      </c>
      <c r="EFJ77" s="223">
        <f xml:space="preserve"> InputsTS!EFJ$184</f>
        <v>0</v>
      </c>
      <c r="EFK77" s="223">
        <f xml:space="preserve"> InputsTS!EFK$184</f>
        <v>0</v>
      </c>
      <c r="EFL77" s="223">
        <f xml:space="preserve"> InputsTS!EFL$184</f>
        <v>0</v>
      </c>
      <c r="EFM77" s="223">
        <f xml:space="preserve"> InputsTS!EFM$184</f>
        <v>0</v>
      </c>
      <c r="EFN77" s="223">
        <f xml:space="preserve"> InputsTS!EFN$184</f>
        <v>0</v>
      </c>
      <c r="EFO77" s="223">
        <f xml:space="preserve"> InputsTS!EFO$184</f>
        <v>0</v>
      </c>
      <c r="EFP77" s="223">
        <f xml:space="preserve"> InputsTS!EFP$184</f>
        <v>0</v>
      </c>
      <c r="EFQ77" s="223">
        <f xml:space="preserve"> InputsTS!EFQ$184</f>
        <v>0</v>
      </c>
      <c r="EFR77" s="223">
        <f xml:space="preserve"> InputsTS!EFR$184</f>
        <v>0</v>
      </c>
      <c r="EFS77" s="223">
        <f xml:space="preserve"> InputsTS!EFS$184</f>
        <v>0</v>
      </c>
      <c r="EFT77" s="223">
        <f xml:space="preserve"> InputsTS!EFT$184</f>
        <v>0</v>
      </c>
      <c r="EFU77" s="223">
        <f xml:space="preserve"> InputsTS!EFU$184</f>
        <v>0</v>
      </c>
      <c r="EFV77" s="223">
        <f xml:space="preserve"> InputsTS!EFV$184</f>
        <v>0</v>
      </c>
      <c r="EFW77" s="223">
        <f xml:space="preserve"> InputsTS!EFW$184</f>
        <v>0</v>
      </c>
      <c r="EFX77" s="223">
        <f xml:space="preserve"> InputsTS!EFX$184</f>
        <v>0</v>
      </c>
      <c r="EFY77" s="223">
        <f xml:space="preserve"> InputsTS!EFY$184</f>
        <v>0</v>
      </c>
      <c r="EFZ77" s="223">
        <f xml:space="preserve"> InputsTS!EFZ$184</f>
        <v>0</v>
      </c>
      <c r="EGA77" s="223">
        <f xml:space="preserve"> InputsTS!EGA$184</f>
        <v>0</v>
      </c>
      <c r="EGB77" s="223">
        <f xml:space="preserve"> InputsTS!EGB$184</f>
        <v>0</v>
      </c>
      <c r="EGC77" s="223">
        <f xml:space="preserve"> InputsTS!EGC$184</f>
        <v>0</v>
      </c>
      <c r="EGD77" s="223">
        <f xml:space="preserve"> InputsTS!EGD$184</f>
        <v>0</v>
      </c>
      <c r="EGE77" s="223">
        <f xml:space="preserve"> InputsTS!EGE$184</f>
        <v>0</v>
      </c>
      <c r="EGF77" s="223">
        <f xml:space="preserve"> InputsTS!EGF$184</f>
        <v>0</v>
      </c>
      <c r="EGG77" s="223">
        <f xml:space="preserve"> InputsTS!EGG$184</f>
        <v>0</v>
      </c>
      <c r="EGH77" s="223">
        <f xml:space="preserve"> InputsTS!EGH$184</f>
        <v>0</v>
      </c>
      <c r="EGI77" s="223">
        <f xml:space="preserve"> InputsTS!EGI$184</f>
        <v>0</v>
      </c>
      <c r="EGJ77" s="223">
        <f xml:space="preserve"> InputsTS!EGJ$184</f>
        <v>0</v>
      </c>
      <c r="EGK77" s="223">
        <f xml:space="preserve"> InputsTS!EGK$184</f>
        <v>0</v>
      </c>
      <c r="EGL77" s="223">
        <f xml:space="preserve"> InputsTS!EGL$184</f>
        <v>0</v>
      </c>
      <c r="EGM77" s="223">
        <f xml:space="preserve"> InputsTS!EGM$184</f>
        <v>0</v>
      </c>
      <c r="EGN77" s="223">
        <f xml:space="preserve"> InputsTS!EGN$184</f>
        <v>0</v>
      </c>
      <c r="EGO77" s="223">
        <f xml:space="preserve"> InputsTS!EGO$184</f>
        <v>0</v>
      </c>
      <c r="EGP77" s="223">
        <f xml:space="preserve"> InputsTS!EGP$184</f>
        <v>0</v>
      </c>
      <c r="EGQ77" s="223">
        <f xml:space="preserve"> InputsTS!EGQ$184</f>
        <v>0</v>
      </c>
      <c r="EGR77" s="223">
        <f xml:space="preserve"> InputsTS!EGR$184</f>
        <v>0</v>
      </c>
      <c r="EGS77" s="223">
        <f xml:space="preserve"> InputsTS!EGS$184</f>
        <v>0</v>
      </c>
      <c r="EGT77" s="223">
        <f xml:space="preserve"> InputsTS!EGT$184</f>
        <v>0</v>
      </c>
      <c r="EGU77" s="223">
        <f xml:space="preserve"> InputsTS!EGU$184</f>
        <v>0</v>
      </c>
      <c r="EGV77" s="223">
        <f xml:space="preserve"> InputsTS!EGV$184</f>
        <v>0</v>
      </c>
      <c r="EGW77" s="223">
        <f xml:space="preserve"> InputsTS!EGW$184</f>
        <v>0</v>
      </c>
      <c r="EGX77" s="223">
        <f xml:space="preserve"> InputsTS!EGX$184</f>
        <v>0</v>
      </c>
      <c r="EGY77" s="223">
        <f xml:space="preserve"> InputsTS!EGY$184</f>
        <v>0</v>
      </c>
      <c r="EGZ77" s="223">
        <f xml:space="preserve"> InputsTS!EGZ$184</f>
        <v>0</v>
      </c>
      <c r="EHA77" s="223">
        <f xml:space="preserve"> InputsTS!EHA$184</f>
        <v>0</v>
      </c>
      <c r="EHB77" s="223">
        <f xml:space="preserve"> InputsTS!EHB$184</f>
        <v>0</v>
      </c>
      <c r="EHC77" s="223">
        <f xml:space="preserve"> InputsTS!EHC$184</f>
        <v>0</v>
      </c>
      <c r="EHD77" s="223">
        <f xml:space="preserve"> InputsTS!EHD$184</f>
        <v>0</v>
      </c>
      <c r="EHE77" s="223">
        <f xml:space="preserve"> InputsTS!EHE$184</f>
        <v>0</v>
      </c>
      <c r="EHF77" s="223">
        <f xml:space="preserve"> InputsTS!EHF$184</f>
        <v>0</v>
      </c>
      <c r="EHG77" s="223">
        <f xml:space="preserve"> InputsTS!EHG$184</f>
        <v>0</v>
      </c>
      <c r="EHH77" s="223">
        <f xml:space="preserve"> InputsTS!EHH$184</f>
        <v>0</v>
      </c>
      <c r="EHI77" s="223">
        <f xml:space="preserve"> InputsTS!EHI$184</f>
        <v>0</v>
      </c>
      <c r="EHJ77" s="223">
        <f xml:space="preserve"> InputsTS!EHJ$184</f>
        <v>0</v>
      </c>
      <c r="EHK77" s="223">
        <f xml:space="preserve"> InputsTS!EHK$184</f>
        <v>0</v>
      </c>
      <c r="EHL77" s="223">
        <f xml:space="preserve"> InputsTS!EHL$184</f>
        <v>0</v>
      </c>
      <c r="EHM77" s="223">
        <f xml:space="preserve"> InputsTS!EHM$184</f>
        <v>0</v>
      </c>
      <c r="EHN77" s="223">
        <f xml:space="preserve"> InputsTS!EHN$184</f>
        <v>0</v>
      </c>
      <c r="EHO77" s="223">
        <f xml:space="preserve"> InputsTS!EHO$184</f>
        <v>0</v>
      </c>
      <c r="EHP77" s="223">
        <f xml:space="preserve"> InputsTS!EHP$184</f>
        <v>0</v>
      </c>
      <c r="EHQ77" s="223">
        <f xml:space="preserve"> InputsTS!EHQ$184</f>
        <v>0</v>
      </c>
      <c r="EHR77" s="223">
        <f xml:space="preserve"> InputsTS!EHR$184</f>
        <v>0</v>
      </c>
      <c r="EHS77" s="223">
        <f xml:space="preserve"> InputsTS!EHS$184</f>
        <v>0</v>
      </c>
      <c r="EHT77" s="223">
        <f xml:space="preserve"> InputsTS!EHT$184</f>
        <v>0</v>
      </c>
      <c r="EHU77" s="223">
        <f xml:space="preserve"> InputsTS!EHU$184</f>
        <v>0</v>
      </c>
      <c r="EHV77" s="223">
        <f xml:space="preserve"> InputsTS!EHV$184</f>
        <v>0</v>
      </c>
      <c r="EHW77" s="223">
        <f xml:space="preserve"> InputsTS!EHW$184</f>
        <v>0</v>
      </c>
      <c r="EHX77" s="223">
        <f xml:space="preserve"> InputsTS!EHX$184</f>
        <v>0</v>
      </c>
      <c r="EHY77" s="223">
        <f xml:space="preserve"> InputsTS!EHY$184</f>
        <v>0</v>
      </c>
      <c r="EHZ77" s="223">
        <f xml:space="preserve"> InputsTS!EHZ$184</f>
        <v>0</v>
      </c>
      <c r="EIA77" s="223">
        <f xml:space="preserve"> InputsTS!EIA$184</f>
        <v>0</v>
      </c>
      <c r="EIB77" s="223">
        <f xml:space="preserve"> InputsTS!EIB$184</f>
        <v>0</v>
      </c>
      <c r="EIC77" s="223">
        <f xml:space="preserve"> InputsTS!EIC$184</f>
        <v>0</v>
      </c>
      <c r="EID77" s="223">
        <f xml:space="preserve"> InputsTS!EID$184</f>
        <v>0</v>
      </c>
      <c r="EIE77" s="223">
        <f xml:space="preserve"> InputsTS!EIE$184</f>
        <v>0</v>
      </c>
      <c r="EIF77" s="223">
        <f xml:space="preserve"> InputsTS!EIF$184</f>
        <v>0</v>
      </c>
      <c r="EIG77" s="223">
        <f xml:space="preserve"> InputsTS!EIG$184</f>
        <v>0</v>
      </c>
      <c r="EIH77" s="223">
        <f xml:space="preserve"> InputsTS!EIH$184</f>
        <v>0</v>
      </c>
      <c r="EII77" s="223">
        <f xml:space="preserve"> InputsTS!EII$184</f>
        <v>0</v>
      </c>
      <c r="EIJ77" s="223">
        <f xml:space="preserve"> InputsTS!EIJ$184</f>
        <v>0</v>
      </c>
      <c r="EIK77" s="223">
        <f xml:space="preserve"> InputsTS!EIK$184</f>
        <v>0</v>
      </c>
      <c r="EIL77" s="223">
        <f xml:space="preserve"> InputsTS!EIL$184</f>
        <v>0</v>
      </c>
      <c r="EIM77" s="223">
        <f xml:space="preserve"> InputsTS!EIM$184</f>
        <v>0</v>
      </c>
      <c r="EIN77" s="223">
        <f xml:space="preserve"> InputsTS!EIN$184</f>
        <v>0</v>
      </c>
      <c r="EIO77" s="223">
        <f xml:space="preserve"> InputsTS!EIO$184</f>
        <v>0</v>
      </c>
      <c r="EIP77" s="223">
        <f xml:space="preserve"> InputsTS!EIP$184</f>
        <v>0</v>
      </c>
      <c r="EIQ77" s="223">
        <f xml:space="preserve"> InputsTS!EIQ$184</f>
        <v>0</v>
      </c>
      <c r="EIR77" s="223">
        <f xml:space="preserve"> InputsTS!EIR$184</f>
        <v>0</v>
      </c>
      <c r="EIS77" s="223">
        <f xml:space="preserve"> InputsTS!EIS$184</f>
        <v>0</v>
      </c>
      <c r="EIT77" s="223">
        <f xml:space="preserve"> InputsTS!EIT$184</f>
        <v>0</v>
      </c>
      <c r="EIU77" s="223">
        <f xml:space="preserve"> InputsTS!EIU$184</f>
        <v>0</v>
      </c>
      <c r="EIV77" s="223">
        <f xml:space="preserve"> InputsTS!EIV$184</f>
        <v>0</v>
      </c>
      <c r="EIW77" s="223">
        <f xml:space="preserve"> InputsTS!EIW$184</f>
        <v>0</v>
      </c>
      <c r="EIX77" s="223">
        <f xml:space="preserve"> InputsTS!EIX$184</f>
        <v>0</v>
      </c>
      <c r="EIY77" s="223">
        <f xml:space="preserve"> InputsTS!EIY$184</f>
        <v>0</v>
      </c>
      <c r="EIZ77" s="223">
        <f xml:space="preserve"> InputsTS!EIZ$184</f>
        <v>0</v>
      </c>
      <c r="EJA77" s="223">
        <f xml:space="preserve"> InputsTS!EJA$184</f>
        <v>0</v>
      </c>
      <c r="EJB77" s="223">
        <f xml:space="preserve"> InputsTS!EJB$184</f>
        <v>0</v>
      </c>
      <c r="EJC77" s="223">
        <f xml:space="preserve"> InputsTS!EJC$184</f>
        <v>0</v>
      </c>
      <c r="EJD77" s="223">
        <f xml:space="preserve"> InputsTS!EJD$184</f>
        <v>0</v>
      </c>
      <c r="EJE77" s="223">
        <f xml:space="preserve"> InputsTS!EJE$184</f>
        <v>0</v>
      </c>
      <c r="EJF77" s="223">
        <f xml:space="preserve"> InputsTS!EJF$184</f>
        <v>0</v>
      </c>
      <c r="EJG77" s="223">
        <f xml:space="preserve"> InputsTS!EJG$184</f>
        <v>0</v>
      </c>
      <c r="EJH77" s="223">
        <f xml:space="preserve"> InputsTS!EJH$184</f>
        <v>0</v>
      </c>
      <c r="EJI77" s="223">
        <f xml:space="preserve"> InputsTS!EJI$184</f>
        <v>0</v>
      </c>
      <c r="EJJ77" s="223">
        <f xml:space="preserve"> InputsTS!EJJ$184</f>
        <v>0</v>
      </c>
      <c r="EJK77" s="223">
        <f xml:space="preserve"> InputsTS!EJK$184</f>
        <v>0</v>
      </c>
      <c r="EJL77" s="223">
        <f xml:space="preserve"> InputsTS!EJL$184</f>
        <v>0</v>
      </c>
      <c r="EJM77" s="223">
        <f xml:space="preserve"> InputsTS!EJM$184</f>
        <v>0</v>
      </c>
      <c r="EJN77" s="223">
        <f xml:space="preserve"> InputsTS!EJN$184</f>
        <v>0</v>
      </c>
      <c r="EJO77" s="223">
        <f xml:space="preserve"> InputsTS!EJO$184</f>
        <v>0</v>
      </c>
      <c r="EJP77" s="223">
        <f xml:space="preserve"> InputsTS!EJP$184</f>
        <v>0</v>
      </c>
      <c r="EJQ77" s="223">
        <f xml:space="preserve"> InputsTS!EJQ$184</f>
        <v>0</v>
      </c>
      <c r="EJR77" s="223">
        <f xml:space="preserve"> InputsTS!EJR$184</f>
        <v>0</v>
      </c>
      <c r="EJS77" s="223">
        <f xml:space="preserve"> InputsTS!EJS$184</f>
        <v>0</v>
      </c>
      <c r="EJT77" s="223">
        <f xml:space="preserve"> InputsTS!EJT$184</f>
        <v>0</v>
      </c>
      <c r="EJU77" s="223">
        <f xml:space="preserve"> InputsTS!EJU$184</f>
        <v>0</v>
      </c>
      <c r="EJV77" s="223">
        <f xml:space="preserve"> InputsTS!EJV$184</f>
        <v>0</v>
      </c>
      <c r="EJW77" s="223">
        <f xml:space="preserve"> InputsTS!EJW$184</f>
        <v>0</v>
      </c>
      <c r="EJX77" s="223">
        <f xml:space="preserve"> InputsTS!EJX$184</f>
        <v>0</v>
      </c>
      <c r="EJY77" s="223">
        <f xml:space="preserve"> InputsTS!EJY$184</f>
        <v>0</v>
      </c>
      <c r="EJZ77" s="223">
        <f xml:space="preserve"> InputsTS!EJZ$184</f>
        <v>0</v>
      </c>
      <c r="EKA77" s="223">
        <f xml:space="preserve"> InputsTS!EKA$184</f>
        <v>0</v>
      </c>
      <c r="EKB77" s="223">
        <f xml:space="preserve"> InputsTS!EKB$184</f>
        <v>0</v>
      </c>
      <c r="EKC77" s="223">
        <f xml:space="preserve"> InputsTS!EKC$184</f>
        <v>0</v>
      </c>
      <c r="EKD77" s="223">
        <f xml:space="preserve"> InputsTS!EKD$184</f>
        <v>0</v>
      </c>
      <c r="EKE77" s="223">
        <f xml:space="preserve"> InputsTS!EKE$184</f>
        <v>0</v>
      </c>
      <c r="EKF77" s="223">
        <f xml:space="preserve"> InputsTS!EKF$184</f>
        <v>0</v>
      </c>
      <c r="EKG77" s="223">
        <f xml:space="preserve"> InputsTS!EKG$184</f>
        <v>0</v>
      </c>
      <c r="EKH77" s="223">
        <f xml:space="preserve"> InputsTS!EKH$184</f>
        <v>0</v>
      </c>
      <c r="EKI77" s="223">
        <f xml:space="preserve"> InputsTS!EKI$184</f>
        <v>0</v>
      </c>
      <c r="EKJ77" s="223">
        <f xml:space="preserve"> InputsTS!EKJ$184</f>
        <v>0</v>
      </c>
      <c r="EKK77" s="223">
        <f xml:space="preserve"> InputsTS!EKK$184</f>
        <v>0</v>
      </c>
      <c r="EKL77" s="223">
        <f xml:space="preserve"> InputsTS!EKL$184</f>
        <v>0</v>
      </c>
      <c r="EKM77" s="223">
        <f xml:space="preserve"> InputsTS!EKM$184</f>
        <v>0</v>
      </c>
      <c r="EKN77" s="223">
        <f xml:space="preserve"> InputsTS!EKN$184</f>
        <v>0</v>
      </c>
      <c r="EKO77" s="223">
        <f xml:space="preserve"> InputsTS!EKO$184</f>
        <v>0</v>
      </c>
      <c r="EKP77" s="223">
        <f xml:space="preserve"> InputsTS!EKP$184</f>
        <v>0</v>
      </c>
      <c r="EKQ77" s="223">
        <f xml:space="preserve"> InputsTS!EKQ$184</f>
        <v>0</v>
      </c>
      <c r="EKR77" s="223">
        <f xml:space="preserve"> InputsTS!EKR$184</f>
        <v>0</v>
      </c>
      <c r="EKS77" s="223">
        <f xml:space="preserve"> InputsTS!EKS$184</f>
        <v>0</v>
      </c>
      <c r="EKT77" s="223">
        <f xml:space="preserve"> InputsTS!EKT$184</f>
        <v>0</v>
      </c>
      <c r="EKU77" s="223">
        <f xml:space="preserve"> InputsTS!EKU$184</f>
        <v>0</v>
      </c>
      <c r="EKV77" s="223">
        <f xml:space="preserve"> InputsTS!EKV$184</f>
        <v>0</v>
      </c>
      <c r="EKW77" s="223">
        <f xml:space="preserve"> InputsTS!EKW$184</f>
        <v>0</v>
      </c>
      <c r="EKX77" s="223">
        <f xml:space="preserve"> InputsTS!EKX$184</f>
        <v>0</v>
      </c>
      <c r="EKY77" s="223">
        <f xml:space="preserve"> InputsTS!EKY$184</f>
        <v>0</v>
      </c>
      <c r="EKZ77" s="223">
        <f xml:space="preserve"> InputsTS!EKZ$184</f>
        <v>0</v>
      </c>
      <c r="ELA77" s="223">
        <f xml:space="preserve"> InputsTS!ELA$184</f>
        <v>0</v>
      </c>
      <c r="ELB77" s="223">
        <f xml:space="preserve"> InputsTS!ELB$184</f>
        <v>0</v>
      </c>
      <c r="ELC77" s="223">
        <f xml:space="preserve"> InputsTS!ELC$184</f>
        <v>0</v>
      </c>
      <c r="ELD77" s="223">
        <f xml:space="preserve"> InputsTS!ELD$184</f>
        <v>0</v>
      </c>
      <c r="ELE77" s="223">
        <f xml:space="preserve"> InputsTS!ELE$184</f>
        <v>0</v>
      </c>
      <c r="ELF77" s="223">
        <f xml:space="preserve"> InputsTS!ELF$184</f>
        <v>0</v>
      </c>
      <c r="ELG77" s="223">
        <f xml:space="preserve"> InputsTS!ELG$184</f>
        <v>0</v>
      </c>
      <c r="ELH77" s="223">
        <f xml:space="preserve"> InputsTS!ELH$184</f>
        <v>0</v>
      </c>
      <c r="ELI77" s="223">
        <f xml:space="preserve"> InputsTS!ELI$184</f>
        <v>0</v>
      </c>
      <c r="ELJ77" s="223">
        <f xml:space="preserve"> InputsTS!ELJ$184</f>
        <v>0</v>
      </c>
      <c r="ELK77" s="223">
        <f xml:space="preserve"> InputsTS!ELK$184</f>
        <v>0</v>
      </c>
      <c r="ELL77" s="223">
        <f xml:space="preserve"> InputsTS!ELL$184</f>
        <v>0</v>
      </c>
      <c r="ELM77" s="223">
        <f xml:space="preserve"> InputsTS!ELM$184</f>
        <v>0</v>
      </c>
      <c r="ELN77" s="223">
        <f xml:space="preserve"> InputsTS!ELN$184</f>
        <v>0</v>
      </c>
      <c r="ELO77" s="223">
        <f xml:space="preserve"> InputsTS!ELO$184</f>
        <v>0</v>
      </c>
      <c r="ELP77" s="223">
        <f xml:space="preserve"> InputsTS!ELP$184</f>
        <v>0</v>
      </c>
      <c r="ELQ77" s="223">
        <f xml:space="preserve"> InputsTS!ELQ$184</f>
        <v>0</v>
      </c>
      <c r="ELR77" s="223">
        <f xml:space="preserve"> InputsTS!ELR$184</f>
        <v>0</v>
      </c>
      <c r="ELS77" s="223">
        <f xml:space="preserve"> InputsTS!ELS$184</f>
        <v>0</v>
      </c>
      <c r="ELT77" s="223">
        <f xml:space="preserve"> InputsTS!ELT$184</f>
        <v>0</v>
      </c>
      <c r="ELU77" s="223">
        <f xml:space="preserve"> InputsTS!ELU$184</f>
        <v>0</v>
      </c>
      <c r="ELV77" s="223">
        <f xml:space="preserve"> InputsTS!ELV$184</f>
        <v>0</v>
      </c>
      <c r="ELW77" s="223">
        <f xml:space="preserve"> InputsTS!ELW$184</f>
        <v>0</v>
      </c>
      <c r="ELX77" s="223">
        <f xml:space="preserve"> InputsTS!ELX$184</f>
        <v>0</v>
      </c>
      <c r="ELY77" s="223">
        <f xml:space="preserve"> InputsTS!ELY$184</f>
        <v>0</v>
      </c>
      <c r="ELZ77" s="223">
        <f xml:space="preserve"> InputsTS!ELZ$184</f>
        <v>0</v>
      </c>
      <c r="EMA77" s="223">
        <f xml:space="preserve"> InputsTS!EMA$184</f>
        <v>0</v>
      </c>
      <c r="EMB77" s="223">
        <f xml:space="preserve"> InputsTS!EMB$184</f>
        <v>0</v>
      </c>
      <c r="EMC77" s="223">
        <f xml:space="preserve"> InputsTS!EMC$184</f>
        <v>0</v>
      </c>
      <c r="EMD77" s="223">
        <f xml:space="preserve"> InputsTS!EMD$184</f>
        <v>0</v>
      </c>
      <c r="EME77" s="223">
        <f xml:space="preserve"> InputsTS!EME$184</f>
        <v>0</v>
      </c>
      <c r="EMF77" s="223">
        <f xml:space="preserve"> InputsTS!EMF$184</f>
        <v>0</v>
      </c>
      <c r="EMG77" s="223">
        <f xml:space="preserve"> InputsTS!EMG$184</f>
        <v>0</v>
      </c>
      <c r="EMH77" s="223">
        <f xml:space="preserve"> InputsTS!EMH$184</f>
        <v>0</v>
      </c>
      <c r="EMI77" s="223">
        <f xml:space="preserve"> InputsTS!EMI$184</f>
        <v>0</v>
      </c>
      <c r="EMJ77" s="223">
        <f xml:space="preserve"> InputsTS!EMJ$184</f>
        <v>0</v>
      </c>
      <c r="EMK77" s="223">
        <f xml:space="preserve"> InputsTS!EMK$184</f>
        <v>0</v>
      </c>
      <c r="EML77" s="223">
        <f xml:space="preserve"> InputsTS!EML$184</f>
        <v>0</v>
      </c>
      <c r="EMM77" s="223">
        <f xml:space="preserve"> InputsTS!EMM$184</f>
        <v>0</v>
      </c>
      <c r="EMN77" s="223">
        <f xml:space="preserve"> InputsTS!EMN$184</f>
        <v>0</v>
      </c>
      <c r="EMO77" s="223">
        <f xml:space="preserve"> InputsTS!EMO$184</f>
        <v>0</v>
      </c>
      <c r="EMP77" s="223">
        <f xml:space="preserve"> InputsTS!EMP$184</f>
        <v>0</v>
      </c>
      <c r="EMQ77" s="223">
        <f xml:space="preserve"> InputsTS!EMQ$184</f>
        <v>0</v>
      </c>
      <c r="EMR77" s="223">
        <f xml:space="preserve"> InputsTS!EMR$184</f>
        <v>0</v>
      </c>
      <c r="EMS77" s="223">
        <f xml:space="preserve"> InputsTS!EMS$184</f>
        <v>0</v>
      </c>
      <c r="EMT77" s="223">
        <f xml:space="preserve"> InputsTS!EMT$184</f>
        <v>0</v>
      </c>
      <c r="EMU77" s="223">
        <f xml:space="preserve"> InputsTS!EMU$184</f>
        <v>0</v>
      </c>
      <c r="EMV77" s="223">
        <f xml:space="preserve"> InputsTS!EMV$184</f>
        <v>0</v>
      </c>
      <c r="EMW77" s="223">
        <f xml:space="preserve"> InputsTS!EMW$184</f>
        <v>0</v>
      </c>
      <c r="EMX77" s="223">
        <f xml:space="preserve"> InputsTS!EMX$184</f>
        <v>0</v>
      </c>
      <c r="EMY77" s="223">
        <f xml:space="preserve"> InputsTS!EMY$184</f>
        <v>0</v>
      </c>
      <c r="EMZ77" s="223">
        <f xml:space="preserve"> InputsTS!EMZ$184</f>
        <v>0</v>
      </c>
      <c r="ENA77" s="223">
        <f xml:space="preserve"> InputsTS!ENA$184</f>
        <v>0</v>
      </c>
      <c r="ENB77" s="223">
        <f xml:space="preserve"> InputsTS!ENB$184</f>
        <v>0</v>
      </c>
      <c r="ENC77" s="223">
        <f xml:space="preserve"> InputsTS!ENC$184</f>
        <v>0</v>
      </c>
      <c r="END77" s="223">
        <f xml:space="preserve"> InputsTS!END$184</f>
        <v>0</v>
      </c>
      <c r="ENE77" s="223">
        <f xml:space="preserve"> InputsTS!ENE$184</f>
        <v>0</v>
      </c>
      <c r="ENF77" s="223">
        <f xml:space="preserve"> InputsTS!ENF$184</f>
        <v>0</v>
      </c>
      <c r="ENG77" s="223">
        <f xml:space="preserve"> InputsTS!ENG$184</f>
        <v>0</v>
      </c>
      <c r="ENH77" s="223">
        <f xml:space="preserve"> InputsTS!ENH$184</f>
        <v>0</v>
      </c>
      <c r="ENI77" s="223">
        <f xml:space="preserve"> InputsTS!ENI$184</f>
        <v>0</v>
      </c>
      <c r="ENJ77" s="223">
        <f xml:space="preserve"> InputsTS!ENJ$184</f>
        <v>0</v>
      </c>
      <c r="ENK77" s="223">
        <f xml:space="preserve"> InputsTS!ENK$184</f>
        <v>0</v>
      </c>
      <c r="ENL77" s="223">
        <f xml:space="preserve"> InputsTS!ENL$184</f>
        <v>0</v>
      </c>
      <c r="ENM77" s="223">
        <f xml:space="preserve"> InputsTS!ENM$184</f>
        <v>0</v>
      </c>
      <c r="ENN77" s="223">
        <f xml:space="preserve"> InputsTS!ENN$184</f>
        <v>0</v>
      </c>
      <c r="ENO77" s="223">
        <f xml:space="preserve"> InputsTS!ENO$184</f>
        <v>0</v>
      </c>
      <c r="ENP77" s="223">
        <f xml:space="preserve"> InputsTS!ENP$184</f>
        <v>0</v>
      </c>
      <c r="ENQ77" s="223">
        <f xml:space="preserve"> InputsTS!ENQ$184</f>
        <v>0</v>
      </c>
      <c r="ENR77" s="223">
        <f xml:space="preserve"> InputsTS!ENR$184</f>
        <v>0</v>
      </c>
      <c r="ENS77" s="223">
        <f xml:space="preserve"> InputsTS!ENS$184</f>
        <v>0</v>
      </c>
      <c r="ENT77" s="223">
        <f xml:space="preserve"> InputsTS!ENT$184</f>
        <v>0</v>
      </c>
      <c r="ENU77" s="223">
        <f xml:space="preserve"> InputsTS!ENU$184</f>
        <v>0</v>
      </c>
      <c r="ENV77" s="223">
        <f xml:space="preserve"> InputsTS!ENV$184</f>
        <v>0</v>
      </c>
      <c r="ENW77" s="223">
        <f xml:space="preserve"> InputsTS!ENW$184</f>
        <v>0</v>
      </c>
      <c r="ENX77" s="223">
        <f xml:space="preserve"> InputsTS!ENX$184</f>
        <v>0</v>
      </c>
      <c r="ENY77" s="223">
        <f xml:space="preserve"> InputsTS!ENY$184</f>
        <v>0</v>
      </c>
      <c r="ENZ77" s="223">
        <f xml:space="preserve"> InputsTS!ENZ$184</f>
        <v>0</v>
      </c>
      <c r="EOA77" s="223">
        <f xml:space="preserve"> InputsTS!EOA$184</f>
        <v>0</v>
      </c>
      <c r="EOB77" s="223">
        <f xml:space="preserve"> InputsTS!EOB$184</f>
        <v>0</v>
      </c>
      <c r="EOC77" s="223">
        <f xml:space="preserve"> InputsTS!EOC$184</f>
        <v>0</v>
      </c>
      <c r="EOD77" s="223">
        <f xml:space="preserve"> InputsTS!EOD$184</f>
        <v>0</v>
      </c>
      <c r="EOE77" s="223">
        <f xml:space="preserve"> InputsTS!EOE$184</f>
        <v>0</v>
      </c>
      <c r="EOF77" s="223">
        <f xml:space="preserve"> InputsTS!EOF$184</f>
        <v>0</v>
      </c>
      <c r="EOG77" s="223">
        <f xml:space="preserve"> InputsTS!EOG$184</f>
        <v>0</v>
      </c>
      <c r="EOH77" s="223">
        <f xml:space="preserve"> InputsTS!EOH$184</f>
        <v>0</v>
      </c>
      <c r="EOI77" s="223">
        <f xml:space="preserve"> InputsTS!EOI$184</f>
        <v>0</v>
      </c>
      <c r="EOJ77" s="223">
        <f xml:space="preserve"> InputsTS!EOJ$184</f>
        <v>0</v>
      </c>
      <c r="EOK77" s="223">
        <f xml:space="preserve"> InputsTS!EOK$184</f>
        <v>0</v>
      </c>
      <c r="EOL77" s="223">
        <f xml:space="preserve"> InputsTS!EOL$184</f>
        <v>0</v>
      </c>
      <c r="EOM77" s="223">
        <f xml:space="preserve"> InputsTS!EOM$184</f>
        <v>0</v>
      </c>
      <c r="EON77" s="223">
        <f xml:space="preserve"> InputsTS!EON$184</f>
        <v>0</v>
      </c>
      <c r="EOO77" s="223">
        <f xml:space="preserve"> InputsTS!EOO$184</f>
        <v>0</v>
      </c>
      <c r="EOP77" s="223">
        <f xml:space="preserve"> InputsTS!EOP$184</f>
        <v>0</v>
      </c>
      <c r="EOQ77" s="223">
        <f xml:space="preserve"> InputsTS!EOQ$184</f>
        <v>0</v>
      </c>
      <c r="EOR77" s="223">
        <f xml:space="preserve"> InputsTS!EOR$184</f>
        <v>0</v>
      </c>
      <c r="EOS77" s="223">
        <f xml:space="preserve"> InputsTS!EOS$184</f>
        <v>0</v>
      </c>
      <c r="EOT77" s="223">
        <f xml:space="preserve"> InputsTS!EOT$184</f>
        <v>0</v>
      </c>
      <c r="EOU77" s="223">
        <f xml:space="preserve"> InputsTS!EOU$184</f>
        <v>0</v>
      </c>
      <c r="EOV77" s="223">
        <f xml:space="preserve"> InputsTS!EOV$184</f>
        <v>0</v>
      </c>
      <c r="EOW77" s="223">
        <f xml:space="preserve"> InputsTS!EOW$184</f>
        <v>0</v>
      </c>
      <c r="EOX77" s="223">
        <f xml:space="preserve"> InputsTS!EOX$184</f>
        <v>0</v>
      </c>
      <c r="EOY77" s="223">
        <f xml:space="preserve"> InputsTS!EOY$184</f>
        <v>0</v>
      </c>
      <c r="EOZ77" s="223">
        <f xml:space="preserve"> InputsTS!EOZ$184</f>
        <v>0</v>
      </c>
      <c r="EPA77" s="223">
        <f xml:space="preserve"> InputsTS!EPA$184</f>
        <v>0</v>
      </c>
      <c r="EPB77" s="223">
        <f xml:space="preserve"> InputsTS!EPB$184</f>
        <v>0</v>
      </c>
      <c r="EPC77" s="223">
        <f xml:space="preserve"> InputsTS!EPC$184</f>
        <v>0</v>
      </c>
      <c r="EPD77" s="223">
        <f xml:space="preserve"> InputsTS!EPD$184</f>
        <v>0</v>
      </c>
      <c r="EPE77" s="223">
        <f xml:space="preserve"> InputsTS!EPE$184</f>
        <v>0</v>
      </c>
      <c r="EPF77" s="223">
        <f xml:space="preserve"> InputsTS!EPF$184</f>
        <v>0</v>
      </c>
      <c r="EPG77" s="223">
        <f xml:space="preserve"> InputsTS!EPG$184</f>
        <v>0</v>
      </c>
      <c r="EPH77" s="223">
        <f xml:space="preserve"> InputsTS!EPH$184</f>
        <v>0</v>
      </c>
      <c r="EPI77" s="223">
        <f xml:space="preserve"> InputsTS!EPI$184</f>
        <v>0</v>
      </c>
      <c r="EPJ77" s="223">
        <f xml:space="preserve"> InputsTS!EPJ$184</f>
        <v>0</v>
      </c>
      <c r="EPK77" s="223">
        <f xml:space="preserve"> InputsTS!EPK$184</f>
        <v>0</v>
      </c>
      <c r="EPL77" s="223">
        <f xml:space="preserve"> InputsTS!EPL$184</f>
        <v>0</v>
      </c>
      <c r="EPM77" s="223">
        <f xml:space="preserve"> InputsTS!EPM$184</f>
        <v>0</v>
      </c>
      <c r="EPN77" s="223">
        <f xml:space="preserve"> InputsTS!EPN$184</f>
        <v>0</v>
      </c>
      <c r="EPO77" s="223">
        <f xml:space="preserve"> InputsTS!EPO$184</f>
        <v>0</v>
      </c>
      <c r="EPP77" s="223">
        <f xml:space="preserve"> InputsTS!EPP$184</f>
        <v>0</v>
      </c>
      <c r="EPQ77" s="223">
        <f xml:space="preserve"> InputsTS!EPQ$184</f>
        <v>0</v>
      </c>
      <c r="EPR77" s="223">
        <f xml:space="preserve"> InputsTS!EPR$184</f>
        <v>0</v>
      </c>
      <c r="EPS77" s="223">
        <f xml:space="preserve"> InputsTS!EPS$184</f>
        <v>0</v>
      </c>
      <c r="EPT77" s="223">
        <f xml:space="preserve"> InputsTS!EPT$184</f>
        <v>0</v>
      </c>
      <c r="EPU77" s="223">
        <f xml:space="preserve"> InputsTS!EPU$184</f>
        <v>0</v>
      </c>
      <c r="EPV77" s="223">
        <f xml:space="preserve"> InputsTS!EPV$184</f>
        <v>0</v>
      </c>
      <c r="EPW77" s="223">
        <f xml:space="preserve"> InputsTS!EPW$184</f>
        <v>0</v>
      </c>
      <c r="EPX77" s="223">
        <f xml:space="preserve"> InputsTS!EPX$184</f>
        <v>0</v>
      </c>
      <c r="EPY77" s="223">
        <f xml:space="preserve"> InputsTS!EPY$184</f>
        <v>0</v>
      </c>
      <c r="EPZ77" s="223">
        <f xml:space="preserve"> InputsTS!EPZ$184</f>
        <v>0</v>
      </c>
      <c r="EQA77" s="223">
        <f xml:space="preserve"> InputsTS!EQA$184</f>
        <v>0</v>
      </c>
      <c r="EQB77" s="223">
        <f xml:space="preserve"> InputsTS!EQB$184</f>
        <v>0</v>
      </c>
      <c r="EQC77" s="223">
        <f xml:space="preserve"> InputsTS!EQC$184</f>
        <v>0</v>
      </c>
      <c r="EQD77" s="223">
        <f xml:space="preserve"> InputsTS!EQD$184</f>
        <v>0</v>
      </c>
      <c r="EQE77" s="223">
        <f xml:space="preserve"> InputsTS!EQE$184</f>
        <v>0</v>
      </c>
      <c r="EQF77" s="223">
        <f xml:space="preserve"> InputsTS!EQF$184</f>
        <v>0</v>
      </c>
      <c r="EQG77" s="223">
        <f xml:space="preserve"> InputsTS!EQG$184</f>
        <v>0</v>
      </c>
      <c r="EQH77" s="223">
        <f xml:space="preserve"> InputsTS!EQH$184</f>
        <v>0</v>
      </c>
      <c r="EQI77" s="223">
        <f xml:space="preserve"> InputsTS!EQI$184</f>
        <v>0</v>
      </c>
      <c r="EQJ77" s="223">
        <f xml:space="preserve"> InputsTS!EQJ$184</f>
        <v>0</v>
      </c>
      <c r="EQK77" s="223">
        <f xml:space="preserve"> InputsTS!EQK$184</f>
        <v>0</v>
      </c>
      <c r="EQL77" s="223">
        <f xml:space="preserve"> InputsTS!EQL$184</f>
        <v>0</v>
      </c>
      <c r="EQM77" s="223">
        <f xml:space="preserve"> InputsTS!EQM$184</f>
        <v>0</v>
      </c>
      <c r="EQN77" s="223">
        <f xml:space="preserve"> InputsTS!EQN$184</f>
        <v>0</v>
      </c>
      <c r="EQO77" s="223">
        <f xml:space="preserve"> InputsTS!EQO$184</f>
        <v>0</v>
      </c>
      <c r="EQP77" s="223">
        <f xml:space="preserve"> InputsTS!EQP$184</f>
        <v>0</v>
      </c>
      <c r="EQQ77" s="223">
        <f xml:space="preserve"> InputsTS!EQQ$184</f>
        <v>0</v>
      </c>
      <c r="EQR77" s="223">
        <f xml:space="preserve"> InputsTS!EQR$184</f>
        <v>0</v>
      </c>
      <c r="EQS77" s="223">
        <f xml:space="preserve"> InputsTS!EQS$184</f>
        <v>0</v>
      </c>
      <c r="EQT77" s="223">
        <f xml:space="preserve"> InputsTS!EQT$184</f>
        <v>0</v>
      </c>
      <c r="EQU77" s="223">
        <f xml:space="preserve"> InputsTS!EQU$184</f>
        <v>0</v>
      </c>
      <c r="EQV77" s="223">
        <f xml:space="preserve"> InputsTS!EQV$184</f>
        <v>0</v>
      </c>
      <c r="EQW77" s="223">
        <f xml:space="preserve"> InputsTS!EQW$184</f>
        <v>0</v>
      </c>
      <c r="EQX77" s="223">
        <f xml:space="preserve"> InputsTS!EQX$184</f>
        <v>0</v>
      </c>
      <c r="EQY77" s="223">
        <f xml:space="preserve"> InputsTS!EQY$184</f>
        <v>0</v>
      </c>
      <c r="EQZ77" s="223">
        <f xml:space="preserve"> InputsTS!EQZ$184</f>
        <v>0</v>
      </c>
      <c r="ERA77" s="223">
        <f xml:space="preserve"> InputsTS!ERA$184</f>
        <v>0</v>
      </c>
      <c r="ERB77" s="223">
        <f xml:space="preserve"> InputsTS!ERB$184</f>
        <v>0</v>
      </c>
      <c r="ERC77" s="223">
        <f xml:space="preserve"> InputsTS!ERC$184</f>
        <v>0</v>
      </c>
      <c r="ERD77" s="223">
        <f xml:space="preserve"> InputsTS!ERD$184</f>
        <v>0</v>
      </c>
      <c r="ERE77" s="223">
        <f xml:space="preserve"> InputsTS!ERE$184</f>
        <v>0</v>
      </c>
      <c r="ERF77" s="223">
        <f xml:space="preserve"> InputsTS!ERF$184</f>
        <v>0</v>
      </c>
      <c r="ERG77" s="223">
        <f xml:space="preserve"> InputsTS!ERG$184</f>
        <v>0</v>
      </c>
      <c r="ERH77" s="223">
        <f xml:space="preserve"> InputsTS!ERH$184</f>
        <v>0</v>
      </c>
      <c r="ERI77" s="223">
        <f xml:space="preserve"> InputsTS!ERI$184</f>
        <v>0</v>
      </c>
      <c r="ERJ77" s="223">
        <f xml:space="preserve"> InputsTS!ERJ$184</f>
        <v>0</v>
      </c>
      <c r="ERK77" s="223">
        <f xml:space="preserve"> InputsTS!ERK$184</f>
        <v>0</v>
      </c>
      <c r="ERL77" s="223">
        <f xml:space="preserve"> InputsTS!ERL$184</f>
        <v>0</v>
      </c>
      <c r="ERM77" s="223">
        <f xml:space="preserve"> InputsTS!ERM$184</f>
        <v>0</v>
      </c>
      <c r="ERN77" s="223">
        <f xml:space="preserve"> InputsTS!ERN$184</f>
        <v>0</v>
      </c>
      <c r="ERO77" s="223">
        <f xml:space="preserve"> InputsTS!ERO$184</f>
        <v>0</v>
      </c>
      <c r="ERP77" s="223">
        <f xml:space="preserve"> InputsTS!ERP$184</f>
        <v>0</v>
      </c>
      <c r="ERQ77" s="223">
        <f xml:space="preserve"> InputsTS!ERQ$184</f>
        <v>0</v>
      </c>
      <c r="ERR77" s="223">
        <f xml:space="preserve"> InputsTS!ERR$184</f>
        <v>0</v>
      </c>
      <c r="ERS77" s="223">
        <f xml:space="preserve"> InputsTS!ERS$184</f>
        <v>0</v>
      </c>
      <c r="ERT77" s="223">
        <f xml:space="preserve"> InputsTS!ERT$184</f>
        <v>0</v>
      </c>
      <c r="ERU77" s="223">
        <f xml:space="preserve"> InputsTS!ERU$184</f>
        <v>0</v>
      </c>
      <c r="ERV77" s="223">
        <f xml:space="preserve"> InputsTS!ERV$184</f>
        <v>0</v>
      </c>
      <c r="ERW77" s="223">
        <f xml:space="preserve"> InputsTS!ERW$184</f>
        <v>0</v>
      </c>
      <c r="ERX77" s="223">
        <f xml:space="preserve"> InputsTS!ERX$184</f>
        <v>0</v>
      </c>
      <c r="ERY77" s="223">
        <f xml:space="preserve"> InputsTS!ERY$184</f>
        <v>0</v>
      </c>
      <c r="ERZ77" s="223">
        <f xml:space="preserve"> InputsTS!ERZ$184</f>
        <v>0</v>
      </c>
      <c r="ESA77" s="223">
        <f xml:space="preserve"> InputsTS!ESA$184</f>
        <v>0</v>
      </c>
      <c r="ESB77" s="223">
        <f xml:space="preserve"> InputsTS!ESB$184</f>
        <v>0</v>
      </c>
      <c r="ESC77" s="223">
        <f xml:space="preserve"> InputsTS!ESC$184</f>
        <v>0</v>
      </c>
      <c r="ESD77" s="223">
        <f xml:space="preserve"> InputsTS!ESD$184</f>
        <v>0</v>
      </c>
      <c r="ESE77" s="223">
        <f xml:space="preserve"> InputsTS!ESE$184</f>
        <v>0</v>
      </c>
      <c r="ESF77" s="223">
        <f xml:space="preserve"> InputsTS!ESF$184</f>
        <v>0</v>
      </c>
      <c r="ESG77" s="223">
        <f xml:space="preserve"> InputsTS!ESG$184</f>
        <v>0</v>
      </c>
      <c r="ESH77" s="223">
        <f xml:space="preserve"> InputsTS!ESH$184</f>
        <v>0</v>
      </c>
      <c r="ESI77" s="223">
        <f xml:space="preserve"> InputsTS!ESI$184</f>
        <v>0</v>
      </c>
      <c r="ESJ77" s="223">
        <f xml:space="preserve"> InputsTS!ESJ$184</f>
        <v>0</v>
      </c>
      <c r="ESK77" s="223">
        <f xml:space="preserve"> InputsTS!ESK$184</f>
        <v>0</v>
      </c>
      <c r="ESL77" s="223">
        <f xml:space="preserve"> InputsTS!ESL$184</f>
        <v>0</v>
      </c>
      <c r="ESM77" s="223">
        <f xml:space="preserve"> InputsTS!ESM$184</f>
        <v>0</v>
      </c>
      <c r="ESN77" s="223">
        <f xml:space="preserve"> InputsTS!ESN$184</f>
        <v>0</v>
      </c>
      <c r="ESO77" s="223">
        <f xml:space="preserve"> InputsTS!ESO$184</f>
        <v>0</v>
      </c>
      <c r="ESP77" s="223">
        <f xml:space="preserve"> InputsTS!ESP$184</f>
        <v>0</v>
      </c>
      <c r="ESQ77" s="223">
        <f xml:space="preserve"> InputsTS!ESQ$184</f>
        <v>0</v>
      </c>
      <c r="ESR77" s="223">
        <f xml:space="preserve"> InputsTS!ESR$184</f>
        <v>0</v>
      </c>
      <c r="ESS77" s="223">
        <f xml:space="preserve"> InputsTS!ESS$184</f>
        <v>0</v>
      </c>
      <c r="EST77" s="223">
        <f xml:space="preserve"> InputsTS!EST$184</f>
        <v>0</v>
      </c>
      <c r="ESU77" s="223">
        <f xml:space="preserve"> InputsTS!ESU$184</f>
        <v>0</v>
      </c>
      <c r="ESV77" s="223">
        <f xml:space="preserve"> InputsTS!ESV$184</f>
        <v>0</v>
      </c>
      <c r="ESW77" s="223">
        <f xml:space="preserve"> InputsTS!ESW$184</f>
        <v>0</v>
      </c>
      <c r="ESX77" s="223">
        <f xml:space="preserve"> InputsTS!ESX$184</f>
        <v>0</v>
      </c>
      <c r="ESY77" s="223">
        <f xml:space="preserve"> InputsTS!ESY$184</f>
        <v>0</v>
      </c>
      <c r="ESZ77" s="223">
        <f xml:space="preserve"> InputsTS!ESZ$184</f>
        <v>0</v>
      </c>
      <c r="ETA77" s="223">
        <f xml:space="preserve"> InputsTS!ETA$184</f>
        <v>0</v>
      </c>
      <c r="ETB77" s="223">
        <f xml:space="preserve"> InputsTS!ETB$184</f>
        <v>0</v>
      </c>
      <c r="ETC77" s="223">
        <f xml:space="preserve"> InputsTS!ETC$184</f>
        <v>0</v>
      </c>
      <c r="ETD77" s="223">
        <f xml:space="preserve"> InputsTS!ETD$184</f>
        <v>0</v>
      </c>
      <c r="ETE77" s="223">
        <f xml:space="preserve"> InputsTS!ETE$184</f>
        <v>0</v>
      </c>
      <c r="ETF77" s="223">
        <f xml:space="preserve"> InputsTS!ETF$184</f>
        <v>0</v>
      </c>
      <c r="ETG77" s="223">
        <f xml:space="preserve"> InputsTS!ETG$184</f>
        <v>0</v>
      </c>
      <c r="ETH77" s="223">
        <f xml:space="preserve"> InputsTS!ETH$184</f>
        <v>0</v>
      </c>
      <c r="ETI77" s="223">
        <f xml:space="preserve"> InputsTS!ETI$184</f>
        <v>0</v>
      </c>
      <c r="ETJ77" s="223">
        <f xml:space="preserve"> InputsTS!ETJ$184</f>
        <v>0</v>
      </c>
      <c r="ETK77" s="223">
        <f xml:space="preserve"> InputsTS!ETK$184</f>
        <v>0</v>
      </c>
      <c r="ETL77" s="223">
        <f xml:space="preserve"> InputsTS!ETL$184</f>
        <v>0</v>
      </c>
      <c r="ETM77" s="223">
        <f xml:space="preserve"> InputsTS!ETM$184</f>
        <v>0</v>
      </c>
      <c r="ETN77" s="223">
        <f xml:space="preserve"> InputsTS!ETN$184</f>
        <v>0</v>
      </c>
      <c r="ETO77" s="223">
        <f xml:space="preserve"> InputsTS!ETO$184</f>
        <v>0</v>
      </c>
      <c r="ETP77" s="223">
        <f xml:space="preserve"> InputsTS!ETP$184</f>
        <v>0</v>
      </c>
      <c r="ETQ77" s="223">
        <f xml:space="preserve"> InputsTS!ETQ$184</f>
        <v>0</v>
      </c>
      <c r="ETR77" s="223">
        <f xml:space="preserve"> InputsTS!ETR$184</f>
        <v>0</v>
      </c>
      <c r="ETS77" s="223">
        <f xml:space="preserve"> InputsTS!ETS$184</f>
        <v>0</v>
      </c>
      <c r="ETT77" s="223">
        <f xml:space="preserve"> InputsTS!ETT$184</f>
        <v>0</v>
      </c>
      <c r="ETU77" s="223">
        <f xml:space="preserve"> InputsTS!ETU$184</f>
        <v>0</v>
      </c>
      <c r="ETV77" s="223">
        <f xml:space="preserve"> InputsTS!ETV$184</f>
        <v>0</v>
      </c>
      <c r="ETW77" s="223">
        <f xml:space="preserve"> InputsTS!ETW$184</f>
        <v>0</v>
      </c>
      <c r="ETX77" s="223">
        <f xml:space="preserve"> InputsTS!ETX$184</f>
        <v>0</v>
      </c>
      <c r="ETY77" s="223">
        <f xml:space="preserve"> InputsTS!ETY$184</f>
        <v>0</v>
      </c>
      <c r="ETZ77" s="223">
        <f xml:space="preserve"> InputsTS!ETZ$184</f>
        <v>0</v>
      </c>
      <c r="EUA77" s="223">
        <f xml:space="preserve"> InputsTS!EUA$184</f>
        <v>0</v>
      </c>
      <c r="EUB77" s="223">
        <f xml:space="preserve"> InputsTS!EUB$184</f>
        <v>0</v>
      </c>
      <c r="EUC77" s="223">
        <f xml:space="preserve"> InputsTS!EUC$184</f>
        <v>0</v>
      </c>
      <c r="EUD77" s="223">
        <f xml:space="preserve"> InputsTS!EUD$184</f>
        <v>0</v>
      </c>
      <c r="EUE77" s="223">
        <f xml:space="preserve"> InputsTS!EUE$184</f>
        <v>0</v>
      </c>
      <c r="EUF77" s="223">
        <f xml:space="preserve"> InputsTS!EUF$184</f>
        <v>0</v>
      </c>
      <c r="EUG77" s="223">
        <f xml:space="preserve"> InputsTS!EUG$184</f>
        <v>0</v>
      </c>
      <c r="EUH77" s="223">
        <f xml:space="preserve"> InputsTS!EUH$184</f>
        <v>0</v>
      </c>
      <c r="EUI77" s="223">
        <f xml:space="preserve"> InputsTS!EUI$184</f>
        <v>0</v>
      </c>
      <c r="EUJ77" s="223">
        <f xml:space="preserve"> InputsTS!EUJ$184</f>
        <v>0</v>
      </c>
      <c r="EUK77" s="223">
        <f xml:space="preserve"> InputsTS!EUK$184</f>
        <v>0</v>
      </c>
      <c r="EUL77" s="223">
        <f xml:space="preserve"> InputsTS!EUL$184</f>
        <v>0</v>
      </c>
      <c r="EUM77" s="223">
        <f xml:space="preserve"> InputsTS!EUM$184</f>
        <v>0</v>
      </c>
      <c r="EUN77" s="223">
        <f xml:space="preserve"> InputsTS!EUN$184</f>
        <v>0</v>
      </c>
      <c r="EUO77" s="223">
        <f xml:space="preserve"> InputsTS!EUO$184</f>
        <v>0</v>
      </c>
      <c r="EUP77" s="223">
        <f xml:space="preserve"> InputsTS!EUP$184</f>
        <v>0</v>
      </c>
      <c r="EUQ77" s="223">
        <f xml:space="preserve"> InputsTS!EUQ$184</f>
        <v>0</v>
      </c>
      <c r="EUR77" s="223">
        <f xml:space="preserve"> InputsTS!EUR$184</f>
        <v>0</v>
      </c>
      <c r="EUS77" s="223">
        <f xml:space="preserve"> InputsTS!EUS$184</f>
        <v>0</v>
      </c>
      <c r="EUT77" s="223">
        <f xml:space="preserve"> InputsTS!EUT$184</f>
        <v>0</v>
      </c>
      <c r="EUU77" s="223">
        <f xml:space="preserve"> InputsTS!EUU$184</f>
        <v>0</v>
      </c>
      <c r="EUV77" s="223">
        <f xml:space="preserve"> InputsTS!EUV$184</f>
        <v>0</v>
      </c>
      <c r="EUW77" s="223">
        <f xml:space="preserve"> InputsTS!EUW$184</f>
        <v>0</v>
      </c>
      <c r="EUX77" s="223">
        <f xml:space="preserve"> InputsTS!EUX$184</f>
        <v>0</v>
      </c>
      <c r="EUY77" s="223">
        <f xml:space="preserve"> InputsTS!EUY$184</f>
        <v>0</v>
      </c>
      <c r="EUZ77" s="223">
        <f xml:space="preserve"> InputsTS!EUZ$184</f>
        <v>0</v>
      </c>
      <c r="EVA77" s="223">
        <f xml:space="preserve"> InputsTS!EVA$184</f>
        <v>0</v>
      </c>
      <c r="EVB77" s="223">
        <f xml:space="preserve"> InputsTS!EVB$184</f>
        <v>0</v>
      </c>
      <c r="EVC77" s="223">
        <f xml:space="preserve"> InputsTS!EVC$184</f>
        <v>0</v>
      </c>
      <c r="EVD77" s="223">
        <f xml:space="preserve"> InputsTS!EVD$184</f>
        <v>0</v>
      </c>
      <c r="EVE77" s="223">
        <f xml:space="preserve"> InputsTS!EVE$184</f>
        <v>0</v>
      </c>
      <c r="EVF77" s="223">
        <f xml:space="preserve"> InputsTS!EVF$184</f>
        <v>0</v>
      </c>
      <c r="EVG77" s="223">
        <f xml:space="preserve"> InputsTS!EVG$184</f>
        <v>0</v>
      </c>
      <c r="EVH77" s="223">
        <f xml:space="preserve"> InputsTS!EVH$184</f>
        <v>0</v>
      </c>
      <c r="EVI77" s="223">
        <f xml:space="preserve"> InputsTS!EVI$184</f>
        <v>0</v>
      </c>
      <c r="EVJ77" s="223">
        <f xml:space="preserve"> InputsTS!EVJ$184</f>
        <v>0</v>
      </c>
      <c r="EVK77" s="223">
        <f xml:space="preserve"> InputsTS!EVK$184</f>
        <v>0</v>
      </c>
      <c r="EVL77" s="223">
        <f xml:space="preserve"> InputsTS!EVL$184</f>
        <v>0</v>
      </c>
      <c r="EVM77" s="223">
        <f xml:space="preserve"> InputsTS!EVM$184</f>
        <v>0</v>
      </c>
      <c r="EVN77" s="223">
        <f xml:space="preserve"> InputsTS!EVN$184</f>
        <v>0</v>
      </c>
      <c r="EVO77" s="223">
        <f xml:space="preserve"> InputsTS!EVO$184</f>
        <v>0</v>
      </c>
      <c r="EVP77" s="223">
        <f xml:space="preserve"> InputsTS!EVP$184</f>
        <v>0</v>
      </c>
      <c r="EVQ77" s="223">
        <f xml:space="preserve"> InputsTS!EVQ$184</f>
        <v>0</v>
      </c>
      <c r="EVR77" s="223">
        <f xml:space="preserve"> InputsTS!EVR$184</f>
        <v>0</v>
      </c>
      <c r="EVS77" s="223">
        <f xml:space="preserve"> InputsTS!EVS$184</f>
        <v>0</v>
      </c>
      <c r="EVT77" s="223">
        <f xml:space="preserve"> InputsTS!EVT$184</f>
        <v>0</v>
      </c>
      <c r="EVU77" s="223">
        <f xml:space="preserve"> InputsTS!EVU$184</f>
        <v>0</v>
      </c>
      <c r="EVV77" s="223">
        <f xml:space="preserve"> InputsTS!EVV$184</f>
        <v>0</v>
      </c>
      <c r="EVW77" s="223">
        <f xml:space="preserve"> InputsTS!EVW$184</f>
        <v>0</v>
      </c>
      <c r="EVX77" s="223">
        <f xml:space="preserve"> InputsTS!EVX$184</f>
        <v>0</v>
      </c>
      <c r="EVY77" s="223">
        <f xml:space="preserve"> InputsTS!EVY$184</f>
        <v>0</v>
      </c>
      <c r="EVZ77" s="223">
        <f xml:space="preserve"> InputsTS!EVZ$184</f>
        <v>0</v>
      </c>
      <c r="EWA77" s="223">
        <f xml:space="preserve"> InputsTS!EWA$184</f>
        <v>0</v>
      </c>
      <c r="EWB77" s="223">
        <f xml:space="preserve"> InputsTS!EWB$184</f>
        <v>0</v>
      </c>
      <c r="EWC77" s="223">
        <f xml:space="preserve"> InputsTS!EWC$184</f>
        <v>0</v>
      </c>
      <c r="EWD77" s="223">
        <f xml:space="preserve"> InputsTS!EWD$184</f>
        <v>0</v>
      </c>
      <c r="EWE77" s="223">
        <f xml:space="preserve"> InputsTS!EWE$184</f>
        <v>0</v>
      </c>
      <c r="EWF77" s="223">
        <f xml:space="preserve"> InputsTS!EWF$184</f>
        <v>0</v>
      </c>
      <c r="EWG77" s="223">
        <f xml:space="preserve"> InputsTS!EWG$184</f>
        <v>0</v>
      </c>
      <c r="EWH77" s="223">
        <f xml:space="preserve"> InputsTS!EWH$184</f>
        <v>0</v>
      </c>
      <c r="EWI77" s="223">
        <f xml:space="preserve"> InputsTS!EWI$184</f>
        <v>0</v>
      </c>
      <c r="EWJ77" s="223">
        <f xml:space="preserve"> InputsTS!EWJ$184</f>
        <v>0</v>
      </c>
      <c r="EWK77" s="223">
        <f xml:space="preserve"> InputsTS!EWK$184</f>
        <v>0</v>
      </c>
      <c r="EWL77" s="223">
        <f xml:space="preserve"> InputsTS!EWL$184</f>
        <v>0</v>
      </c>
      <c r="EWM77" s="223">
        <f xml:space="preserve"> InputsTS!EWM$184</f>
        <v>0</v>
      </c>
      <c r="EWN77" s="223">
        <f xml:space="preserve"> InputsTS!EWN$184</f>
        <v>0</v>
      </c>
      <c r="EWO77" s="223">
        <f xml:space="preserve"> InputsTS!EWO$184</f>
        <v>0</v>
      </c>
      <c r="EWP77" s="223">
        <f xml:space="preserve"> InputsTS!EWP$184</f>
        <v>0</v>
      </c>
      <c r="EWQ77" s="223">
        <f xml:space="preserve"> InputsTS!EWQ$184</f>
        <v>0</v>
      </c>
      <c r="EWR77" s="223">
        <f xml:space="preserve"> InputsTS!EWR$184</f>
        <v>0</v>
      </c>
      <c r="EWS77" s="223">
        <f xml:space="preserve"> InputsTS!EWS$184</f>
        <v>0</v>
      </c>
      <c r="EWT77" s="223">
        <f xml:space="preserve"> InputsTS!EWT$184</f>
        <v>0</v>
      </c>
      <c r="EWU77" s="223">
        <f xml:space="preserve"> InputsTS!EWU$184</f>
        <v>0</v>
      </c>
      <c r="EWV77" s="223">
        <f xml:space="preserve"> InputsTS!EWV$184</f>
        <v>0</v>
      </c>
      <c r="EWW77" s="223">
        <f xml:space="preserve"> InputsTS!EWW$184</f>
        <v>0</v>
      </c>
      <c r="EWX77" s="223">
        <f xml:space="preserve"> InputsTS!EWX$184</f>
        <v>0</v>
      </c>
      <c r="EWY77" s="223">
        <f xml:space="preserve"> InputsTS!EWY$184</f>
        <v>0</v>
      </c>
      <c r="EWZ77" s="223">
        <f xml:space="preserve"> InputsTS!EWZ$184</f>
        <v>0</v>
      </c>
      <c r="EXA77" s="223">
        <f xml:space="preserve"> InputsTS!EXA$184</f>
        <v>0</v>
      </c>
      <c r="EXB77" s="223">
        <f xml:space="preserve"> InputsTS!EXB$184</f>
        <v>0</v>
      </c>
      <c r="EXC77" s="223">
        <f xml:space="preserve"> InputsTS!EXC$184</f>
        <v>0</v>
      </c>
      <c r="EXD77" s="223">
        <f xml:space="preserve"> InputsTS!EXD$184</f>
        <v>0</v>
      </c>
      <c r="EXE77" s="223">
        <f xml:space="preserve"> InputsTS!EXE$184</f>
        <v>0</v>
      </c>
      <c r="EXF77" s="223">
        <f xml:space="preserve"> InputsTS!EXF$184</f>
        <v>0</v>
      </c>
      <c r="EXG77" s="223">
        <f xml:space="preserve"> InputsTS!EXG$184</f>
        <v>0</v>
      </c>
      <c r="EXH77" s="223">
        <f xml:space="preserve"> InputsTS!EXH$184</f>
        <v>0</v>
      </c>
      <c r="EXI77" s="223">
        <f xml:space="preserve"> InputsTS!EXI$184</f>
        <v>0</v>
      </c>
      <c r="EXJ77" s="223">
        <f xml:space="preserve"> InputsTS!EXJ$184</f>
        <v>0</v>
      </c>
      <c r="EXK77" s="223">
        <f xml:space="preserve"> InputsTS!EXK$184</f>
        <v>0</v>
      </c>
      <c r="EXL77" s="223">
        <f xml:space="preserve"> InputsTS!EXL$184</f>
        <v>0</v>
      </c>
      <c r="EXM77" s="223">
        <f xml:space="preserve"> InputsTS!EXM$184</f>
        <v>0</v>
      </c>
      <c r="EXN77" s="223">
        <f xml:space="preserve"> InputsTS!EXN$184</f>
        <v>0</v>
      </c>
      <c r="EXO77" s="223">
        <f xml:space="preserve"> InputsTS!EXO$184</f>
        <v>0</v>
      </c>
      <c r="EXP77" s="223">
        <f xml:space="preserve"> InputsTS!EXP$184</f>
        <v>0</v>
      </c>
      <c r="EXQ77" s="223">
        <f xml:space="preserve"> InputsTS!EXQ$184</f>
        <v>0</v>
      </c>
      <c r="EXR77" s="223">
        <f xml:space="preserve"> InputsTS!EXR$184</f>
        <v>0</v>
      </c>
      <c r="EXS77" s="223">
        <f xml:space="preserve"> InputsTS!EXS$184</f>
        <v>0</v>
      </c>
      <c r="EXT77" s="223">
        <f xml:space="preserve"> InputsTS!EXT$184</f>
        <v>0</v>
      </c>
      <c r="EXU77" s="223">
        <f xml:space="preserve"> InputsTS!EXU$184</f>
        <v>0</v>
      </c>
      <c r="EXV77" s="223">
        <f xml:space="preserve"> InputsTS!EXV$184</f>
        <v>0</v>
      </c>
      <c r="EXW77" s="223">
        <f xml:space="preserve"> InputsTS!EXW$184</f>
        <v>0</v>
      </c>
      <c r="EXX77" s="223">
        <f xml:space="preserve"> InputsTS!EXX$184</f>
        <v>0</v>
      </c>
      <c r="EXY77" s="223">
        <f xml:space="preserve"> InputsTS!EXY$184</f>
        <v>0</v>
      </c>
      <c r="EXZ77" s="223">
        <f xml:space="preserve"> InputsTS!EXZ$184</f>
        <v>0</v>
      </c>
      <c r="EYA77" s="223">
        <f xml:space="preserve"> InputsTS!EYA$184</f>
        <v>0</v>
      </c>
      <c r="EYB77" s="223">
        <f xml:space="preserve"> InputsTS!EYB$184</f>
        <v>0</v>
      </c>
      <c r="EYC77" s="223">
        <f xml:space="preserve"> InputsTS!EYC$184</f>
        <v>0</v>
      </c>
      <c r="EYD77" s="223">
        <f xml:space="preserve"> InputsTS!EYD$184</f>
        <v>0</v>
      </c>
      <c r="EYE77" s="223">
        <f xml:space="preserve"> InputsTS!EYE$184</f>
        <v>0</v>
      </c>
      <c r="EYF77" s="223">
        <f xml:space="preserve"> InputsTS!EYF$184</f>
        <v>0</v>
      </c>
      <c r="EYG77" s="223">
        <f xml:space="preserve"> InputsTS!EYG$184</f>
        <v>0</v>
      </c>
      <c r="EYH77" s="223">
        <f xml:space="preserve"> InputsTS!EYH$184</f>
        <v>0</v>
      </c>
      <c r="EYI77" s="223">
        <f xml:space="preserve"> InputsTS!EYI$184</f>
        <v>0</v>
      </c>
      <c r="EYJ77" s="223">
        <f xml:space="preserve"> InputsTS!EYJ$184</f>
        <v>0</v>
      </c>
      <c r="EYK77" s="223">
        <f xml:space="preserve"> InputsTS!EYK$184</f>
        <v>0</v>
      </c>
      <c r="EYL77" s="223">
        <f xml:space="preserve"> InputsTS!EYL$184</f>
        <v>0</v>
      </c>
      <c r="EYM77" s="223">
        <f xml:space="preserve"> InputsTS!EYM$184</f>
        <v>0</v>
      </c>
      <c r="EYN77" s="223">
        <f xml:space="preserve"> InputsTS!EYN$184</f>
        <v>0</v>
      </c>
      <c r="EYO77" s="223">
        <f xml:space="preserve"> InputsTS!EYO$184</f>
        <v>0</v>
      </c>
      <c r="EYP77" s="223">
        <f xml:space="preserve"> InputsTS!EYP$184</f>
        <v>0</v>
      </c>
      <c r="EYQ77" s="223">
        <f xml:space="preserve"> InputsTS!EYQ$184</f>
        <v>0</v>
      </c>
      <c r="EYR77" s="223">
        <f xml:space="preserve"> InputsTS!EYR$184</f>
        <v>0</v>
      </c>
      <c r="EYS77" s="223">
        <f xml:space="preserve"> InputsTS!EYS$184</f>
        <v>0</v>
      </c>
      <c r="EYT77" s="223">
        <f xml:space="preserve"> InputsTS!EYT$184</f>
        <v>0</v>
      </c>
      <c r="EYU77" s="223">
        <f xml:space="preserve"> InputsTS!EYU$184</f>
        <v>0</v>
      </c>
      <c r="EYV77" s="223">
        <f xml:space="preserve"> InputsTS!EYV$184</f>
        <v>0</v>
      </c>
      <c r="EYW77" s="223">
        <f xml:space="preserve"> InputsTS!EYW$184</f>
        <v>0</v>
      </c>
      <c r="EYX77" s="223">
        <f xml:space="preserve"> InputsTS!EYX$184</f>
        <v>0</v>
      </c>
      <c r="EYY77" s="223">
        <f xml:space="preserve"> InputsTS!EYY$184</f>
        <v>0</v>
      </c>
      <c r="EYZ77" s="223">
        <f xml:space="preserve"> InputsTS!EYZ$184</f>
        <v>0</v>
      </c>
      <c r="EZA77" s="223">
        <f xml:space="preserve"> InputsTS!EZA$184</f>
        <v>0</v>
      </c>
      <c r="EZB77" s="223">
        <f xml:space="preserve"> InputsTS!EZB$184</f>
        <v>0</v>
      </c>
      <c r="EZC77" s="223">
        <f xml:space="preserve"> InputsTS!EZC$184</f>
        <v>0</v>
      </c>
      <c r="EZD77" s="223">
        <f xml:space="preserve"> InputsTS!EZD$184</f>
        <v>0</v>
      </c>
      <c r="EZE77" s="223">
        <f xml:space="preserve"> InputsTS!EZE$184</f>
        <v>0</v>
      </c>
      <c r="EZF77" s="223">
        <f xml:space="preserve"> InputsTS!EZF$184</f>
        <v>0</v>
      </c>
      <c r="EZG77" s="223">
        <f xml:space="preserve"> InputsTS!EZG$184</f>
        <v>0</v>
      </c>
      <c r="EZH77" s="223">
        <f xml:space="preserve"> InputsTS!EZH$184</f>
        <v>0</v>
      </c>
      <c r="EZI77" s="223">
        <f xml:space="preserve"> InputsTS!EZI$184</f>
        <v>0</v>
      </c>
      <c r="EZJ77" s="223">
        <f xml:space="preserve"> InputsTS!EZJ$184</f>
        <v>0</v>
      </c>
      <c r="EZK77" s="223">
        <f xml:space="preserve"> InputsTS!EZK$184</f>
        <v>0</v>
      </c>
      <c r="EZL77" s="223">
        <f xml:space="preserve"> InputsTS!EZL$184</f>
        <v>0</v>
      </c>
      <c r="EZM77" s="223">
        <f xml:space="preserve"> InputsTS!EZM$184</f>
        <v>0</v>
      </c>
      <c r="EZN77" s="223">
        <f xml:space="preserve"> InputsTS!EZN$184</f>
        <v>0</v>
      </c>
      <c r="EZO77" s="223">
        <f xml:space="preserve"> InputsTS!EZO$184</f>
        <v>0</v>
      </c>
      <c r="EZP77" s="223">
        <f xml:space="preserve"> InputsTS!EZP$184</f>
        <v>0</v>
      </c>
      <c r="EZQ77" s="223">
        <f xml:space="preserve"> InputsTS!EZQ$184</f>
        <v>0</v>
      </c>
      <c r="EZR77" s="223">
        <f xml:space="preserve"> InputsTS!EZR$184</f>
        <v>0</v>
      </c>
      <c r="EZS77" s="223">
        <f xml:space="preserve"> InputsTS!EZS$184</f>
        <v>0</v>
      </c>
      <c r="EZT77" s="223">
        <f xml:space="preserve"> InputsTS!EZT$184</f>
        <v>0</v>
      </c>
      <c r="EZU77" s="223">
        <f xml:space="preserve"> InputsTS!EZU$184</f>
        <v>0</v>
      </c>
      <c r="EZV77" s="223">
        <f xml:space="preserve"> InputsTS!EZV$184</f>
        <v>0</v>
      </c>
      <c r="EZW77" s="223">
        <f xml:space="preserve"> InputsTS!EZW$184</f>
        <v>0</v>
      </c>
      <c r="EZX77" s="223">
        <f xml:space="preserve"> InputsTS!EZX$184</f>
        <v>0</v>
      </c>
      <c r="EZY77" s="223">
        <f xml:space="preserve"> InputsTS!EZY$184</f>
        <v>0</v>
      </c>
      <c r="EZZ77" s="223">
        <f xml:space="preserve"> InputsTS!EZZ$184</f>
        <v>0</v>
      </c>
      <c r="FAA77" s="223">
        <f xml:space="preserve"> InputsTS!FAA$184</f>
        <v>0</v>
      </c>
      <c r="FAB77" s="223">
        <f xml:space="preserve"> InputsTS!FAB$184</f>
        <v>0</v>
      </c>
      <c r="FAC77" s="223">
        <f xml:space="preserve"> InputsTS!FAC$184</f>
        <v>0</v>
      </c>
      <c r="FAD77" s="223">
        <f xml:space="preserve"> InputsTS!FAD$184</f>
        <v>0</v>
      </c>
      <c r="FAE77" s="223">
        <f xml:space="preserve"> InputsTS!FAE$184</f>
        <v>0</v>
      </c>
      <c r="FAF77" s="223">
        <f xml:space="preserve"> InputsTS!FAF$184</f>
        <v>0</v>
      </c>
      <c r="FAG77" s="223">
        <f xml:space="preserve"> InputsTS!FAG$184</f>
        <v>0</v>
      </c>
      <c r="FAH77" s="223">
        <f xml:space="preserve"> InputsTS!FAH$184</f>
        <v>0</v>
      </c>
      <c r="FAI77" s="223">
        <f xml:space="preserve"> InputsTS!FAI$184</f>
        <v>0</v>
      </c>
      <c r="FAJ77" s="223">
        <f xml:space="preserve"> InputsTS!FAJ$184</f>
        <v>0</v>
      </c>
      <c r="FAK77" s="223">
        <f xml:space="preserve"> InputsTS!FAK$184</f>
        <v>0</v>
      </c>
      <c r="FAL77" s="223">
        <f xml:space="preserve"> InputsTS!FAL$184</f>
        <v>0</v>
      </c>
      <c r="FAM77" s="223">
        <f xml:space="preserve"> InputsTS!FAM$184</f>
        <v>0</v>
      </c>
      <c r="FAN77" s="223">
        <f xml:space="preserve"> InputsTS!FAN$184</f>
        <v>0</v>
      </c>
      <c r="FAO77" s="223">
        <f xml:space="preserve"> InputsTS!FAO$184</f>
        <v>0</v>
      </c>
      <c r="FAP77" s="223">
        <f xml:space="preserve"> InputsTS!FAP$184</f>
        <v>0</v>
      </c>
      <c r="FAQ77" s="223">
        <f xml:space="preserve"> InputsTS!FAQ$184</f>
        <v>0</v>
      </c>
      <c r="FAR77" s="223">
        <f xml:space="preserve"> InputsTS!FAR$184</f>
        <v>0</v>
      </c>
      <c r="FAS77" s="223">
        <f xml:space="preserve"> InputsTS!FAS$184</f>
        <v>0</v>
      </c>
      <c r="FAT77" s="223">
        <f xml:space="preserve"> InputsTS!FAT$184</f>
        <v>0</v>
      </c>
      <c r="FAU77" s="223">
        <f xml:space="preserve"> InputsTS!FAU$184</f>
        <v>0</v>
      </c>
      <c r="FAV77" s="223">
        <f xml:space="preserve"> InputsTS!FAV$184</f>
        <v>0</v>
      </c>
      <c r="FAW77" s="223">
        <f xml:space="preserve"> InputsTS!FAW$184</f>
        <v>0</v>
      </c>
      <c r="FAX77" s="223">
        <f xml:space="preserve"> InputsTS!FAX$184</f>
        <v>0</v>
      </c>
      <c r="FAY77" s="223">
        <f xml:space="preserve"> InputsTS!FAY$184</f>
        <v>0</v>
      </c>
      <c r="FAZ77" s="223">
        <f xml:space="preserve"> InputsTS!FAZ$184</f>
        <v>0</v>
      </c>
      <c r="FBA77" s="223">
        <f xml:space="preserve"> InputsTS!FBA$184</f>
        <v>0</v>
      </c>
      <c r="FBB77" s="223">
        <f xml:space="preserve"> InputsTS!FBB$184</f>
        <v>0</v>
      </c>
      <c r="FBC77" s="223">
        <f xml:space="preserve"> InputsTS!FBC$184</f>
        <v>0</v>
      </c>
      <c r="FBD77" s="223">
        <f xml:space="preserve"> InputsTS!FBD$184</f>
        <v>0</v>
      </c>
      <c r="FBE77" s="223">
        <f xml:space="preserve"> InputsTS!FBE$184</f>
        <v>0</v>
      </c>
      <c r="FBF77" s="223">
        <f xml:space="preserve"> InputsTS!FBF$184</f>
        <v>0</v>
      </c>
      <c r="FBG77" s="223">
        <f xml:space="preserve"> InputsTS!FBG$184</f>
        <v>0</v>
      </c>
      <c r="FBH77" s="223">
        <f xml:space="preserve"> InputsTS!FBH$184</f>
        <v>0</v>
      </c>
      <c r="FBI77" s="223">
        <f xml:space="preserve"> InputsTS!FBI$184</f>
        <v>0</v>
      </c>
      <c r="FBJ77" s="223">
        <f xml:space="preserve"> InputsTS!FBJ$184</f>
        <v>0</v>
      </c>
      <c r="FBK77" s="223">
        <f xml:space="preserve"> InputsTS!FBK$184</f>
        <v>0</v>
      </c>
      <c r="FBL77" s="223">
        <f xml:space="preserve"> InputsTS!FBL$184</f>
        <v>0</v>
      </c>
      <c r="FBM77" s="223">
        <f xml:space="preserve"> InputsTS!FBM$184</f>
        <v>0</v>
      </c>
      <c r="FBN77" s="223">
        <f xml:space="preserve"> InputsTS!FBN$184</f>
        <v>0</v>
      </c>
      <c r="FBO77" s="223">
        <f xml:space="preserve"> InputsTS!FBO$184</f>
        <v>0</v>
      </c>
      <c r="FBP77" s="223">
        <f xml:space="preserve"> InputsTS!FBP$184</f>
        <v>0</v>
      </c>
      <c r="FBQ77" s="223">
        <f xml:space="preserve"> InputsTS!FBQ$184</f>
        <v>0</v>
      </c>
      <c r="FBR77" s="223">
        <f xml:space="preserve"> InputsTS!FBR$184</f>
        <v>0</v>
      </c>
      <c r="FBS77" s="223">
        <f xml:space="preserve"> InputsTS!FBS$184</f>
        <v>0</v>
      </c>
      <c r="FBT77" s="223">
        <f xml:space="preserve"> InputsTS!FBT$184</f>
        <v>0</v>
      </c>
      <c r="FBU77" s="223">
        <f xml:space="preserve"> InputsTS!FBU$184</f>
        <v>0</v>
      </c>
      <c r="FBV77" s="223">
        <f xml:space="preserve"> InputsTS!FBV$184</f>
        <v>0</v>
      </c>
      <c r="FBW77" s="223">
        <f xml:space="preserve"> InputsTS!FBW$184</f>
        <v>0</v>
      </c>
      <c r="FBX77" s="223">
        <f xml:space="preserve"> InputsTS!FBX$184</f>
        <v>0</v>
      </c>
      <c r="FBY77" s="223">
        <f xml:space="preserve"> InputsTS!FBY$184</f>
        <v>0</v>
      </c>
      <c r="FBZ77" s="223">
        <f xml:space="preserve"> InputsTS!FBZ$184</f>
        <v>0</v>
      </c>
      <c r="FCA77" s="223">
        <f xml:space="preserve"> InputsTS!FCA$184</f>
        <v>0</v>
      </c>
      <c r="FCB77" s="223">
        <f xml:space="preserve"> InputsTS!FCB$184</f>
        <v>0</v>
      </c>
      <c r="FCC77" s="223">
        <f xml:space="preserve"> InputsTS!FCC$184</f>
        <v>0</v>
      </c>
      <c r="FCD77" s="223">
        <f xml:space="preserve"> InputsTS!FCD$184</f>
        <v>0</v>
      </c>
      <c r="FCE77" s="223">
        <f xml:space="preserve"> InputsTS!FCE$184</f>
        <v>0</v>
      </c>
      <c r="FCF77" s="223">
        <f xml:space="preserve"> InputsTS!FCF$184</f>
        <v>0</v>
      </c>
      <c r="FCG77" s="223">
        <f xml:space="preserve"> InputsTS!FCG$184</f>
        <v>0</v>
      </c>
      <c r="FCH77" s="223">
        <f xml:space="preserve"> InputsTS!FCH$184</f>
        <v>0</v>
      </c>
      <c r="FCI77" s="223">
        <f xml:space="preserve"> InputsTS!FCI$184</f>
        <v>0</v>
      </c>
      <c r="FCJ77" s="223">
        <f xml:space="preserve"> InputsTS!FCJ$184</f>
        <v>0</v>
      </c>
      <c r="FCK77" s="223">
        <f xml:space="preserve"> InputsTS!FCK$184</f>
        <v>0</v>
      </c>
      <c r="FCL77" s="223">
        <f xml:space="preserve"> InputsTS!FCL$184</f>
        <v>0</v>
      </c>
      <c r="FCM77" s="223">
        <f xml:space="preserve"> InputsTS!FCM$184</f>
        <v>0</v>
      </c>
      <c r="FCN77" s="223">
        <f xml:space="preserve"> InputsTS!FCN$184</f>
        <v>0</v>
      </c>
      <c r="FCO77" s="223">
        <f xml:space="preserve"> InputsTS!FCO$184</f>
        <v>0</v>
      </c>
      <c r="FCP77" s="223">
        <f xml:space="preserve"> InputsTS!FCP$184</f>
        <v>0</v>
      </c>
      <c r="FCQ77" s="223">
        <f xml:space="preserve"> InputsTS!FCQ$184</f>
        <v>0</v>
      </c>
      <c r="FCR77" s="223">
        <f xml:space="preserve"> InputsTS!FCR$184</f>
        <v>0</v>
      </c>
      <c r="FCS77" s="223">
        <f xml:space="preserve"> InputsTS!FCS$184</f>
        <v>0</v>
      </c>
      <c r="FCT77" s="223">
        <f xml:space="preserve"> InputsTS!FCT$184</f>
        <v>0</v>
      </c>
      <c r="FCU77" s="223">
        <f xml:space="preserve"> InputsTS!FCU$184</f>
        <v>0</v>
      </c>
      <c r="FCV77" s="223">
        <f xml:space="preserve"> InputsTS!FCV$184</f>
        <v>0</v>
      </c>
      <c r="FCW77" s="223">
        <f xml:space="preserve"> InputsTS!FCW$184</f>
        <v>0</v>
      </c>
      <c r="FCX77" s="223">
        <f xml:space="preserve"> InputsTS!FCX$184</f>
        <v>0</v>
      </c>
      <c r="FCY77" s="223">
        <f xml:space="preserve"> InputsTS!FCY$184</f>
        <v>0</v>
      </c>
      <c r="FCZ77" s="223">
        <f xml:space="preserve"> InputsTS!FCZ$184</f>
        <v>0</v>
      </c>
      <c r="FDA77" s="223">
        <f xml:space="preserve"> InputsTS!FDA$184</f>
        <v>0</v>
      </c>
      <c r="FDB77" s="223">
        <f xml:space="preserve"> InputsTS!FDB$184</f>
        <v>0</v>
      </c>
      <c r="FDC77" s="223">
        <f xml:space="preserve"> InputsTS!FDC$184</f>
        <v>0</v>
      </c>
      <c r="FDD77" s="223">
        <f xml:space="preserve"> InputsTS!FDD$184</f>
        <v>0</v>
      </c>
      <c r="FDE77" s="223">
        <f xml:space="preserve"> InputsTS!FDE$184</f>
        <v>0</v>
      </c>
      <c r="FDF77" s="223">
        <f xml:space="preserve"> InputsTS!FDF$184</f>
        <v>0</v>
      </c>
      <c r="FDG77" s="223">
        <f xml:space="preserve"> InputsTS!FDG$184</f>
        <v>0</v>
      </c>
      <c r="FDH77" s="223">
        <f xml:space="preserve"> InputsTS!FDH$184</f>
        <v>0</v>
      </c>
      <c r="FDI77" s="223">
        <f xml:space="preserve"> InputsTS!FDI$184</f>
        <v>0</v>
      </c>
      <c r="FDJ77" s="223">
        <f xml:space="preserve"> InputsTS!FDJ$184</f>
        <v>0</v>
      </c>
      <c r="FDK77" s="223">
        <f xml:space="preserve"> InputsTS!FDK$184</f>
        <v>0</v>
      </c>
      <c r="FDL77" s="223">
        <f xml:space="preserve"> InputsTS!FDL$184</f>
        <v>0</v>
      </c>
      <c r="FDM77" s="223">
        <f xml:space="preserve"> InputsTS!FDM$184</f>
        <v>0</v>
      </c>
      <c r="FDN77" s="223">
        <f xml:space="preserve"> InputsTS!FDN$184</f>
        <v>0</v>
      </c>
      <c r="FDO77" s="223">
        <f xml:space="preserve"> InputsTS!FDO$184</f>
        <v>0</v>
      </c>
      <c r="FDP77" s="223">
        <f xml:space="preserve"> InputsTS!FDP$184</f>
        <v>0</v>
      </c>
      <c r="FDQ77" s="223">
        <f xml:space="preserve"> InputsTS!FDQ$184</f>
        <v>0</v>
      </c>
      <c r="FDR77" s="223">
        <f xml:space="preserve"> InputsTS!FDR$184</f>
        <v>0</v>
      </c>
      <c r="FDS77" s="223">
        <f xml:space="preserve"> InputsTS!FDS$184</f>
        <v>0</v>
      </c>
      <c r="FDT77" s="223">
        <f xml:space="preserve"> InputsTS!FDT$184</f>
        <v>0</v>
      </c>
      <c r="FDU77" s="223">
        <f xml:space="preserve"> InputsTS!FDU$184</f>
        <v>0</v>
      </c>
      <c r="FDV77" s="223">
        <f xml:space="preserve"> InputsTS!FDV$184</f>
        <v>0</v>
      </c>
      <c r="FDW77" s="223">
        <f xml:space="preserve"> InputsTS!FDW$184</f>
        <v>0</v>
      </c>
      <c r="FDX77" s="223">
        <f xml:space="preserve"> InputsTS!FDX$184</f>
        <v>0</v>
      </c>
      <c r="FDY77" s="223">
        <f xml:space="preserve"> InputsTS!FDY$184</f>
        <v>0</v>
      </c>
      <c r="FDZ77" s="223">
        <f xml:space="preserve"> InputsTS!FDZ$184</f>
        <v>0</v>
      </c>
      <c r="FEA77" s="223">
        <f xml:space="preserve"> InputsTS!FEA$184</f>
        <v>0</v>
      </c>
      <c r="FEB77" s="223">
        <f xml:space="preserve"> InputsTS!FEB$184</f>
        <v>0</v>
      </c>
      <c r="FEC77" s="223">
        <f xml:space="preserve"> InputsTS!FEC$184</f>
        <v>0</v>
      </c>
      <c r="FED77" s="223">
        <f xml:space="preserve"> InputsTS!FED$184</f>
        <v>0</v>
      </c>
      <c r="FEE77" s="223">
        <f xml:space="preserve"> InputsTS!FEE$184</f>
        <v>0</v>
      </c>
      <c r="FEF77" s="223">
        <f xml:space="preserve"> InputsTS!FEF$184</f>
        <v>0</v>
      </c>
      <c r="FEG77" s="223">
        <f xml:space="preserve"> InputsTS!FEG$184</f>
        <v>0</v>
      </c>
      <c r="FEH77" s="223">
        <f xml:space="preserve"> InputsTS!FEH$184</f>
        <v>0</v>
      </c>
      <c r="FEI77" s="223">
        <f xml:space="preserve"> InputsTS!FEI$184</f>
        <v>0</v>
      </c>
      <c r="FEJ77" s="223">
        <f xml:space="preserve"> InputsTS!FEJ$184</f>
        <v>0</v>
      </c>
      <c r="FEK77" s="223">
        <f xml:space="preserve"> InputsTS!FEK$184</f>
        <v>0</v>
      </c>
      <c r="FEL77" s="223">
        <f xml:space="preserve"> InputsTS!FEL$184</f>
        <v>0</v>
      </c>
      <c r="FEM77" s="223">
        <f xml:space="preserve"> InputsTS!FEM$184</f>
        <v>0</v>
      </c>
      <c r="FEN77" s="223">
        <f xml:space="preserve"> InputsTS!FEN$184</f>
        <v>0</v>
      </c>
      <c r="FEO77" s="223">
        <f xml:space="preserve"> InputsTS!FEO$184</f>
        <v>0</v>
      </c>
      <c r="FEP77" s="223">
        <f xml:space="preserve"> InputsTS!FEP$184</f>
        <v>0</v>
      </c>
      <c r="FEQ77" s="223">
        <f xml:space="preserve"> InputsTS!FEQ$184</f>
        <v>0</v>
      </c>
      <c r="FER77" s="223">
        <f xml:space="preserve"> InputsTS!FER$184</f>
        <v>0</v>
      </c>
      <c r="FES77" s="223">
        <f xml:space="preserve"> InputsTS!FES$184</f>
        <v>0</v>
      </c>
      <c r="FET77" s="223">
        <f xml:space="preserve"> InputsTS!FET$184</f>
        <v>0</v>
      </c>
      <c r="FEU77" s="223">
        <f xml:space="preserve"> InputsTS!FEU$184</f>
        <v>0</v>
      </c>
      <c r="FEV77" s="223">
        <f xml:space="preserve"> InputsTS!FEV$184</f>
        <v>0</v>
      </c>
      <c r="FEW77" s="223">
        <f xml:space="preserve"> InputsTS!FEW$184</f>
        <v>0</v>
      </c>
      <c r="FEX77" s="223">
        <f xml:space="preserve"> InputsTS!FEX$184</f>
        <v>0</v>
      </c>
      <c r="FEY77" s="223">
        <f xml:space="preserve"> InputsTS!FEY$184</f>
        <v>0</v>
      </c>
      <c r="FEZ77" s="223">
        <f xml:space="preserve"> InputsTS!FEZ$184</f>
        <v>0</v>
      </c>
      <c r="FFA77" s="223">
        <f xml:space="preserve"> InputsTS!FFA$184</f>
        <v>0</v>
      </c>
      <c r="FFB77" s="223">
        <f xml:space="preserve"> InputsTS!FFB$184</f>
        <v>0</v>
      </c>
      <c r="FFC77" s="223">
        <f xml:space="preserve"> InputsTS!FFC$184</f>
        <v>0</v>
      </c>
      <c r="FFD77" s="223">
        <f xml:space="preserve"> InputsTS!FFD$184</f>
        <v>0</v>
      </c>
      <c r="FFE77" s="223">
        <f xml:space="preserve"> InputsTS!FFE$184</f>
        <v>0</v>
      </c>
      <c r="FFF77" s="223">
        <f xml:space="preserve"> InputsTS!FFF$184</f>
        <v>0</v>
      </c>
      <c r="FFG77" s="223">
        <f xml:space="preserve"> InputsTS!FFG$184</f>
        <v>0</v>
      </c>
      <c r="FFH77" s="223">
        <f xml:space="preserve"> InputsTS!FFH$184</f>
        <v>0</v>
      </c>
      <c r="FFI77" s="223">
        <f xml:space="preserve"> InputsTS!FFI$184</f>
        <v>0</v>
      </c>
      <c r="FFJ77" s="223">
        <f xml:space="preserve"> InputsTS!FFJ$184</f>
        <v>0</v>
      </c>
      <c r="FFK77" s="223">
        <f xml:space="preserve"> InputsTS!FFK$184</f>
        <v>0</v>
      </c>
      <c r="FFL77" s="223">
        <f xml:space="preserve"> InputsTS!FFL$184</f>
        <v>0</v>
      </c>
      <c r="FFM77" s="223">
        <f xml:space="preserve"> InputsTS!FFM$184</f>
        <v>0</v>
      </c>
      <c r="FFN77" s="223">
        <f xml:space="preserve"> InputsTS!FFN$184</f>
        <v>0</v>
      </c>
      <c r="FFO77" s="223">
        <f xml:space="preserve"> InputsTS!FFO$184</f>
        <v>0</v>
      </c>
      <c r="FFP77" s="223">
        <f xml:space="preserve"> InputsTS!FFP$184</f>
        <v>0</v>
      </c>
      <c r="FFQ77" s="223">
        <f xml:space="preserve"> InputsTS!FFQ$184</f>
        <v>0</v>
      </c>
      <c r="FFR77" s="223">
        <f xml:space="preserve"> InputsTS!FFR$184</f>
        <v>0</v>
      </c>
      <c r="FFS77" s="223">
        <f xml:space="preserve"> InputsTS!FFS$184</f>
        <v>0</v>
      </c>
      <c r="FFT77" s="223">
        <f xml:space="preserve"> InputsTS!FFT$184</f>
        <v>0</v>
      </c>
      <c r="FFU77" s="223">
        <f xml:space="preserve"> InputsTS!FFU$184</f>
        <v>0</v>
      </c>
      <c r="FFV77" s="223">
        <f xml:space="preserve"> InputsTS!FFV$184</f>
        <v>0</v>
      </c>
      <c r="FFW77" s="223">
        <f xml:space="preserve"> InputsTS!FFW$184</f>
        <v>0</v>
      </c>
      <c r="FFX77" s="223">
        <f xml:space="preserve"> InputsTS!FFX$184</f>
        <v>0</v>
      </c>
      <c r="FFY77" s="223">
        <f xml:space="preserve"> InputsTS!FFY$184</f>
        <v>0</v>
      </c>
      <c r="FFZ77" s="223">
        <f xml:space="preserve"> InputsTS!FFZ$184</f>
        <v>0</v>
      </c>
      <c r="FGA77" s="223">
        <f xml:space="preserve"> InputsTS!FGA$184</f>
        <v>0</v>
      </c>
      <c r="FGB77" s="223">
        <f xml:space="preserve"> InputsTS!FGB$184</f>
        <v>0</v>
      </c>
      <c r="FGC77" s="223">
        <f xml:space="preserve"> InputsTS!FGC$184</f>
        <v>0</v>
      </c>
      <c r="FGD77" s="223">
        <f xml:space="preserve"> InputsTS!FGD$184</f>
        <v>0</v>
      </c>
      <c r="FGE77" s="223">
        <f xml:space="preserve"> InputsTS!FGE$184</f>
        <v>0</v>
      </c>
      <c r="FGF77" s="223">
        <f xml:space="preserve"> InputsTS!FGF$184</f>
        <v>0</v>
      </c>
      <c r="FGG77" s="223">
        <f xml:space="preserve"> InputsTS!FGG$184</f>
        <v>0</v>
      </c>
      <c r="FGH77" s="223">
        <f xml:space="preserve"> InputsTS!FGH$184</f>
        <v>0</v>
      </c>
      <c r="FGI77" s="223">
        <f xml:space="preserve"> InputsTS!FGI$184</f>
        <v>0</v>
      </c>
      <c r="FGJ77" s="223">
        <f xml:space="preserve"> InputsTS!FGJ$184</f>
        <v>0</v>
      </c>
      <c r="FGK77" s="223">
        <f xml:space="preserve"> InputsTS!FGK$184</f>
        <v>0</v>
      </c>
      <c r="FGL77" s="223">
        <f xml:space="preserve"> InputsTS!FGL$184</f>
        <v>0</v>
      </c>
      <c r="FGM77" s="223">
        <f xml:space="preserve"> InputsTS!FGM$184</f>
        <v>0</v>
      </c>
      <c r="FGN77" s="223">
        <f xml:space="preserve"> InputsTS!FGN$184</f>
        <v>0</v>
      </c>
      <c r="FGO77" s="223">
        <f xml:space="preserve"> InputsTS!FGO$184</f>
        <v>0</v>
      </c>
      <c r="FGP77" s="223">
        <f xml:space="preserve"> InputsTS!FGP$184</f>
        <v>0</v>
      </c>
      <c r="FGQ77" s="223">
        <f xml:space="preserve"> InputsTS!FGQ$184</f>
        <v>0</v>
      </c>
      <c r="FGR77" s="223">
        <f xml:space="preserve"> InputsTS!FGR$184</f>
        <v>0</v>
      </c>
      <c r="FGS77" s="223">
        <f xml:space="preserve"> InputsTS!FGS$184</f>
        <v>0</v>
      </c>
      <c r="FGT77" s="223">
        <f xml:space="preserve"> InputsTS!FGT$184</f>
        <v>0</v>
      </c>
      <c r="FGU77" s="223">
        <f xml:space="preserve"> InputsTS!FGU$184</f>
        <v>0</v>
      </c>
      <c r="FGV77" s="223">
        <f xml:space="preserve"> InputsTS!FGV$184</f>
        <v>0</v>
      </c>
      <c r="FGW77" s="223">
        <f xml:space="preserve"> InputsTS!FGW$184</f>
        <v>0</v>
      </c>
      <c r="FGX77" s="223">
        <f xml:space="preserve"> InputsTS!FGX$184</f>
        <v>0</v>
      </c>
      <c r="FGY77" s="223">
        <f xml:space="preserve"> InputsTS!FGY$184</f>
        <v>0</v>
      </c>
      <c r="FGZ77" s="223">
        <f xml:space="preserve"> InputsTS!FGZ$184</f>
        <v>0</v>
      </c>
      <c r="FHA77" s="223">
        <f xml:space="preserve"> InputsTS!FHA$184</f>
        <v>0</v>
      </c>
      <c r="FHB77" s="223">
        <f xml:space="preserve"> InputsTS!FHB$184</f>
        <v>0</v>
      </c>
      <c r="FHC77" s="223">
        <f xml:space="preserve"> InputsTS!FHC$184</f>
        <v>0</v>
      </c>
      <c r="FHD77" s="223">
        <f xml:space="preserve"> InputsTS!FHD$184</f>
        <v>0</v>
      </c>
      <c r="FHE77" s="223">
        <f xml:space="preserve"> InputsTS!FHE$184</f>
        <v>0</v>
      </c>
      <c r="FHF77" s="223">
        <f xml:space="preserve"> InputsTS!FHF$184</f>
        <v>0</v>
      </c>
      <c r="FHG77" s="223">
        <f xml:space="preserve"> InputsTS!FHG$184</f>
        <v>0</v>
      </c>
      <c r="FHH77" s="223">
        <f xml:space="preserve"> InputsTS!FHH$184</f>
        <v>0</v>
      </c>
      <c r="FHI77" s="223">
        <f xml:space="preserve"> InputsTS!FHI$184</f>
        <v>0</v>
      </c>
      <c r="FHJ77" s="223">
        <f xml:space="preserve"> InputsTS!FHJ$184</f>
        <v>0</v>
      </c>
      <c r="FHK77" s="223">
        <f xml:space="preserve"> InputsTS!FHK$184</f>
        <v>0</v>
      </c>
      <c r="FHL77" s="223">
        <f xml:space="preserve"> InputsTS!FHL$184</f>
        <v>0</v>
      </c>
      <c r="FHM77" s="223">
        <f xml:space="preserve"> InputsTS!FHM$184</f>
        <v>0</v>
      </c>
      <c r="FHN77" s="223">
        <f xml:space="preserve"> InputsTS!FHN$184</f>
        <v>0</v>
      </c>
      <c r="FHO77" s="223">
        <f xml:space="preserve"> InputsTS!FHO$184</f>
        <v>0</v>
      </c>
      <c r="FHP77" s="223">
        <f xml:space="preserve"> InputsTS!FHP$184</f>
        <v>0</v>
      </c>
      <c r="FHQ77" s="223">
        <f xml:space="preserve"> InputsTS!FHQ$184</f>
        <v>0</v>
      </c>
      <c r="FHR77" s="223">
        <f xml:space="preserve"> InputsTS!FHR$184</f>
        <v>0</v>
      </c>
      <c r="FHS77" s="223">
        <f xml:space="preserve"> InputsTS!FHS$184</f>
        <v>0</v>
      </c>
      <c r="FHT77" s="223">
        <f xml:space="preserve"> InputsTS!FHT$184</f>
        <v>0</v>
      </c>
      <c r="FHU77" s="223">
        <f xml:space="preserve"> InputsTS!FHU$184</f>
        <v>0</v>
      </c>
      <c r="FHV77" s="223">
        <f xml:space="preserve"> InputsTS!FHV$184</f>
        <v>0</v>
      </c>
      <c r="FHW77" s="223">
        <f xml:space="preserve"> InputsTS!FHW$184</f>
        <v>0</v>
      </c>
      <c r="FHX77" s="223">
        <f xml:space="preserve"> InputsTS!FHX$184</f>
        <v>0</v>
      </c>
      <c r="FHY77" s="223">
        <f xml:space="preserve"> InputsTS!FHY$184</f>
        <v>0</v>
      </c>
      <c r="FHZ77" s="223">
        <f xml:space="preserve"> InputsTS!FHZ$184</f>
        <v>0</v>
      </c>
      <c r="FIA77" s="223">
        <f xml:space="preserve"> InputsTS!FIA$184</f>
        <v>0</v>
      </c>
      <c r="FIB77" s="223">
        <f xml:space="preserve"> InputsTS!FIB$184</f>
        <v>0</v>
      </c>
      <c r="FIC77" s="223">
        <f xml:space="preserve"> InputsTS!FIC$184</f>
        <v>0</v>
      </c>
      <c r="FID77" s="223">
        <f xml:space="preserve"> InputsTS!FID$184</f>
        <v>0</v>
      </c>
      <c r="FIE77" s="223">
        <f xml:space="preserve"> InputsTS!FIE$184</f>
        <v>0</v>
      </c>
      <c r="FIF77" s="223">
        <f xml:space="preserve"> InputsTS!FIF$184</f>
        <v>0</v>
      </c>
      <c r="FIG77" s="223">
        <f xml:space="preserve"> InputsTS!FIG$184</f>
        <v>0</v>
      </c>
      <c r="FIH77" s="223">
        <f xml:space="preserve"> InputsTS!FIH$184</f>
        <v>0</v>
      </c>
      <c r="FII77" s="223">
        <f xml:space="preserve"> InputsTS!FII$184</f>
        <v>0</v>
      </c>
      <c r="FIJ77" s="223">
        <f xml:space="preserve"> InputsTS!FIJ$184</f>
        <v>0</v>
      </c>
      <c r="FIK77" s="223">
        <f xml:space="preserve"> InputsTS!FIK$184</f>
        <v>0</v>
      </c>
      <c r="FIL77" s="223">
        <f xml:space="preserve"> InputsTS!FIL$184</f>
        <v>0</v>
      </c>
      <c r="FIM77" s="223">
        <f xml:space="preserve"> InputsTS!FIM$184</f>
        <v>0</v>
      </c>
      <c r="FIN77" s="223">
        <f xml:space="preserve"> InputsTS!FIN$184</f>
        <v>0</v>
      </c>
      <c r="FIO77" s="223">
        <f xml:space="preserve"> InputsTS!FIO$184</f>
        <v>0</v>
      </c>
      <c r="FIP77" s="223">
        <f xml:space="preserve"> InputsTS!FIP$184</f>
        <v>0</v>
      </c>
      <c r="FIQ77" s="223">
        <f xml:space="preserve"> InputsTS!FIQ$184</f>
        <v>0</v>
      </c>
      <c r="FIR77" s="223">
        <f xml:space="preserve"> InputsTS!FIR$184</f>
        <v>0</v>
      </c>
      <c r="FIS77" s="223">
        <f xml:space="preserve"> InputsTS!FIS$184</f>
        <v>0</v>
      </c>
      <c r="FIT77" s="223">
        <f xml:space="preserve"> InputsTS!FIT$184</f>
        <v>0</v>
      </c>
      <c r="FIU77" s="223">
        <f xml:space="preserve"> InputsTS!FIU$184</f>
        <v>0</v>
      </c>
      <c r="FIV77" s="223">
        <f xml:space="preserve"> InputsTS!FIV$184</f>
        <v>0</v>
      </c>
      <c r="FIW77" s="223">
        <f xml:space="preserve"> InputsTS!FIW$184</f>
        <v>0</v>
      </c>
      <c r="FIX77" s="223">
        <f xml:space="preserve"> InputsTS!FIX$184</f>
        <v>0</v>
      </c>
      <c r="FIY77" s="223">
        <f xml:space="preserve"> InputsTS!FIY$184</f>
        <v>0</v>
      </c>
      <c r="FIZ77" s="223">
        <f xml:space="preserve"> InputsTS!FIZ$184</f>
        <v>0</v>
      </c>
      <c r="FJA77" s="223">
        <f xml:space="preserve"> InputsTS!FJA$184</f>
        <v>0</v>
      </c>
      <c r="FJB77" s="223">
        <f xml:space="preserve"> InputsTS!FJB$184</f>
        <v>0</v>
      </c>
      <c r="FJC77" s="223">
        <f xml:space="preserve"> InputsTS!FJC$184</f>
        <v>0</v>
      </c>
      <c r="FJD77" s="223">
        <f xml:space="preserve"> InputsTS!FJD$184</f>
        <v>0</v>
      </c>
      <c r="FJE77" s="223">
        <f xml:space="preserve"> InputsTS!FJE$184</f>
        <v>0</v>
      </c>
      <c r="FJF77" s="223">
        <f xml:space="preserve"> InputsTS!FJF$184</f>
        <v>0</v>
      </c>
      <c r="FJG77" s="223">
        <f xml:space="preserve"> InputsTS!FJG$184</f>
        <v>0</v>
      </c>
      <c r="FJH77" s="223">
        <f xml:space="preserve"> InputsTS!FJH$184</f>
        <v>0</v>
      </c>
      <c r="FJI77" s="223">
        <f xml:space="preserve"> InputsTS!FJI$184</f>
        <v>0</v>
      </c>
      <c r="FJJ77" s="223">
        <f xml:space="preserve"> InputsTS!FJJ$184</f>
        <v>0</v>
      </c>
      <c r="FJK77" s="223">
        <f xml:space="preserve"> InputsTS!FJK$184</f>
        <v>0</v>
      </c>
      <c r="FJL77" s="223">
        <f xml:space="preserve"> InputsTS!FJL$184</f>
        <v>0</v>
      </c>
      <c r="FJM77" s="223">
        <f xml:space="preserve"> InputsTS!FJM$184</f>
        <v>0</v>
      </c>
      <c r="FJN77" s="223">
        <f xml:space="preserve"> InputsTS!FJN$184</f>
        <v>0</v>
      </c>
      <c r="FJO77" s="223">
        <f xml:space="preserve"> InputsTS!FJO$184</f>
        <v>0</v>
      </c>
      <c r="FJP77" s="223">
        <f xml:space="preserve"> InputsTS!FJP$184</f>
        <v>0</v>
      </c>
      <c r="FJQ77" s="223">
        <f xml:space="preserve"> InputsTS!FJQ$184</f>
        <v>0</v>
      </c>
      <c r="FJR77" s="223">
        <f xml:space="preserve"> InputsTS!FJR$184</f>
        <v>0</v>
      </c>
      <c r="FJS77" s="223">
        <f xml:space="preserve"> InputsTS!FJS$184</f>
        <v>0</v>
      </c>
      <c r="FJT77" s="223">
        <f xml:space="preserve"> InputsTS!FJT$184</f>
        <v>0</v>
      </c>
      <c r="FJU77" s="223">
        <f xml:space="preserve"> InputsTS!FJU$184</f>
        <v>0</v>
      </c>
      <c r="FJV77" s="223">
        <f xml:space="preserve"> InputsTS!FJV$184</f>
        <v>0</v>
      </c>
      <c r="FJW77" s="223">
        <f xml:space="preserve"> InputsTS!FJW$184</f>
        <v>0</v>
      </c>
      <c r="FJX77" s="223">
        <f xml:space="preserve"> InputsTS!FJX$184</f>
        <v>0</v>
      </c>
      <c r="FJY77" s="223">
        <f xml:space="preserve"> InputsTS!FJY$184</f>
        <v>0</v>
      </c>
      <c r="FJZ77" s="223">
        <f xml:space="preserve"> InputsTS!FJZ$184</f>
        <v>0</v>
      </c>
      <c r="FKA77" s="223">
        <f xml:space="preserve"> InputsTS!FKA$184</f>
        <v>0</v>
      </c>
      <c r="FKB77" s="223">
        <f xml:space="preserve"> InputsTS!FKB$184</f>
        <v>0</v>
      </c>
      <c r="FKC77" s="223">
        <f xml:space="preserve"> InputsTS!FKC$184</f>
        <v>0</v>
      </c>
      <c r="FKD77" s="223">
        <f xml:space="preserve"> InputsTS!FKD$184</f>
        <v>0</v>
      </c>
      <c r="FKE77" s="223">
        <f xml:space="preserve"> InputsTS!FKE$184</f>
        <v>0</v>
      </c>
      <c r="FKF77" s="223">
        <f xml:space="preserve"> InputsTS!FKF$184</f>
        <v>0</v>
      </c>
      <c r="FKG77" s="223">
        <f xml:space="preserve"> InputsTS!FKG$184</f>
        <v>0</v>
      </c>
      <c r="FKH77" s="223">
        <f xml:space="preserve"> InputsTS!FKH$184</f>
        <v>0</v>
      </c>
      <c r="FKI77" s="223">
        <f xml:space="preserve"> InputsTS!FKI$184</f>
        <v>0</v>
      </c>
      <c r="FKJ77" s="223">
        <f xml:space="preserve"> InputsTS!FKJ$184</f>
        <v>0</v>
      </c>
      <c r="FKK77" s="223">
        <f xml:space="preserve"> InputsTS!FKK$184</f>
        <v>0</v>
      </c>
      <c r="FKL77" s="223">
        <f xml:space="preserve"> InputsTS!FKL$184</f>
        <v>0</v>
      </c>
      <c r="FKM77" s="223">
        <f xml:space="preserve"> InputsTS!FKM$184</f>
        <v>0</v>
      </c>
      <c r="FKN77" s="223">
        <f xml:space="preserve"> InputsTS!FKN$184</f>
        <v>0</v>
      </c>
      <c r="FKO77" s="223">
        <f xml:space="preserve"> InputsTS!FKO$184</f>
        <v>0</v>
      </c>
      <c r="FKP77" s="223">
        <f xml:space="preserve"> InputsTS!FKP$184</f>
        <v>0</v>
      </c>
      <c r="FKQ77" s="223">
        <f xml:space="preserve"> InputsTS!FKQ$184</f>
        <v>0</v>
      </c>
      <c r="FKR77" s="223">
        <f xml:space="preserve"> InputsTS!FKR$184</f>
        <v>0</v>
      </c>
      <c r="FKS77" s="223">
        <f xml:space="preserve"> InputsTS!FKS$184</f>
        <v>0</v>
      </c>
      <c r="FKT77" s="223">
        <f xml:space="preserve"> InputsTS!FKT$184</f>
        <v>0</v>
      </c>
      <c r="FKU77" s="223">
        <f xml:space="preserve"> InputsTS!FKU$184</f>
        <v>0</v>
      </c>
      <c r="FKV77" s="223">
        <f xml:space="preserve"> InputsTS!FKV$184</f>
        <v>0</v>
      </c>
      <c r="FKW77" s="223">
        <f xml:space="preserve"> InputsTS!FKW$184</f>
        <v>0</v>
      </c>
      <c r="FKX77" s="223">
        <f xml:space="preserve"> InputsTS!FKX$184</f>
        <v>0</v>
      </c>
      <c r="FKY77" s="223">
        <f xml:space="preserve"> InputsTS!FKY$184</f>
        <v>0</v>
      </c>
      <c r="FKZ77" s="223">
        <f xml:space="preserve"> InputsTS!FKZ$184</f>
        <v>0</v>
      </c>
      <c r="FLA77" s="223">
        <f xml:space="preserve"> InputsTS!FLA$184</f>
        <v>0</v>
      </c>
      <c r="FLB77" s="223">
        <f xml:space="preserve"> InputsTS!FLB$184</f>
        <v>0</v>
      </c>
      <c r="FLC77" s="223">
        <f xml:space="preserve"> InputsTS!FLC$184</f>
        <v>0</v>
      </c>
      <c r="FLD77" s="223">
        <f xml:space="preserve"> InputsTS!FLD$184</f>
        <v>0</v>
      </c>
      <c r="FLE77" s="223">
        <f xml:space="preserve"> InputsTS!FLE$184</f>
        <v>0</v>
      </c>
      <c r="FLF77" s="223">
        <f xml:space="preserve"> InputsTS!FLF$184</f>
        <v>0</v>
      </c>
      <c r="FLG77" s="223">
        <f xml:space="preserve"> InputsTS!FLG$184</f>
        <v>0</v>
      </c>
      <c r="FLH77" s="223">
        <f xml:space="preserve"> InputsTS!FLH$184</f>
        <v>0</v>
      </c>
      <c r="FLI77" s="223">
        <f xml:space="preserve"> InputsTS!FLI$184</f>
        <v>0</v>
      </c>
      <c r="FLJ77" s="223">
        <f xml:space="preserve"> InputsTS!FLJ$184</f>
        <v>0</v>
      </c>
      <c r="FLK77" s="223">
        <f xml:space="preserve"> InputsTS!FLK$184</f>
        <v>0</v>
      </c>
      <c r="FLL77" s="223">
        <f xml:space="preserve"> InputsTS!FLL$184</f>
        <v>0</v>
      </c>
      <c r="FLM77" s="223">
        <f xml:space="preserve"> InputsTS!FLM$184</f>
        <v>0</v>
      </c>
      <c r="FLN77" s="223">
        <f xml:space="preserve"> InputsTS!FLN$184</f>
        <v>0</v>
      </c>
      <c r="FLO77" s="223">
        <f xml:space="preserve"> InputsTS!FLO$184</f>
        <v>0</v>
      </c>
      <c r="FLP77" s="223">
        <f xml:space="preserve"> InputsTS!FLP$184</f>
        <v>0</v>
      </c>
      <c r="FLQ77" s="223">
        <f xml:space="preserve"> InputsTS!FLQ$184</f>
        <v>0</v>
      </c>
      <c r="FLR77" s="223">
        <f xml:space="preserve"> InputsTS!FLR$184</f>
        <v>0</v>
      </c>
      <c r="FLS77" s="223">
        <f xml:space="preserve"> InputsTS!FLS$184</f>
        <v>0</v>
      </c>
      <c r="FLT77" s="223">
        <f xml:space="preserve"> InputsTS!FLT$184</f>
        <v>0</v>
      </c>
      <c r="FLU77" s="223">
        <f xml:space="preserve"> InputsTS!FLU$184</f>
        <v>0</v>
      </c>
      <c r="FLV77" s="223">
        <f xml:space="preserve"> InputsTS!FLV$184</f>
        <v>0</v>
      </c>
      <c r="FLW77" s="223">
        <f xml:space="preserve"> InputsTS!FLW$184</f>
        <v>0</v>
      </c>
      <c r="FLX77" s="223">
        <f xml:space="preserve"> InputsTS!FLX$184</f>
        <v>0</v>
      </c>
      <c r="FLY77" s="223">
        <f xml:space="preserve"> InputsTS!FLY$184</f>
        <v>0</v>
      </c>
      <c r="FLZ77" s="223">
        <f xml:space="preserve"> InputsTS!FLZ$184</f>
        <v>0</v>
      </c>
      <c r="FMA77" s="223">
        <f xml:space="preserve"> InputsTS!FMA$184</f>
        <v>0</v>
      </c>
      <c r="FMB77" s="223">
        <f xml:space="preserve"> InputsTS!FMB$184</f>
        <v>0</v>
      </c>
      <c r="FMC77" s="223">
        <f xml:space="preserve"> InputsTS!FMC$184</f>
        <v>0</v>
      </c>
      <c r="FMD77" s="223">
        <f xml:space="preserve"> InputsTS!FMD$184</f>
        <v>0</v>
      </c>
      <c r="FME77" s="223">
        <f xml:space="preserve"> InputsTS!FME$184</f>
        <v>0</v>
      </c>
      <c r="FMF77" s="223">
        <f xml:space="preserve"> InputsTS!FMF$184</f>
        <v>0</v>
      </c>
      <c r="FMG77" s="223">
        <f xml:space="preserve"> InputsTS!FMG$184</f>
        <v>0</v>
      </c>
      <c r="FMH77" s="223">
        <f xml:space="preserve"> InputsTS!FMH$184</f>
        <v>0</v>
      </c>
      <c r="FMI77" s="223">
        <f xml:space="preserve"> InputsTS!FMI$184</f>
        <v>0</v>
      </c>
      <c r="FMJ77" s="223">
        <f xml:space="preserve"> InputsTS!FMJ$184</f>
        <v>0</v>
      </c>
      <c r="FMK77" s="223">
        <f xml:space="preserve"> InputsTS!FMK$184</f>
        <v>0</v>
      </c>
      <c r="FML77" s="223">
        <f xml:space="preserve"> InputsTS!FML$184</f>
        <v>0</v>
      </c>
      <c r="FMM77" s="223">
        <f xml:space="preserve"> InputsTS!FMM$184</f>
        <v>0</v>
      </c>
      <c r="FMN77" s="223">
        <f xml:space="preserve"> InputsTS!FMN$184</f>
        <v>0</v>
      </c>
      <c r="FMO77" s="223">
        <f xml:space="preserve"> InputsTS!FMO$184</f>
        <v>0</v>
      </c>
      <c r="FMP77" s="223">
        <f xml:space="preserve"> InputsTS!FMP$184</f>
        <v>0</v>
      </c>
      <c r="FMQ77" s="223">
        <f xml:space="preserve"> InputsTS!FMQ$184</f>
        <v>0</v>
      </c>
      <c r="FMR77" s="223">
        <f xml:space="preserve"> InputsTS!FMR$184</f>
        <v>0</v>
      </c>
      <c r="FMS77" s="223">
        <f xml:space="preserve"> InputsTS!FMS$184</f>
        <v>0</v>
      </c>
      <c r="FMT77" s="223">
        <f xml:space="preserve"> InputsTS!FMT$184</f>
        <v>0</v>
      </c>
      <c r="FMU77" s="223">
        <f xml:space="preserve"> InputsTS!FMU$184</f>
        <v>0</v>
      </c>
      <c r="FMV77" s="223">
        <f xml:space="preserve"> InputsTS!FMV$184</f>
        <v>0</v>
      </c>
      <c r="FMW77" s="223">
        <f xml:space="preserve"> InputsTS!FMW$184</f>
        <v>0</v>
      </c>
      <c r="FMX77" s="223">
        <f xml:space="preserve"> InputsTS!FMX$184</f>
        <v>0</v>
      </c>
      <c r="FMY77" s="223">
        <f xml:space="preserve"> InputsTS!FMY$184</f>
        <v>0</v>
      </c>
      <c r="FMZ77" s="223">
        <f xml:space="preserve"> InputsTS!FMZ$184</f>
        <v>0</v>
      </c>
      <c r="FNA77" s="223">
        <f xml:space="preserve"> InputsTS!FNA$184</f>
        <v>0</v>
      </c>
      <c r="FNB77" s="223">
        <f xml:space="preserve"> InputsTS!FNB$184</f>
        <v>0</v>
      </c>
      <c r="FNC77" s="223">
        <f xml:space="preserve"> InputsTS!FNC$184</f>
        <v>0</v>
      </c>
      <c r="FND77" s="223">
        <f xml:space="preserve"> InputsTS!FND$184</f>
        <v>0</v>
      </c>
      <c r="FNE77" s="223">
        <f xml:space="preserve"> InputsTS!FNE$184</f>
        <v>0</v>
      </c>
      <c r="FNF77" s="223">
        <f xml:space="preserve"> InputsTS!FNF$184</f>
        <v>0</v>
      </c>
      <c r="FNG77" s="223">
        <f xml:space="preserve"> InputsTS!FNG$184</f>
        <v>0</v>
      </c>
      <c r="FNH77" s="223">
        <f xml:space="preserve"> InputsTS!FNH$184</f>
        <v>0</v>
      </c>
      <c r="FNI77" s="223">
        <f xml:space="preserve"> InputsTS!FNI$184</f>
        <v>0</v>
      </c>
      <c r="FNJ77" s="223">
        <f xml:space="preserve"> InputsTS!FNJ$184</f>
        <v>0</v>
      </c>
      <c r="FNK77" s="223">
        <f xml:space="preserve"> InputsTS!FNK$184</f>
        <v>0</v>
      </c>
      <c r="FNL77" s="223">
        <f xml:space="preserve"> InputsTS!FNL$184</f>
        <v>0</v>
      </c>
      <c r="FNM77" s="223">
        <f xml:space="preserve"> InputsTS!FNM$184</f>
        <v>0</v>
      </c>
      <c r="FNN77" s="223">
        <f xml:space="preserve"> InputsTS!FNN$184</f>
        <v>0</v>
      </c>
      <c r="FNO77" s="223">
        <f xml:space="preserve"> InputsTS!FNO$184</f>
        <v>0</v>
      </c>
      <c r="FNP77" s="223">
        <f xml:space="preserve"> InputsTS!FNP$184</f>
        <v>0</v>
      </c>
      <c r="FNQ77" s="223">
        <f xml:space="preserve"> InputsTS!FNQ$184</f>
        <v>0</v>
      </c>
      <c r="FNR77" s="223">
        <f xml:space="preserve"> InputsTS!FNR$184</f>
        <v>0</v>
      </c>
      <c r="FNS77" s="223">
        <f xml:space="preserve"> InputsTS!FNS$184</f>
        <v>0</v>
      </c>
      <c r="FNT77" s="223">
        <f xml:space="preserve"> InputsTS!FNT$184</f>
        <v>0</v>
      </c>
      <c r="FNU77" s="223">
        <f xml:space="preserve"> InputsTS!FNU$184</f>
        <v>0</v>
      </c>
      <c r="FNV77" s="223">
        <f xml:space="preserve"> InputsTS!FNV$184</f>
        <v>0</v>
      </c>
      <c r="FNW77" s="223">
        <f xml:space="preserve"> InputsTS!FNW$184</f>
        <v>0</v>
      </c>
      <c r="FNX77" s="223">
        <f xml:space="preserve"> InputsTS!FNX$184</f>
        <v>0</v>
      </c>
      <c r="FNY77" s="223">
        <f xml:space="preserve"> InputsTS!FNY$184</f>
        <v>0</v>
      </c>
      <c r="FNZ77" s="223">
        <f xml:space="preserve"> InputsTS!FNZ$184</f>
        <v>0</v>
      </c>
      <c r="FOA77" s="223">
        <f xml:space="preserve"> InputsTS!FOA$184</f>
        <v>0</v>
      </c>
      <c r="FOB77" s="223">
        <f xml:space="preserve"> InputsTS!FOB$184</f>
        <v>0</v>
      </c>
      <c r="FOC77" s="223">
        <f xml:space="preserve"> InputsTS!FOC$184</f>
        <v>0</v>
      </c>
      <c r="FOD77" s="223">
        <f xml:space="preserve"> InputsTS!FOD$184</f>
        <v>0</v>
      </c>
      <c r="FOE77" s="223">
        <f xml:space="preserve"> InputsTS!FOE$184</f>
        <v>0</v>
      </c>
      <c r="FOF77" s="223">
        <f xml:space="preserve"> InputsTS!FOF$184</f>
        <v>0</v>
      </c>
      <c r="FOG77" s="223">
        <f xml:space="preserve"> InputsTS!FOG$184</f>
        <v>0</v>
      </c>
      <c r="FOH77" s="223">
        <f xml:space="preserve"> InputsTS!FOH$184</f>
        <v>0</v>
      </c>
      <c r="FOI77" s="223">
        <f xml:space="preserve"> InputsTS!FOI$184</f>
        <v>0</v>
      </c>
      <c r="FOJ77" s="223">
        <f xml:space="preserve"> InputsTS!FOJ$184</f>
        <v>0</v>
      </c>
      <c r="FOK77" s="223">
        <f xml:space="preserve"> InputsTS!FOK$184</f>
        <v>0</v>
      </c>
      <c r="FOL77" s="223">
        <f xml:space="preserve"> InputsTS!FOL$184</f>
        <v>0</v>
      </c>
      <c r="FOM77" s="223">
        <f xml:space="preserve"> InputsTS!FOM$184</f>
        <v>0</v>
      </c>
      <c r="FON77" s="223">
        <f xml:space="preserve"> InputsTS!FON$184</f>
        <v>0</v>
      </c>
      <c r="FOO77" s="223">
        <f xml:space="preserve"> InputsTS!FOO$184</f>
        <v>0</v>
      </c>
      <c r="FOP77" s="223">
        <f xml:space="preserve"> InputsTS!FOP$184</f>
        <v>0</v>
      </c>
      <c r="FOQ77" s="223">
        <f xml:space="preserve"> InputsTS!FOQ$184</f>
        <v>0</v>
      </c>
      <c r="FOR77" s="223">
        <f xml:space="preserve"> InputsTS!FOR$184</f>
        <v>0</v>
      </c>
      <c r="FOS77" s="223">
        <f xml:space="preserve"> InputsTS!FOS$184</f>
        <v>0</v>
      </c>
      <c r="FOT77" s="223">
        <f xml:space="preserve"> InputsTS!FOT$184</f>
        <v>0</v>
      </c>
      <c r="FOU77" s="223">
        <f xml:space="preserve"> InputsTS!FOU$184</f>
        <v>0</v>
      </c>
      <c r="FOV77" s="223">
        <f xml:space="preserve"> InputsTS!FOV$184</f>
        <v>0</v>
      </c>
      <c r="FOW77" s="223">
        <f xml:space="preserve"> InputsTS!FOW$184</f>
        <v>0</v>
      </c>
      <c r="FOX77" s="223">
        <f xml:space="preserve"> InputsTS!FOX$184</f>
        <v>0</v>
      </c>
      <c r="FOY77" s="223">
        <f xml:space="preserve"> InputsTS!FOY$184</f>
        <v>0</v>
      </c>
      <c r="FOZ77" s="223">
        <f xml:space="preserve"> InputsTS!FOZ$184</f>
        <v>0</v>
      </c>
      <c r="FPA77" s="223">
        <f xml:space="preserve"> InputsTS!FPA$184</f>
        <v>0</v>
      </c>
      <c r="FPB77" s="223">
        <f xml:space="preserve"> InputsTS!FPB$184</f>
        <v>0</v>
      </c>
      <c r="FPC77" s="223">
        <f xml:space="preserve"> InputsTS!FPC$184</f>
        <v>0</v>
      </c>
      <c r="FPD77" s="223">
        <f xml:space="preserve"> InputsTS!FPD$184</f>
        <v>0</v>
      </c>
      <c r="FPE77" s="223">
        <f xml:space="preserve"> InputsTS!FPE$184</f>
        <v>0</v>
      </c>
      <c r="FPF77" s="223">
        <f xml:space="preserve"> InputsTS!FPF$184</f>
        <v>0</v>
      </c>
      <c r="FPG77" s="223">
        <f xml:space="preserve"> InputsTS!FPG$184</f>
        <v>0</v>
      </c>
      <c r="FPH77" s="223">
        <f xml:space="preserve"> InputsTS!FPH$184</f>
        <v>0</v>
      </c>
      <c r="FPI77" s="223">
        <f xml:space="preserve"> InputsTS!FPI$184</f>
        <v>0</v>
      </c>
      <c r="FPJ77" s="223">
        <f xml:space="preserve"> InputsTS!FPJ$184</f>
        <v>0</v>
      </c>
      <c r="FPK77" s="223">
        <f xml:space="preserve"> InputsTS!FPK$184</f>
        <v>0</v>
      </c>
      <c r="FPL77" s="223">
        <f xml:space="preserve"> InputsTS!FPL$184</f>
        <v>0</v>
      </c>
      <c r="FPM77" s="223">
        <f xml:space="preserve"> InputsTS!FPM$184</f>
        <v>0</v>
      </c>
      <c r="FPN77" s="223">
        <f xml:space="preserve"> InputsTS!FPN$184</f>
        <v>0</v>
      </c>
      <c r="FPO77" s="223">
        <f xml:space="preserve"> InputsTS!FPO$184</f>
        <v>0</v>
      </c>
      <c r="FPP77" s="223">
        <f xml:space="preserve"> InputsTS!FPP$184</f>
        <v>0</v>
      </c>
      <c r="FPQ77" s="223">
        <f xml:space="preserve"> InputsTS!FPQ$184</f>
        <v>0</v>
      </c>
      <c r="FPR77" s="223">
        <f xml:space="preserve"> InputsTS!FPR$184</f>
        <v>0</v>
      </c>
      <c r="FPS77" s="223">
        <f xml:space="preserve"> InputsTS!FPS$184</f>
        <v>0</v>
      </c>
      <c r="FPT77" s="223">
        <f xml:space="preserve"> InputsTS!FPT$184</f>
        <v>0</v>
      </c>
      <c r="FPU77" s="223">
        <f xml:space="preserve"> InputsTS!FPU$184</f>
        <v>0</v>
      </c>
      <c r="FPV77" s="223">
        <f xml:space="preserve"> InputsTS!FPV$184</f>
        <v>0</v>
      </c>
      <c r="FPW77" s="223">
        <f xml:space="preserve"> InputsTS!FPW$184</f>
        <v>0</v>
      </c>
      <c r="FPX77" s="223">
        <f xml:space="preserve"> InputsTS!FPX$184</f>
        <v>0</v>
      </c>
      <c r="FPY77" s="223">
        <f xml:space="preserve"> InputsTS!FPY$184</f>
        <v>0</v>
      </c>
      <c r="FPZ77" s="223">
        <f xml:space="preserve"> InputsTS!FPZ$184</f>
        <v>0</v>
      </c>
      <c r="FQA77" s="223">
        <f xml:space="preserve"> InputsTS!FQA$184</f>
        <v>0</v>
      </c>
      <c r="FQB77" s="223">
        <f xml:space="preserve"> InputsTS!FQB$184</f>
        <v>0</v>
      </c>
      <c r="FQC77" s="223">
        <f xml:space="preserve"> InputsTS!FQC$184</f>
        <v>0</v>
      </c>
      <c r="FQD77" s="223">
        <f xml:space="preserve"> InputsTS!FQD$184</f>
        <v>0</v>
      </c>
      <c r="FQE77" s="223">
        <f xml:space="preserve"> InputsTS!FQE$184</f>
        <v>0</v>
      </c>
      <c r="FQF77" s="223">
        <f xml:space="preserve"> InputsTS!FQF$184</f>
        <v>0</v>
      </c>
      <c r="FQG77" s="223">
        <f xml:space="preserve"> InputsTS!FQG$184</f>
        <v>0</v>
      </c>
      <c r="FQH77" s="223">
        <f xml:space="preserve"> InputsTS!FQH$184</f>
        <v>0</v>
      </c>
      <c r="FQI77" s="223">
        <f xml:space="preserve"> InputsTS!FQI$184</f>
        <v>0</v>
      </c>
      <c r="FQJ77" s="223">
        <f xml:space="preserve"> InputsTS!FQJ$184</f>
        <v>0</v>
      </c>
      <c r="FQK77" s="223">
        <f xml:space="preserve"> InputsTS!FQK$184</f>
        <v>0</v>
      </c>
      <c r="FQL77" s="223">
        <f xml:space="preserve"> InputsTS!FQL$184</f>
        <v>0</v>
      </c>
      <c r="FQM77" s="223">
        <f xml:space="preserve"> InputsTS!FQM$184</f>
        <v>0</v>
      </c>
      <c r="FQN77" s="223">
        <f xml:space="preserve"> InputsTS!FQN$184</f>
        <v>0</v>
      </c>
      <c r="FQO77" s="223">
        <f xml:space="preserve"> InputsTS!FQO$184</f>
        <v>0</v>
      </c>
      <c r="FQP77" s="223">
        <f xml:space="preserve"> InputsTS!FQP$184</f>
        <v>0</v>
      </c>
      <c r="FQQ77" s="223">
        <f xml:space="preserve"> InputsTS!FQQ$184</f>
        <v>0</v>
      </c>
      <c r="FQR77" s="223">
        <f xml:space="preserve"> InputsTS!FQR$184</f>
        <v>0</v>
      </c>
      <c r="FQS77" s="223">
        <f xml:space="preserve"> InputsTS!FQS$184</f>
        <v>0</v>
      </c>
      <c r="FQT77" s="223">
        <f xml:space="preserve"> InputsTS!FQT$184</f>
        <v>0</v>
      </c>
      <c r="FQU77" s="223">
        <f xml:space="preserve"> InputsTS!FQU$184</f>
        <v>0</v>
      </c>
      <c r="FQV77" s="223">
        <f xml:space="preserve"> InputsTS!FQV$184</f>
        <v>0</v>
      </c>
      <c r="FQW77" s="223">
        <f xml:space="preserve"> InputsTS!FQW$184</f>
        <v>0</v>
      </c>
      <c r="FQX77" s="223">
        <f xml:space="preserve"> InputsTS!FQX$184</f>
        <v>0</v>
      </c>
      <c r="FQY77" s="223">
        <f xml:space="preserve"> InputsTS!FQY$184</f>
        <v>0</v>
      </c>
      <c r="FQZ77" s="223">
        <f xml:space="preserve"> InputsTS!FQZ$184</f>
        <v>0</v>
      </c>
      <c r="FRA77" s="223">
        <f xml:space="preserve"> InputsTS!FRA$184</f>
        <v>0</v>
      </c>
      <c r="FRB77" s="223">
        <f xml:space="preserve"> InputsTS!FRB$184</f>
        <v>0</v>
      </c>
      <c r="FRC77" s="223">
        <f xml:space="preserve"> InputsTS!FRC$184</f>
        <v>0</v>
      </c>
      <c r="FRD77" s="223">
        <f xml:space="preserve"> InputsTS!FRD$184</f>
        <v>0</v>
      </c>
      <c r="FRE77" s="223">
        <f xml:space="preserve"> InputsTS!FRE$184</f>
        <v>0</v>
      </c>
      <c r="FRF77" s="223">
        <f xml:space="preserve"> InputsTS!FRF$184</f>
        <v>0</v>
      </c>
      <c r="FRG77" s="223">
        <f xml:space="preserve"> InputsTS!FRG$184</f>
        <v>0</v>
      </c>
      <c r="FRH77" s="223">
        <f xml:space="preserve"> InputsTS!FRH$184</f>
        <v>0</v>
      </c>
      <c r="FRI77" s="223">
        <f xml:space="preserve"> InputsTS!FRI$184</f>
        <v>0</v>
      </c>
      <c r="FRJ77" s="223">
        <f xml:space="preserve"> InputsTS!FRJ$184</f>
        <v>0</v>
      </c>
      <c r="FRK77" s="223">
        <f xml:space="preserve"> InputsTS!FRK$184</f>
        <v>0</v>
      </c>
      <c r="FRL77" s="223">
        <f xml:space="preserve"> InputsTS!FRL$184</f>
        <v>0</v>
      </c>
      <c r="FRM77" s="223">
        <f xml:space="preserve"> InputsTS!FRM$184</f>
        <v>0</v>
      </c>
      <c r="FRN77" s="223">
        <f xml:space="preserve"> InputsTS!FRN$184</f>
        <v>0</v>
      </c>
      <c r="FRO77" s="223">
        <f xml:space="preserve"> InputsTS!FRO$184</f>
        <v>0</v>
      </c>
      <c r="FRP77" s="223">
        <f xml:space="preserve"> InputsTS!FRP$184</f>
        <v>0</v>
      </c>
      <c r="FRQ77" s="223">
        <f xml:space="preserve"> InputsTS!FRQ$184</f>
        <v>0</v>
      </c>
      <c r="FRR77" s="223">
        <f xml:space="preserve"> InputsTS!FRR$184</f>
        <v>0</v>
      </c>
      <c r="FRS77" s="223">
        <f xml:space="preserve"> InputsTS!FRS$184</f>
        <v>0</v>
      </c>
      <c r="FRT77" s="223">
        <f xml:space="preserve"> InputsTS!FRT$184</f>
        <v>0</v>
      </c>
      <c r="FRU77" s="223">
        <f xml:space="preserve"> InputsTS!FRU$184</f>
        <v>0</v>
      </c>
      <c r="FRV77" s="223">
        <f xml:space="preserve"> InputsTS!FRV$184</f>
        <v>0</v>
      </c>
      <c r="FRW77" s="223">
        <f xml:space="preserve"> InputsTS!FRW$184</f>
        <v>0</v>
      </c>
      <c r="FRX77" s="223">
        <f xml:space="preserve"> InputsTS!FRX$184</f>
        <v>0</v>
      </c>
      <c r="FRY77" s="223">
        <f xml:space="preserve"> InputsTS!FRY$184</f>
        <v>0</v>
      </c>
      <c r="FRZ77" s="223">
        <f xml:space="preserve"> InputsTS!FRZ$184</f>
        <v>0</v>
      </c>
      <c r="FSA77" s="223">
        <f xml:space="preserve"> InputsTS!FSA$184</f>
        <v>0</v>
      </c>
      <c r="FSB77" s="223">
        <f xml:space="preserve"> InputsTS!FSB$184</f>
        <v>0</v>
      </c>
      <c r="FSC77" s="223">
        <f xml:space="preserve"> InputsTS!FSC$184</f>
        <v>0</v>
      </c>
      <c r="FSD77" s="223">
        <f xml:space="preserve"> InputsTS!FSD$184</f>
        <v>0</v>
      </c>
      <c r="FSE77" s="223">
        <f xml:space="preserve"> InputsTS!FSE$184</f>
        <v>0</v>
      </c>
      <c r="FSF77" s="223">
        <f xml:space="preserve"> InputsTS!FSF$184</f>
        <v>0</v>
      </c>
      <c r="FSG77" s="223">
        <f xml:space="preserve"> InputsTS!FSG$184</f>
        <v>0</v>
      </c>
      <c r="FSH77" s="223">
        <f xml:space="preserve"> InputsTS!FSH$184</f>
        <v>0</v>
      </c>
      <c r="FSI77" s="223">
        <f xml:space="preserve"> InputsTS!FSI$184</f>
        <v>0</v>
      </c>
      <c r="FSJ77" s="223">
        <f xml:space="preserve"> InputsTS!FSJ$184</f>
        <v>0</v>
      </c>
      <c r="FSK77" s="223">
        <f xml:space="preserve"> InputsTS!FSK$184</f>
        <v>0</v>
      </c>
      <c r="FSL77" s="223">
        <f xml:space="preserve"> InputsTS!FSL$184</f>
        <v>0</v>
      </c>
      <c r="FSM77" s="223">
        <f xml:space="preserve"> InputsTS!FSM$184</f>
        <v>0</v>
      </c>
      <c r="FSN77" s="223">
        <f xml:space="preserve"> InputsTS!FSN$184</f>
        <v>0</v>
      </c>
      <c r="FSO77" s="223">
        <f xml:space="preserve"> InputsTS!FSO$184</f>
        <v>0</v>
      </c>
      <c r="FSP77" s="223">
        <f xml:space="preserve"> InputsTS!FSP$184</f>
        <v>0</v>
      </c>
      <c r="FSQ77" s="223">
        <f xml:space="preserve"> InputsTS!FSQ$184</f>
        <v>0</v>
      </c>
      <c r="FSR77" s="223">
        <f xml:space="preserve"> InputsTS!FSR$184</f>
        <v>0</v>
      </c>
      <c r="FSS77" s="223">
        <f xml:space="preserve"> InputsTS!FSS$184</f>
        <v>0</v>
      </c>
      <c r="FST77" s="223">
        <f xml:space="preserve"> InputsTS!FST$184</f>
        <v>0</v>
      </c>
      <c r="FSU77" s="223">
        <f xml:space="preserve"> InputsTS!FSU$184</f>
        <v>0</v>
      </c>
      <c r="FSV77" s="223">
        <f xml:space="preserve"> InputsTS!FSV$184</f>
        <v>0</v>
      </c>
      <c r="FSW77" s="223">
        <f xml:space="preserve"> InputsTS!FSW$184</f>
        <v>0</v>
      </c>
      <c r="FSX77" s="223">
        <f xml:space="preserve"> InputsTS!FSX$184</f>
        <v>0</v>
      </c>
      <c r="FSY77" s="223">
        <f xml:space="preserve"> InputsTS!FSY$184</f>
        <v>0</v>
      </c>
      <c r="FSZ77" s="223">
        <f xml:space="preserve"> InputsTS!FSZ$184</f>
        <v>0</v>
      </c>
      <c r="FTA77" s="223">
        <f xml:space="preserve"> InputsTS!FTA$184</f>
        <v>0</v>
      </c>
      <c r="FTB77" s="223">
        <f xml:space="preserve"> InputsTS!FTB$184</f>
        <v>0</v>
      </c>
      <c r="FTC77" s="223">
        <f xml:space="preserve"> InputsTS!FTC$184</f>
        <v>0</v>
      </c>
      <c r="FTD77" s="223">
        <f xml:space="preserve"> InputsTS!FTD$184</f>
        <v>0</v>
      </c>
      <c r="FTE77" s="223">
        <f xml:space="preserve"> InputsTS!FTE$184</f>
        <v>0</v>
      </c>
      <c r="FTF77" s="223">
        <f xml:space="preserve"> InputsTS!FTF$184</f>
        <v>0</v>
      </c>
      <c r="FTG77" s="223">
        <f xml:space="preserve"> InputsTS!FTG$184</f>
        <v>0</v>
      </c>
      <c r="FTH77" s="223">
        <f xml:space="preserve"> InputsTS!FTH$184</f>
        <v>0</v>
      </c>
      <c r="FTI77" s="223">
        <f xml:space="preserve"> InputsTS!FTI$184</f>
        <v>0</v>
      </c>
      <c r="FTJ77" s="223">
        <f xml:space="preserve"> InputsTS!FTJ$184</f>
        <v>0</v>
      </c>
      <c r="FTK77" s="223">
        <f xml:space="preserve"> InputsTS!FTK$184</f>
        <v>0</v>
      </c>
      <c r="FTL77" s="223">
        <f xml:space="preserve"> InputsTS!FTL$184</f>
        <v>0</v>
      </c>
      <c r="FTM77" s="223">
        <f xml:space="preserve"> InputsTS!FTM$184</f>
        <v>0</v>
      </c>
      <c r="FTN77" s="223">
        <f xml:space="preserve"> InputsTS!FTN$184</f>
        <v>0</v>
      </c>
      <c r="FTO77" s="223">
        <f xml:space="preserve"> InputsTS!FTO$184</f>
        <v>0</v>
      </c>
      <c r="FTP77" s="223">
        <f xml:space="preserve"> InputsTS!FTP$184</f>
        <v>0</v>
      </c>
      <c r="FTQ77" s="223">
        <f xml:space="preserve"> InputsTS!FTQ$184</f>
        <v>0</v>
      </c>
      <c r="FTR77" s="223">
        <f xml:space="preserve"> InputsTS!FTR$184</f>
        <v>0</v>
      </c>
      <c r="FTS77" s="223">
        <f xml:space="preserve"> InputsTS!FTS$184</f>
        <v>0</v>
      </c>
      <c r="FTT77" s="223">
        <f xml:space="preserve"> InputsTS!FTT$184</f>
        <v>0</v>
      </c>
      <c r="FTU77" s="223">
        <f xml:space="preserve"> InputsTS!FTU$184</f>
        <v>0</v>
      </c>
      <c r="FTV77" s="223">
        <f xml:space="preserve"> InputsTS!FTV$184</f>
        <v>0</v>
      </c>
      <c r="FTW77" s="223">
        <f xml:space="preserve"> InputsTS!FTW$184</f>
        <v>0</v>
      </c>
      <c r="FTX77" s="223">
        <f xml:space="preserve"> InputsTS!FTX$184</f>
        <v>0</v>
      </c>
      <c r="FTY77" s="223">
        <f xml:space="preserve"> InputsTS!FTY$184</f>
        <v>0</v>
      </c>
      <c r="FTZ77" s="223">
        <f xml:space="preserve"> InputsTS!FTZ$184</f>
        <v>0</v>
      </c>
      <c r="FUA77" s="223">
        <f xml:space="preserve"> InputsTS!FUA$184</f>
        <v>0</v>
      </c>
      <c r="FUB77" s="223">
        <f xml:space="preserve"> InputsTS!FUB$184</f>
        <v>0</v>
      </c>
      <c r="FUC77" s="223">
        <f xml:space="preserve"> InputsTS!FUC$184</f>
        <v>0</v>
      </c>
      <c r="FUD77" s="223">
        <f xml:space="preserve"> InputsTS!FUD$184</f>
        <v>0</v>
      </c>
      <c r="FUE77" s="223">
        <f xml:space="preserve"> InputsTS!FUE$184</f>
        <v>0</v>
      </c>
      <c r="FUF77" s="223">
        <f xml:space="preserve"> InputsTS!FUF$184</f>
        <v>0</v>
      </c>
      <c r="FUG77" s="223">
        <f xml:space="preserve"> InputsTS!FUG$184</f>
        <v>0</v>
      </c>
      <c r="FUH77" s="223">
        <f xml:space="preserve"> InputsTS!FUH$184</f>
        <v>0</v>
      </c>
      <c r="FUI77" s="223">
        <f xml:space="preserve"> InputsTS!FUI$184</f>
        <v>0</v>
      </c>
      <c r="FUJ77" s="223">
        <f xml:space="preserve"> InputsTS!FUJ$184</f>
        <v>0</v>
      </c>
      <c r="FUK77" s="223">
        <f xml:space="preserve"> InputsTS!FUK$184</f>
        <v>0</v>
      </c>
      <c r="FUL77" s="223">
        <f xml:space="preserve"> InputsTS!FUL$184</f>
        <v>0</v>
      </c>
      <c r="FUM77" s="223">
        <f xml:space="preserve"> InputsTS!FUM$184</f>
        <v>0</v>
      </c>
      <c r="FUN77" s="223">
        <f xml:space="preserve"> InputsTS!FUN$184</f>
        <v>0</v>
      </c>
      <c r="FUO77" s="223">
        <f xml:space="preserve"> InputsTS!FUO$184</f>
        <v>0</v>
      </c>
      <c r="FUP77" s="223">
        <f xml:space="preserve"> InputsTS!FUP$184</f>
        <v>0</v>
      </c>
      <c r="FUQ77" s="223">
        <f xml:space="preserve"> InputsTS!FUQ$184</f>
        <v>0</v>
      </c>
      <c r="FUR77" s="223">
        <f xml:space="preserve"> InputsTS!FUR$184</f>
        <v>0</v>
      </c>
      <c r="FUS77" s="223">
        <f xml:space="preserve"> InputsTS!FUS$184</f>
        <v>0</v>
      </c>
      <c r="FUT77" s="223">
        <f xml:space="preserve"> InputsTS!FUT$184</f>
        <v>0</v>
      </c>
      <c r="FUU77" s="223">
        <f xml:space="preserve"> InputsTS!FUU$184</f>
        <v>0</v>
      </c>
      <c r="FUV77" s="223">
        <f xml:space="preserve"> InputsTS!FUV$184</f>
        <v>0</v>
      </c>
      <c r="FUW77" s="223">
        <f xml:space="preserve"> InputsTS!FUW$184</f>
        <v>0</v>
      </c>
      <c r="FUX77" s="223">
        <f xml:space="preserve"> InputsTS!FUX$184</f>
        <v>0</v>
      </c>
      <c r="FUY77" s="223">
        <f xml:space="preserve"> InputsTS!FUY$184</f>
        <v>0</v>
      </c>
      <c r="FUZ77" s="223">
        <f xml:space="preserve"> InputsTS!FUZ$184</f>
        <v>0</v>
      </c>
      <c r="FVA77" s="223">
        <f xml:space="preserve"> InputsTS!FVA$184</f>
        <v>0</v>
      </c>
      <c r="FVB77" s="223">
        <f xml:space="preserve"> InputsTS!FVB$184</f>
        <v>0</v>
      </c>
      <c r="FVC77" s="223">
        <f xml:space="preserve"> InputsTS!FVC$184</f>
        <v>0</v>
      </c>
      <c r="FVD77" s="223">
        <f xml:space="preserve"> InputsTS!FVD$184</f>
        <v>0</v>
      </c>
      <c r="FVE77" s="223">
        <f xml:space="preserve"> InputsTS!FVE$184</f>
        <v>0</v>
      </c>
      <c r="FVF77" s="223">
        <f xml:space="preserve"> InputsTS!FVF$184</f>
        <v>0</v>
      </c>
      <c r="FVG77" s="223">
        <f xml:space="preserve"> InputsTS!FVG$184</f>
        <v>0</v>
      </c>
      <c r="FVH77" s="223">
        <f xml:space="preserve"> InputsTS!FVH$184</f>
        <v>0</v>
      </c>
      <c r="FVI77" s="223">
        <f xml:space="preserve"> InputsTS!FVI$184</f>
        <v>0</v>
      </c>
      <c r="FVJ77" s="223">
        <f xml:space="preserve"> InputsTS!FVJ$184</f>
        <v>0</v>
      </c>
      <c r="FVK77" s="223">
        <f xml:space="preserve"> InputsTS!FVK$184</f>
        <v>0</v>
      </c>
      <c r="FVL77" s="223">
        <f xml:space="preserve"> InputsTS!FVL$184</f>
        <v>0</v>
      </c>
      <c r="FVM77" s="223">
        <f xml:space="preserve"> InputsTS!FVM$184</f>
        <v>0</v>
      </c>
      <c r="FVN77" s="223">
        <f xml:space="preserve"> InputsTS!FVN$184</f>
        <v>0</v>
      </c>
      <c r="FVO77" s="223">
        <f xml:space="preserve"> InputsTS!FVO$184</f>
        <v>0</v>
      </c>
      <c r="FVP77" s="223">
        <f xml:space="preserve"> InputsTS!FVP$184</f>
        <v>0</v>
      </c>
      <c r="FVQ77" s="223">
        <f xml:space="preserve"> InputsTS!FVQ$184</f>
        <v>0</v>
      </c>
      <c r="FVR77" s="223">
        <f xml:space="preserve"> InputsTS!FVR$184</f>
        <v>0</v>
      </c>
      <c r="FVS77" s="223">
        <f xml:space="preserve"> InputsTS!FVS$184</f>
        <v>0</v>
      </c>
      <c r="FVT77" s="223">
        <f xml:space="preserve"> InputsTS!FVT$184</f>
        <v>0</v>
      </c>
      <c r="FVU77" s="223">
        <f xml:space="preserve"> InputsTS!FVU$184</f>
        <v>0</v>
      </c>
      <c r="FVV77" s="223">
        <f xml:space="preserve"> InputsTS!FVV$184</f>
        <v>0</v>
      </c>
      <c r="FVW77" s="223">
        <f xml:space="preserve"> InputsTS!FVW$184</f>
        <v>0</v>
      </c>
      <c r="FVX77" s="223">
        <f xml:space="preserve"> InputsTS!FVX$184</f>
        <v>0</v>
      </c>
      <c r="FVY77" s="223">
        <f xml:space="preserve"> InputsTS!FVY$184</f>
        <v>0</v>
      </c>
      <c r="FVZ77" s="223">
        <f xml:space="preserve"> InputsTS!FVZ$184</f>
        <v>0</v>
      </c>
      <c r="FWA77" s="223">
        <f xml:space="preserve"> InputsTS!FWA$184</f>
        <v>0</v>
      </c>
      <c r="FWB77" s="223">
        <f xml:space="preserve"> InputsTS!FWB$184</f>
        <v>0</v>
      </c>
      <c r="FWC77" s="223">
        <f xml:space="preserve"> InputsTS!FWC$184</f>
        <v>0</v>
      </c>
      <c r="FWD77" s="223">
        <f xml:space="preserve"> InputsTS!FWD$184</f>
        <v>0</v>
      </c>
      <c r="FWE77" s="223">
        <f xml:space="preserve"> InputsTS!FWE$184</f>
        <v>0</v>
      </c>
      <c r="FWF77" s="223">
        <f xml:space="preserve"> InputsTS!FWF$184</f>
        <v>0</v>
      </c>
      <c r="FWG77" s="223">
        <f xml:space="preserve"> InputsTS!FWG$184</f>
        <v>0</v>
      </c>
      <c r="FWH77" s="223">
        <f xml:space="preserve"> InputsTS!FWH$184</f>
        <v>0</v>
      </c>
      <c r="FWI77" s="223">
        <f xml:space="preserve"> InputsTS!FWI$184</f>
        <v>0</v>
      </c>
      <c r="FWJ77" s="223">
        <f xml:space="preserve"> InputsTS!FWJ$184</f>
        <v>0</v>
      </c>
      <c r="FWK77" s="223">
        <f xml:space="preserve"> InputsTS!FWK$184</f>
        <v>0</v>
      </c>
      <c r="FWL77" s="223">
        <f xml:space="preserve"> InputsTS!FWL$184</f>
        <v>0</v>
      </c>
      <c r="FWM77" s="223">
        <f xml:space="preserve"> InputsTS!FWM$184</f>
        <v>0</v>
      </c>
      <c r="FWN77" s="223">
        <f xml:space="preserve"> InputsTS!FWN$184</f>
        <v>0</v>
      </c>
      <c r="FWO77" s="223">
        <f xml:space="preserve"> InputsTS!FWO$184</f>
        <v>0</v>
      </c>
      <c r="FWP77" s="223">
        <f xml:space="preserve"> InputsTS!FWP$184</f>
        <v>0</v>
      </c>
      <c r="FWQ77" s="223">
        <f xml:space="preserve"> InputsTS!FWQ$184</f>
        <v>0</v>
      </c>
      <c r="FWR77" s="223">
        <f xml:space="preserve"> InputsTS!FWR$184</f>
        <v>0</v>
      </c>
      <c r="FWS77" s="223">
        <f xml:space="preserve"> InputsTS!FWS$184</f>
        <v>0</v>
      </c>
      <c r="FWT77" s="223">
        <f xml:space="preserve"> InputsTS!FWT$184</f>
        <v>0</v>
      </c>
      <c r="FWU77" s="223">
        <f xml:space="preserve"> InputsTS!FWU$184</f>
        <v>0</v>
      </c>
      <c r="FWV77" s="223">
        <f xml:space="preserve"> InputsTS!FWV$184</f>
        <v>0</v>
      </c>
      <c r="FWW77" s="223">
        <f xml:space="preserve"> InputsTS!FWW$184</f>
        <v>0</v>
      </c>
      <c r="FWX77" s="223">
        <f xml:space="preserve"> InputsTS!FWX$184</f>
        <v>0</v>
      </c>
      <c r="FWY77" s="223">
        <f xml:space="preserve"> InputsTS!FWY$184</f>
        <v>0</v>
      </c>
      <c r="FWZ77" s="223">
        <f xml:space="preserve"> InputsTS!FWZ$184</f>
        <v>0</v>
      </c>
      <c r="FXA77" s="223">
        <f xml:space="preserve"> InputsTS!FXA$184</f>
        <v>0</v>
      </c>
      <c r="FXB77" s="223">
        <f xml:space="preserve"> InputsTS!FXB$184</f>
        <v>0</v>
      </c>
      <c r="FXC77" s="223">
        <f xml:space="preserve"> InputsTS!FXC$184</f>
        <v>0</v>
      </c>
      <c r="FXD77" s="223">
        <f xml:space="preserve"> InputsTS!FXD$184</f>
        <v>0</v>
      </c>
      <c r="FXE77" s="223">
        <f xml:space="preserve"> InputsTS!FXE$184</f>
        <v>0</v>
      </c>
      <c r="FXF77" s="223">
        <f xml:space="preserve"> InputsTS!FXF$184</f>
        <v>0</v>
      </c>
      <c r="FXG77" s="223">
        <f xml:space="preserve"> InputsTS!FXG$184</f>
        <v>0</v>
      </c>
      <c r="FXH77" s="223">
        <f xml:space="preserve"> InputsTS!FXH$184</f>
        <v>0</v>
      </c>
      <c r="FXI77" s="223">
        <f xml:space="preserve"> InputsTS!FXI$184</f>
        <v>0</v>
      </c>
      <c r="FXJ77" s="223">
        <f xml:space="preserve"> InputsTS!FXJ$184</f>
        <v>0</v>
      </c>
      <c r="FXK77" s="223">
        <f xml:space="preserve"> InputsTS!FXK$184</f>
        <v>0</v>
      </c>
      <c r="FXL77" s="223">
        <f xml:space="preserve"> InputsTS!FXL$184</f>
        <v>0</v>
      </c>
      <c r="FXM77" s="223">
        <f xml:space="preserve"> InputsTS!FXM$184</f>
        <v>0</v>
      </c>
      <c r="FXN77" s="223">
        <f xml:space="preserve"> InputsTS!FXN$184</f>
        <v>0</v>
      </c>
      <c r="FXO77" s="223">
        <f xml:space="preserve"> InputsTS!FXO$184</f>
        <v>0</v>
      </c>
      <c r="FXP77" s="223">
        <f xml:space="preserve"> InputsTS!FXP$184</f>
        <v>0</v>
      </c>
      <c r="FXQ77" s="223">
        <f xml:space="preserve"> InputsTS!FXQ$184</f>
        <v>0</v>
      </c>
      <c r="FXR77" s="223">
        <f xml:space="preserve"> InputsTS!FXR$184</f>
        <v>0</v>
      </c>
      <c r="FXS77" s="223">
        <f xml:space="preserve"> InputsTS!FXS$184</f>
        <v>0</v>
      </c>
      <c r="FXT77" s="223">
        <f xml:space="preserve"> InputsTS!FXT$184</f>
        <v>0</v>
      </c>
      <c r="FXU77" s="223">
        <f xml:space="preserve"> InputsTS!FXU$184</f>
        <v>0</v>
      </c>
      <c r="FXV77" s="223">
        <f xml:space="preserve"> InputsTS!FXV$184</f>
        <v>0</v>
      </c>
      <c r="FXW77" s="223">
        <f xml:space="preserve"> InputsTS!FXW$184</f>
        <v>0</v>
      </c>
      <c r="FXX77" s="223">
        <f xml:space="preserve"> InputsTS!FXX$184</f>
        <v>0</v>
      </c>
      <c r="FXY77" s="223">
        <f xml:space="preserve"> InputsTS!FXY$184</f>
        <v>0</v>
      </c>
      <c r="FXZ77" s="223">
        <f xml:space="preserve"> InputsTS!FXZ$184</f>
        <v>0</v>
      </c>
      <c r="FYA77" s="223">
        <f xml:space="preserve"> InputsTS!FYA$184</f>
        <v>0</v>
      </c>
      <c r="FYB77" s="223">
        <f xml:space="preserve"> InputsTS!FYB$184</f>
        <v>0</v>
      </c>
      <c r="FYC77" s="223">
        <f xml:space="preserve"> InputsTS!FYC$184</f>
        <v>0</v>
      </c>
      <c r="FYD77" s="223">
        <f xml:space="preserve"> InputsTS!FYD$184</f>
        <v>0</v>
      </c>
      <c r="FYE77" s="223">
        <f xml:space="preserve"> InputsTS!FYE$184</f>
        <v>0</v>
      </c>
      <c r="FYF77" s="223">
        <f xml:space="preserve"> InputsTS!FYF$184</f>
        <v>0</v>
      </c>
      <c r="FYG77" s="223">
        <f xml:space="preserve"> InputsTS!FYG$184</f>
        <v>0</v>
      </c>
      <c r="FYH77" s="223">
        <f xml:space="preserve"> InputsTS!FYH$184</f>
        <v>0</v>
      </c>
      <c r="FYI77" s="223">
        <f xml:space="preserve"> InputsTS!FYI$184</f>
        <v>0</v>
      </c>
      <c r="FYJ77" s="223">
        <f xml:space="preserve"> InputsTS!FYJ$184</f>
        <v>0</v>
      </c>
      <c r="FYK77" s="223">
        <f xml:space="preserve"> InputsTS!FYK$184</f>
        <v>0</v>
      </c>
      <c r="FYL77" s="223">
        <f xml:space="preserve"> InputsTS!FYL$184</f>
        <v>0</v>
      </c>
      <c r="FYM77" s="223">
        <f xml:space="preserve"> InputsTS!FYM$184</f>
        <v>0</v>
      </c>
      <c r="FYN77" s="223">
        <f xml:space="preserve"> InputsTS!FYN$184</f>
        <v>0</v>
      </c>
      <c r="FYO77" s="223">
        <f xml:space="preserve"> InputsTS!FYO$184</f>
        <v>0</v>
      </c>
      <c r="FYP77" s="223">
        <f xml:space="preserve"> InputsTS!FYP$184</f>
        <v>0</v>
      </c>
      <c r="FYQ77" s="223">
        <f xml:space="preserve"> InputsTS!FYQ$184</f>
        <v>0</v>
      </c>
      <c r="FYR77" s="223">
        <f xml:space="preserve"> InputsTS!FYR$184</f>
        <v>0</v>
      </c>
      <c r="FYS77" s="223">
        <f xml:space="preserve"> InputsTS!FYS$184</f>
        <v>0</v>
      </c>
      <c r="FYT77" s="223">
        <f xml:space="preserve"> InputsTS!FYT$184</f>
        <v>0</v>
      </c>
      <c r="FYU77" s="223">
        <f xml:space="preserve"> InputsTS!FYU$184</f>
        <v>0</v>
      </c>
      <c r="FYV77" s="223">
        <f xml:space="preserve"> InputsTS!FYV$184</f>
        <v>0</v>
      </c>
      <c r="FYW77" s="223">
        <f xml:space="preserve"> InputsTS!FYW$184</f>
        <v>0</v>
      </c>
      <c r="FYX77" s="223">
        <f xml:space="preserve"> InputsTS!FYX$184</f>
        <v>0</v>
      </c>
      <c r="FYY77" s="223">
        <f xml:space="preserve"> InputsTS!FYY$184</f>
        <v>0</v>
      </c>
      <c r="FYZ77" s="223">
        <f xml:space="preserve"> InputsTS!FYZ$184</f>
        <v>0</v>
      </c>
      <c r="FZA77" s="223">
        <f xml:space="preserve"> InputsTS!FZA$184</f>
        <v>0</v>
      </c>
      <c r="FZB77" s="223">
        <f xml:space="preserve"> InputsTS!FZB$184</f>
        <v>0</v>
      </c>
      <c r="FZC77" s="223">
        <f xml:space="preserve"> InputsTS!FZC$184</f>
        <v>0</v>
      </c>
      <c r="FZD77" s="223">
        <f xml:space="preserve"> InputsTS!FZD$184</f>
        <v>0</v>
      </c>
      <c r="FZE77" s="223">
        <f xml:space="preserve"> InputsTS!FZE$184</f>
        <v>0</v>
      </c>
      <c r="FZF77" s="223">
        <f xml:space="preserve"> InputsTS!FZF$184</f>
        <v>0</v>
      </c>
      <c r="FZG77" s="223">
        <f xml:space="preserve"> InputsTS!FZG$184</f>
        <v>0</v>
      </c>
      <c r="FZH77" s="223">
        <f xml:space="preserve"> InputsTS!FZH$184</f>
        <v>0</v>
      </c>
      <c r="FZI77" s="223">
        <f xml:space="preserve"> InputsTS!FZI$184</f>
        <v>0</v>
      </c>
      <c r="FZJ77" s="223">
        <f xml:space="preserve"> InputsTS!FZJ$184</f>
        <v>0</v>
      </c>
      <c r="FZK77" s="223">
        <f xml:space="preserve"> InputsTS!FZK$184</f>
        <v>0</v>
      </c>
      <c r="FZL77" s="223">
        <f xml:space="preserve"> InputsTS!FZL$184</f>
        <v>0</v>
      </c>
      <c r="FZM77" s="223">
        <f xml:space="preserve"> InputsTS!FZM$184</f>
        <v>0</v>
      </c>
      <c r="FZN77" s="223">
        <f xml:space="preserve"> InputsTS!FZN$184</f>
        <v>0</v>
      </c>
      <c r="FZO77" s="223">
        <f xml:space="preserve"> InputsTS!FZO$184</f>
        <v>0</v>
      </c>
      <c r="FZP77" s="223">
        <f xml:space="preserve"> InputsTS!FZP$184</f>
        <v>0</v>
      </c>
      <c r="FZQ77" s="223">
        <f xml:space="preserve"> InputsTS!FZQ$184</f>
        <v>0</v>
      </c>
      <c r="FZR77" s="223">
        <f xml:space="preserve"> InputsTS!FZR$184</f>
        <v>0</v>
      </c>
      <c r="FZS77" s="223">
        <f xml:space="preserve"> InputsTS!FZS$184</f>
        <v>0</v>
      </c>
      <c r="FZT77" s="223">
        <f xml:space="preserve"> InputsTS!FZT$184</f>
        <v>0</v>
      </c>
      <c r="FZU77" s="223">
        <f xml:space="preserve"> InputsTS!FZU$184</f>
        <v>0</v>
      </c>
      <c r="FZV77" s="223">
        <f xml:space="preserve"> InputsTS!FZV$184</f>
        <v>0</v>
      </c>
      <c r="FZW77" s="223">
        <f xml:space="preserve"> InputsTS!FZW$184</f>
        <v>0</v>
      </c>
      <c r="FZX77" s="223">
        <f xml:space="preserve"> InputsTS!FZX$184</f>
        <v>0</v>
      </c>
      <c r="FZY77" s="223">
        <f xml:space="preserve"> InputsTS!FZY$184</f>
        <v>0</v>
      </c>
      <c r="FZZ77" s="223">
        <f xml:space="preserve"> InputsTS!FZZ$184</f>
        <v>0</v>
      </c>
      <c r="GAA77" s="223">
        <f xml:space="preserve"> InputsTS!GAA$184</f>
        <v>0</v>
      </c>
      <c r="GAB77" s="223">
        <f xml:space="preserve"> InputsTS!GAB$184</f>
        <v>0</v>
      </c>
      <c r="GAC77" s="223">
        <f xml:space="preserve"> InputsTS!GAC$184</f>
        <v>0</v>
      </c>
      <c r="GAD77" s="223">
        <f xml:space="preserve"> InputsTS!GAD$184</f>
        <v>0</v>
      </c>
      <c r="GAE77" s="223">
        <f xml:space="preserve"> InputsTS!GAE$184</f>
        <v>0</v>
      </c>
      <c r="GAF77" s="223">
        <f xml:space="preserve"> InputsTS!GAF$184</f>
        <v>0</v>
      </c>
      <c r="GAG77" s="223">
        <f xml:space="preserve"> InputsTS!GAG$184</f>
        <v>0</v>
      </c>
      <c r="GAH77" s="223">
        <f xml:space="preserve"> InputsTS!GAH$184</f>
        <v>0</v>
      </c>
      <c r="GAI77" s="223">
        <f xml:space="preserve"> InputsTS!GAI$184</f>
        <v>0</v>
      </c>
      <c r="GAJ77" s="223">
        <f xml:space="preserve"> InputsTS!GAJ$184</f>
        <v>0</v>
      </c>
      <c r="GAK77" s="223">
        <f xml:space="preserve"> InputsTS!GAK$184</f>
        <v>0</v>
      </c>
      <c r="GAL77" s="223">
        <f xml:space="preserve"> InputsTS!GAL$184</f>
        <v>0</v>
      </c>
      <c r="GAM77" s="223">
        <f xml:space="preserve"> InputsTS!GAM$184</f>
        <v>0</v>
      </c>
      <c r="GAN77" s="223">
        <f xml:space="preserve"> InputsTS!GAN$184</f>
        <v>0</v>
      </c>
      <c r="GAO77" s="223">
        <f xml:space="preserve"> InputsTS!GAO$184</f>
        <v>0</v>
      </c>
      <c r="GAP77" s="223">
        <f xml:space="preserve"> InputsTS!GAP$184</f>
        <v>0</v>
      </c>
      <c r="GAQ77" s="223">
        <f xml:space="preserve"> InputsTS!GAQ$184</f>
        <v>0</v>
      </c>
      <c r="GAR77" s="223">
        <f xml:space="preserve"> InputsTS!GAR$184</f>
        <v>0</v>
      </c>
      <c r="GAS77" s="223">
        <f xml:space="preserve"> InputsTS!GAS$184</f>
        <v>0</v>
      </c>
      <c r="GAT77" s="223">
        <f xml:space="preserve"> InputsTS!GAT$184</f>
        <v>0</v>
      </c>
      <c r="GAU77" s="223">
        <f xml:space="preserve"> InputsTS!GAU$184</f>
        <v>0</v>
      </c>
      <c r="GAV77" s="223">
        <f xml:space="preserve"> InputsTS!GAV$184</f>
        <v>0</v>
      </c>
      <c r="GAW77" s="223">
        <f xml:space="preserve"> InputsTS!GAW$184</f>
        <v>0</v>
      </c>
      <c r="GAX77" s="223">
        <f xml:space="preserve"> InputsTS!GAX$184</f>
        <v>0</v>
      </c>
      <c r="GAY77" s="223">
        <f xml:space="preserve"> InputsTS!GAY$184</f>
        <v>0</v>
      </c>
      <c r="GAZ77" s="223">
        <f xml:space="preserve"> InputsTS!GAZ$184</f>
        <v>0</v>
      </c>
      <c r="GBA77" s="223">
        <f xml:space="preserve"> InputsTS!GBA$184</f>
        <v>0</v>
      </c>
      <c r="GBB77" s="223">
        <f xml:space="preserve"> InputsTS!GBB$184</f>
        <v>0</v>
      </c>
      <c r="GBC77" s="223">
        <f xml:space="preserve"> InputsTS!GBC$184</f>
        <v>0</v>
      </c>
      <c r="GBD77" s="223">
        <f xml:space="preserve"> InputsTS!GBD$184</f>
        <v>0</v>
      </c>
      <c r="GBE77" s="223">
        <f xml:space="preserve"> InputsTS!GBE$184</f>
        <v>0</v>
      </c>
      <c r="GBF77" s="223">
        <f xml:space="preserve"> InputsTS!GBF$184</f>
        <v>0</v>
      </c>
      <c r="GBG77" s="223">
        <f xml:space="preserve"> InputsTS!GBG$184</f>
        <v>0</v>
      </c>
      <c r="GBH77" s="223">
        <f xml:space="preserve"> InputsTS!GBH$184</f>
        <v>0</v>
      </c>
      <c r="GBI77" s="223">
        <f xml:space="preserve"> InputsTS!GBI$184</f>
        <v>0</v>
      </c>
      <c r="GBJ77" s="223">
        <f xml:space="preserve"> InputsTS!GBJ$184</f>
        <v>0</v>
      </c>
      <c r="GBK77" s="223">
        <f xml:space="preserve"> InputsTS!GBK$184</f>
        <v>0</v>
      </c>
      <c r="GBL77" s="223">
        <f xml:space="preserve"> InputsTS!GBL$184</f>
        <v>0</v>
      </c>
      <c r="GBM77" s="223">
        <f xml:space="preserve"> InputsTS!GBM$184</f>
        <v>0</v>
      </c>
      <c r="GBN77" s="223">
        <f xml:space="preserve"> InputsTS!GBN$184</f>
        <v>0</v>
      </c>
      <c r="GBO77" s="223">
        <f xml:space="preserve"> InputsTS!GBO$184</f>
        <v>0</v>
      </c>
      <c r="GBP77" s="223">
        <f xml:space="preserve"> InputsTS!GBP$184</f>
        <v>0</v>
      </c>
      <c r="GBQ77" s="223">
        <f xml:space="preserve"> InputsTS!GBQ$184</f>
        <v>0</v>
      </c>
      <c r="GBR77" s="223">
        <f xml:space="preserve"> InputsTS!GBR$184</f>
        <v>0</v>
      </c>
      <c r="GBS77" s="223">
        <f xml:space="preserve"> InputsTS!GBS$184</f>
        <v>0</v>
      </c>
      <c r="GBT77" s="223">
        <f xml:space="preserve"> InputsTS!GBT$184</f>
        <v>0</v>
      </c>
      <c r="GBU77" s="223">
        <f xml:space="preserve"> InputsTS!GBU$184</f>
        <v>0</v>
      </c>
      <c r="GBV77" s="223">
        <f xml:space="preserve"> InputsTS!GBV$184</f>
        <v>0</v>
      </c>
      <c r="GBW77" s="223">
        <f xml:space="preserve"> InputsTS!GBW$184</f>
        <v>0</v>
      </c>
      <c r="GBX77" s="223">
        <f xml:space="preserve"> InputsTS!GBX$184</f>
        <v>0</v>
      </c>
      <c r="GBY77" s="223">
        <f xml:space="preserve"> InputsTS!GBY$184</f>
        <v>0</v>
      </c>
      <c r="GBZ77" s="223">
        <f xml:space="preserve"> InputsTS!GBZ$184</f>
        <v>0</v>
      </c>
      <c r="GCA77" s="223">
        <f xml:space="preserve"> InputsTS!GCA$184</f>
        <v>0</v>
      </c>
      <c r="GCB77" s="223">
        <f xml:space="preserve"> InputsTS!GCB$184</f>
        <v>0</v>
      </c>
      <c r="GCC77" s="223">
        <f xml:space="preserve"> InputsTS!GCC$184</f>
        <v>0</v>
      </c>
      <c r="GCD77" s="223">
        <f xml:space="preserve"> InputsTS!GCD$184</f>
        <v>0</v>
      </c>
      <c r="GCE77" s="223">
        <f xml:space="preserve"> InputsTS!GCE$184</f>
        <v>0</v>
      </c>
      <c r="GCF77" s="223">
        <f xml:space="preserve"> InputsTS!GCF$184</f>
        <v>0</v>
      </c>
      <c r="GCG77" s="223">
        <f xml:space="preserve"> InputsTS!GCG$184</f>
        <v>0</v>
      </c>
      <c r="GCH77" s="223">
        <f xml:space="preserve"> InputsTS!GCH$184</f>
        <v>0</v>
      </c>
      <c r="GCI77" s="223">
        <f xml:space="preserve"> InputsTS!GCI$184</f>
        <v>0</v>
      </c>
      <c r="GCJ77" s="223">
        <f xml:space="preserve"> InputsTS!GCJ$184</f>
        <v>0</v>
      </c>
      <c r="GCK77" s="223">
        <f xml:space="preserve"> InputsTS!GCK$184</f>
        <v>0</v>
      </c>
      <c r="GCL77" s="223">
        <f xml:space="preserve"> InputsTS!GCL$184</f>
        <v>0</v>
      </c>
      <c r="GCM77" s="223">
        <f xml:space="preserve"> InputsTS!GCM$184</f>
        <v>0</v>
      </c>
      <c r="GCN77" s="223">
        <f xml:space="preserve"> InputsTS!GCN$184</f>
        <v>0</v>
      </c>
      <c r="GCO77" s="223">
        <f xml:space="preserve"> InputsTS!GCO$184</f>
        <v>0</v>
      </c>
      <c r="GCP77" s="223">
        <f xml:space="preserve"> InputsTS!GCP$184</f>
        <v>0</v>
      </c>
      <c r="GCQ77" s="223">
        <f xml:space="preserve"> InputsTS!GCQ$184</f>
        <v>0</v>
      </c>
      <c r="GCR77" s="223">
        <f xml:space="preserve"> InputsTS!GCR$184</f>
        <v>0</v>
      </c>
      <c r="GCS77" s="223">
        <f xml:space="preserve"> InputsTS!GCS$184</f>
        <v>0</v>
      </c>
      <c r="GCT77" s="223">
        <f xml:space="preserve"> InputsTS!GCT$184</f>
        <v>0</v>
      </c>
      <c r="GCU77" s="223">
        <f xml:space="preserve"> InputsTS!GCU$184</f>
        <v>0</v>
      </c>
      <c r="GCV77" s="223">
        <f xml:space="preserve"> InputsTS!GCV$184</f>
        <v>0</v>
      </c>
      <c r="GCW77" s="223">
        <f xml:space="preserve"> InputsTS!GCW$184</f>
        <v>0</v>
      </c>
      <c r="GCX77" s="223">
        <f xml:space="preserve"> InputsTS!GCX$184</f>
        <v>0</v>
      </c>
      <c r="GCY77" s="223">
        <f xml:space="preserve"> InputsTS!GCY$184</f>
        <v>0</v>
      </c>
      <c r="GCZ77" s="223">
        <f xml:space="preserve"> InputsTS!GCZ$184</f>
        <v>0</v>
      </c>
      <c r="GDA77" s="223">
        <f xml:space="preserve"> InputsTS!GDA$184</f>
        <v>0</v>
      </c>
      <c r="GDB77" s="223">
        <f xml:space="preserve"> InputsTS!GDB$184</f>
        <v>0</v>
      </c>
      <c r="GDC77" s="223">
        <f xml:space="preserve"> InputsTS!GDC$184</f>
        <v>0</v>
      </c>
      <c r="GDD77" s="223">
        <f xml:space="preserve"> InputsTS!GDD$184</f>
        <v>0</v>
      </c>
      <c r="GDE77" s="223">
        <f xml:space="preserve"> InputsTS!GDE$184</f>
        <v>0</v>
      </c>
      <c r="GDF77" s="223">
        <f xml:space="preserve"> InputsTS!GDF$184</f>
        <v>0</v>
      </c>
      <c r="GDG77" s="223">
        <f xml:space="preserve"> InputsTS!GDG$184</f>
        <v>0</v>
      </c>
      <c r="GDH77" s="223">
        <f xml:space="preserve"> InputsTS!GDH$184</f>
        <v>0</v>
      </c>
      <c r="GDI77" s="223">
        <f xml:space="preserve"> InputsTS!GDI$184</f>
        <v>0</v>
      </c>
      <c r="GDJ77" s="223">
        <f xml:space="preserve"> InputsTS!GDJ$184</f>
        <v>0</v>
      </c>
      <c r="GDK77" s="223">
        <f xml:space="preserve"> InputsTS!GDK$184</f>
        <v>0</v>
      </c>
      <c r="GDL77" s="223">
        <f xml:space="preserve"> InputsTS!GDL$184</f>
        <v>0</v>
      </c>
      <c r="GDM77" s="223">
        <f xml:space="preserve"> InputsTS!GDM$184</f>
        <v>0</v>
      </c>
      <c r="GDN77" s="223">
        <f xml:space="preserve"> InputsTS!GDN$184</f>
        <v>0</v>
      </c>
      <c r="GDO77" s="223">
        <f xml:space="preserve"> InputsTS!GDO$184</f>
        <v>0</v>
      </c>
      <c r="GDP77" s="223">
        <f xml:space="preserve"> InputsTS!GDP$184</f>
        <v>0</v>
      </c>
      <c r="GDQ77" s="223">
        <f xml:space="preserve"> InputsTS!GDQ$184</f>
        <v>0</v>
      </c>
      <c r="GDR77" s="223">
        <f xml:space="preserve"> InputsTS!GDR$184</f>
        <v>0</v>
      </c>
      <c r="GDS77" s="223">
        <f xml:space="preserve"> InputsTS!GDS$184</f>
        <v>0</v>
      </c>
      <c r="GDT77" s="223">
        <f xml:space="preserve"> InputsTS!GDT$184</f>
        <v>0</v>
      </c>
      <c r="GDU77" s="223">
        <f xml:space="preserve"> InputsTS!GDU$184</f>
        <v>0</v>
      </c>
      <c r="GDV77" s="223">
        <f xml:space="preserve"> InputsTS!GDV$184</f>
        <v>0</v>
      </c>
      <c r="GDW77" s="223">
        <f xml:space="preserve"> InputsTS!GDW$184</f>
        <v>0</v>
      </c>
      <c r="GDX77" s="223">
        <f xml:space="preserve"> InputsTS!GDX$184</f>
        <v>0</v>
      </c>
      <c r="GDY77" s="223">
        <f xml:space="preserve"> InputsTS!GDY$184</f>
        <v>0</v>
      </c>
      <c r="GDZ77" s="223">
        <f xml:space="preserve"> InputsTS!GDZ$184</f>
        <v>0</v>
      </c>
      <c r="GEA77" s="223">
        <f xml:space="preserve"> InputsTS!GEA$184</f>
        <v>0</v>
      </c>
      <c r="GEB77" s="223">
        <f xml:space="preserve"> InputsTS!GEB$184</f>
        <v>0</v>
      </c>
      <c r="GEC77" s="223">
        <f xml:space="preserve"> InputsTS!GEC$184</f>
        <v>0</v>
      </c>
      <c r="GED77" s="223">
        <f xml:space="preserve"> InputsTS!GED$184</f>
        <v>0</v>
      </c>
      <c r="GEE77" s="223">
        <f xml:space="preserve"> InputsTS!GEE$184</f>
        <v>0</v>
      </c>
      <c r="GEF77" s="223">
        <f xml:space="preserve"> InputsTS!GEF$184</f>
        <v>0</v>
      </c>
      <c r="GEG77" s="223">
        <f xml:space="preserve"> InputsTS!GEG$184</f>
        <v>0</v>
      </c>
      <c r="GEH77" s="223">
        <f xml:space="preserve"> InputsTS!GEH$184</f>
        <v>0</v>
      </c>
      <c r="GEI77" s="223">
        <f xml:space="preserve"> InputsTS!GEI$184</f>
        <v>0</v>
      </c>
      <c r="GEJ77" s="223">
        <f xml:space="preserve"> InputsTS!GEJ$184</f>
        <v>0</v>
      </c>
      <c r="GEK77" s="223">
        <f xml:space="preserve"> InputsTS!GEK$184</f>
        <v>0</v>
      </c>
      <c r="GEL77" s="223">
        <f xml:space="preserve"> InputsTS!GEL$184</f>
        <v>0</v>
      </c>
      <c r="GEM77" s="223">
        <f xml:space="preserve"> InputsTS!GEM$184</f>
        <v>0</v>
      </c>
      <c r="GEN77" s="223">
        <f xml:space="preserve"> InputsTS!GEN$184</f>
        <v>0</v>
      </c>
      <c r="GEO77" s="223">
        <f xml:space="preserve"> InputsTS!GEO$184</f>
        <v>0</v>
      </c>
      <c r="GEP77" s="223">
        <f xml:space="preserve"> InputsTS!GEP$184</f>
        <v>0</v>
      </c>
      <c r="GEQ77" s="223">
        <f xml:space="preserve"> InputsTS!GEQ$184</f>
        <v>0</v>
      </c>
      <c r="GER77" s="223">
        <f xml:space="preserve"> InputsTS!GER$184</f>
        <v>0</v>
      </c>
      <c r="GES77" s="223">
        <f xml:space="preserve"> InputsTS!GES$184</f>
        <v>0</v>
      </c>
      <c r="GET77" s="223">
        <f xml:space="preserve"> InputsTS!GET$184</f>
        <v>0</v>
      </c>
      <c r="GEU77" s="223">
        <f xml:space="preserve"> InputsTS!GEU$184</f>
        <v>0</v>
      </c>
      <c r="GEV77" s="223">
        <f xml:space="preserve"> InputsTS!GEV$184</f>
        <v>0</v>
      </c>
      <c r="GEW77" s="223">
        <f xml:space="preserve"> InputsTS!GEW$184</f>
        <v>0</v>
      </c>
      <c r="GEX77" s="223">
        <f xml:space="preserve"> InputsTS!GEX$184</f>
        <v>0</v>
      </c>
      <c r="GEY77" s="223">
        <f xml:space="preserve"> InputsTS!GEY$184</f>
        <v>0</v>
      </c>
      <c r="GEZ77" s="223">
        <f xml:space="preserve"> InputsTS!GEZ$184</f>
        <v>0</v>
      </c>
      <c r="GFA77" s="223">
        <f xml:space="preserve"> InputsTS!GFA$184</f>
        <v>0</v>
      </c>
      <c r="GFB77" s="223">
        <f xml:space="preserve"> InputsTS!GFB$184</f>
        <v>0</v>
      </c>
      <c r="GFC77" s="223">
        <f xml:space="preserve"> InputsTS!GFC$184</f>
        <v>0</v>
      </c>
      <c r="GFD77" s="223">
        <f xml:space="preserve"> InputsTS!GFD$184</f>
        <v>0</v>
      </c>
      <c r="GFE77" s="223">
        <f xml:space="preserve"> InputsTS!GFE$184</f>
        <v>0</v>
      </c>
      <c r="GFF77" s="223">
        <f xml:space="preserve"> InputsTS!GFF$184</f>
        <v>0</v>
      </c>
      <c r="GFG77" s="223">
        <f xml:space="preserve"> InputsTS!GFG$184</f>
        <v>0</v>
      </c>
      <c r="GFH77" s="223">
        <f xml:space="preserve"> InputsTS!GFH$184</f>
        <v>0</v>
      </c>
      <c r="GFI77" s="223">
        <f xml:space="preserve"> InputsTS!GFI$184</f>
        <v>0</v>
      </c>
      <c r="GFJ77" s="223">
        <f xml:space="preserve"> InputsTS!GFJ$184</f>
        <v>0</v>
      </c>
      <c r="GFK77" s="223">
        <f xml:space="preserve"> InputsTS!GFK$184</f>
        <v>0</v>
      </c>
      <c r="GFL77" s="223">
        <f xml:space="preserve"> InputsTS!GFL$184</f>
        <v>0</v>
      </c>
      <c r="GFM77" s="223">
        <f xml:space="preserve"> InputsTS!GFM$184</f>
        <v>0</v>
      </c>
      <c r="GFN77" s="223">
        <f xml:space="preserve"> InputsTS!GFN$184</f>
        <v>0</v>
      </c>
      <c r="GFO77" s="223">
        <f xml:space="preserve"> InputsTS!GFO$184</f>
        <v>0</v>
      </c>
      <c r="GFP77" s="223">
        <f xml:space="preserve"> InputsTS!GFP$184</f>
        <v>0</v>
      </c>
      <c r="GFQ77" s="223">
        <f xml:space="preserve"> InputsTS!GFQ$184</f>
        <v>0</v>
      </c>
      <c r="GFR77" s="223">
        <f xml:space="preserve"> InputsTS!GFR$184</f>
        <v>0</v>
      </c>
      <c r="GFS77" s="223">
        <f xml:space="preserve"> InputsTS!GFS$184</f>
        <v>0</v>
      </c>
      <c r="GFT77" s="223">
        <f xml:space="preserve"> InputsTS!GFT$184</f>
        <v>0</v>
      </c>
      <c r="GFU77" s="223">
        <f xml:space="preserve"> InputsTS!GFU$184</f>
        <v>0</v>
      </c>
      <c r="GFV77" s="223">
        <f xml:space="preserve"> InputsTS!GFV$184</f>
        <v>0</v>
      </c>
      <c r="GFW77" s="223">
        <f xml:space="preserve"> InputsTS!GFW$184</f>
        <v>0</v>
      </c>
      <c r="GFX77" s="223">
        <f xml:space="preserve"> InputsTS!GFX$184</f>
        <v>0</v>
      </c>
      <c r="GFY77" s="223">
        <f xml:space="preserve"> InputsTS!GFY$184</f>
        <v>0</v>
      </c>
      <c r="GFZ77" s="223">
        <f xml:space="preserve"> InputsTS!GFZ$184</f>
        <v>0</v>
      </c>
      <c r="GGA77" s="223">
        <f xml:space="preserve"> InputsTS!GGA$184</f>
        <v>0</v>
      </c>
      <c r="GGB77" s="223">
        <f xml:space="preserve"> InputsTS!GGB$184</f>
        <v>0</v>
      </c>
      <c r="GGC77" s="223">
        <f xml:space="preserve"> InputsTS!GGC$184</f>
        <v>0</v>
      </c>
      <c r="GGD77" s="223">
        <f xml:space="preserve"> InputsTS!GGD$184</f>
        <v>0</v>
      </c>
      <c r="GGE77" s="223">
        <f xml:space="preserve"> InputsTS!GGE$184</f>
        <v>0</v>
      </c>
      <c r="GGF77" s="223">
        <f xml:space="preserve"> InputsTS!GGF$184</f>
        <v>0</v>
      </c>
      <c r="GGG77" s="223">
        <f xml:space="preserve"> InputsTS!GGG$184</f>
        <v>0</v>
      </c>
      <c r="GGH77" s="223">
        <f xml:space="preserve"> InputsTS!GGH$184</f>
        <v>0</v>
      </c>
      <c r="GGI77" s="223">
        <f xml:space="preserve"> InputsTS!GGI$184</f>
        <v>0</v>
      </c>
      <c r="GGJ77" s="223">
        <f xml:space="preserve"> InputsTS!GGJ$184</f>
        <v>0</v>
      </c>
      <c r="GGK77" s="223">
        <f xml:space="preserve"> InputsTS!GGK$184</f>
        <v>0</v>
      </c>
      <c r="GGL77" s="223">
        <f xml:space="preserve"> InputsTS!GGL$184</f>
        <v>0</v>
      </c>
      <c r="GGM77" s="223">
        <f xml:space="preserve"> InputsTS!GGM$184</f>
        <v>0</v>
      </c>
      <c r="GGN77" s="223">
        <f xml:space="preserve"> InputsTS!GGN$184</f>
        <v>0</v>
      </c>
      <c r="GGO77" s="223">
        <f xml:space="preserve"> InputsTS!GGO$184</f>
        <v>0</v>
      </c>
      <c r="GGP77" s="223">
        <f xml:space="preserve"> InputsTS!GGP$184</f>
        <v>0</v>
      </c>
      <c r="GGQ77" s="223">
        <f xml:space="preserve"> InputsTS!GGQ$184</f>
        <v>0</v>
      </c>
      <c r="GGR77" s="223">
        <f xml:space="preserve"> InputsTS!GGR$184</f>
        <v>0</v>
      </c>
      <c r="GGS77" s="223">
        <f xml:space="preserve"> InputsTS!GGS$184</f>
        <v>0</v>
      </c>
      <c r="GGT77" s="223">
        <f xml:space="preserve"> InputsTS!GGT$184</f>
        <v>0</v>
      </c>
      <c r="GGU77" s="223">
        <f xml:space="preserve"> InputsTS!GGU$184</f>
        <v>0</v>
      </c>
      <c r="GGV77" s="223">
        <f xml:space="preserve"> InputsTS!GGV$184</f>
        <v>0</v>
      </c>
      <c r="GGW77" s="223">
        <f xml:space="preserve"> InputsTS!GGW$184</f>
        <v>0</v>
      </c>
      <c r="GGX77" s="223">
        <f xml:space="preserve"> InputsTS!GGX$184</f>
        <v>0</v>
      </c>
      <c r="GGY77" s="223">
        <f xml:space="preserve"> InputsTS!GGY$184</f>
        <v>0</v>
      </c>
      <c r="GGZ77" s="223">
        <f xml:space="preserve"> InputsTS!GGZ$184</f>
        <v>0</v>
      </c>
      <c r="GHA77" s="223">
        <f xml:space="preserve"> InputsTS!GHA$184</f>
        <v>0</v>
      </c>
      <c r="GHB77" s="223">
        <f xml:space="preserve"> InputsTS!GHB$184</f>
        <v>0</v>
      </c>
      <c r="GHC77" s="223">
        <f xml:space="preserve"> InputsTS!GHC$184</f>
        <v>0</v>
      </c>
      <c r="GHD77" s="223">
        <f xml:space="preserve"> InputsTS!GHD$184</f>
        <v>0</v>
      </c>
      <c r="GHE77" s="223">
        <f xml:space="preserve"> InputsTS!GHE$184</f>
        <v>0</v>
      </c>
      <c r="GHF77" s="223">
        <f xml:space="preserve"> InputsTS!GHF$184</f>
        <v>0</v>
      </c>
      <c r="GHG77" s="223">
        <f xml:space="preserve"> InputsTS!GHG$184</f>
        <v>0</v>
      </c>
      <c r="GHH77" s="223">
        <f xml:space="preserve"> InputsTS!GHH$184</f>
        <v>0</v>
      </c>
      <c r="GHI77" s="223">
        <f xml:space="preserve"> InputsTS!GHI$184</f>
        <v>0</v>
      </c>
      <c r="GHJ77" s="223">
        <f xml:space="preserve"> InputsTS!GHJ$184</f>
        <v>0</v>
      </c>
      <c r="GHK77" s="223">
        <f xml:space="preserve"> InputsTS!GHK$184</f>
        <v>0</v>
      </c>
      <c r="GHL77" s="223">
        <f xml:space="preserve"> InputsTS!GHL$184</f>
        <v>0</v>
      </c>
      <c r="GHM77" s="223">
        <f xml:space="preserve"> InputsTS!GHM$184</f>
        <v>0</v>
      </c>
      <c r="GHN77" s="223">
        <f xml:space="preserve"> InputsTS!GHN$184</f>
        <v>0</v>
      </c>
      <c r="GHO77" s="223">
        <f xml:space="preserve"> InputsTS!GHO$184</f>
        <v>0</v>
      </c>
      <c r="GHP77" s="223">
        <f xml:space="preserve"> InputsTS!GHP$184</f>
        <v>0</v>
      </c>
      <c r="GHQ77" s="223">
        <f xml:space="preserve"> InputsTS!GHQ$184</f>
        <v>0</v>
      </c>
      <c r="GHR77" s="223">
        <f xml:space="preserve"> InputsTS!GHR$184</f>
        <v>0</v>
      </c>
      <c r="GHS77" s="223">
        <f xml:space="preserve"> InputsTS!GHS$184</f>
        <v>0</v>
      </c>
      <c r="GHT77" s="223">
        <f xml:space="preserve"> InputsTS!GHT$184</f>
        <v>0</v>
      </c>
      <c r="GHU77" s="223">
        <f xml:space="preserve"> InputsTS!GHU$184</f>
        <v>0</v>
      </c>
      <c r="GHV77" s="223">
        <f xml:space="preserve"> InputsTS!GHV$184</f>
        <v>0</v>
      </c>
      <c r="GHW77" s="223">
        <f xml:space="preserve"> InputsTS!GHW$184</f>
        <v>0</v>
      </c>
      <c r="GHX77" s="223">
        <f xml:space="preserve"> InputsTS!GHX$184</f>
        <v>0</v>
      </c>
      <c r="GHY77" s="223">
        <f xml:space="preserve"> InputsTS!GHY$184</f>
        <v>0</v>
      </c>
      <c r="GHZ77" s="223">
        <f xml:space="preserve"> InputsTS!GHZ$184</f>
        <v>0</v>
      </c>
      <c r="GIA77" s="223">
        <f xml:space="preserve"> InputsTS!GIA$184</f>
        <v>0</v>
      </c>
      <c r="GIB77" s="223">
        <f xml:space="preserve"> InputsTS!GIB$184</f>
        <v>0</v>
      </c>
      <c r="GIC77" s="223">
        <f xml:space="preserve"> InputsTS!GIC$184</f>
        <v>0</v>
      </c>
      <c r="GID77" s="223">
        <f xml:space="preserve"> InputsTS!GID$184</f>
        <v>0</v>
      </c>
      <c r="GIE77" s="223">
        <f xml:space="preserve"> InputsTS!GIE$184</f>
        <v>0</v>
      </c>
      <c r="GIF77" s="223">
        <f xml:space="preserve"> InputsTS!GIF$184</f>
        <v>0</v>
      </c>
      <c r="GIG77" s="223">
        <f xml:space="preserve"> InputsTS!GIG$184</f>
        <v>0</v>
      </c>
      <c r="GIH77" s="223">
        <f xml:space="preserve"> InputsTS!GIH$184</f>
        <v>0</v>
      </c>
      <c r="GII77" s="223">
        <f xml:space="preserve"> InputsTS!GII$184</f>
        <v>0</v>
      </c>
      <c r="GIJ77" s="223">
        <f xml:space="preserve"> InputsTS!GIJ$184</f>
        <v>0</v>
      </c>
      <c r="GIK77" s="223">
        <f xml:space="preserve"> InputsTS!GIK$184</f>
        <v>0</v>
      </c>
      <c r="GIL77" s="223">
        <f xml:space="preserve"> InputsTS!GIL$184</f>
        <v>0</v>
      </c>
      <c r="GIM77" s="223">
        <f xml:space="preserve"> InputsTS!GIM$184</f>
        <v>0</v>
      </c>
      <c r="GIN77" s="223">
        <f xml:space="preserve"> InputsTS!GIN$184</f>
        <v>0</v>
      </c>
      <c r="GIO77" s="223">
        <f xml:space="preserve"> InputsTS!GIO$184</f>
        <v>0</v>
      </c>
      <c r="GIP77" s="223">
        <f xml:space="preserve"> InputsTS!GIP$184</f>
        <v>0</v>
      </c>
      <c r="GIQ77" s="223">
        <f xml:space="preserve"> InputsTS!GIQ$184</f>
        <v>0</v>
      </c>
      <c r="GIR77" s="223">
        <f xml:space="preserve"> InputsTS!GIR$184</f>
        <v>0</v>
      </c>
      <c r="GIS77" s="223">
        <f xml:space="preserve"> InputsTS!GIS$184</f>
        <v>0</v>
      </c>
      <c r="GIT77" s="223">
        <f xml:space="preserve"> InputsTS!GIT$184</f>
        <v>0</v>
      </c>
      <c r="GIU77" s="223">
        <f xml:space="preserve"> InputsTS!GIU$184</f>
        <v>0</v>
      </c>
      <c r="GIV77" s="223">
        <f xml:space="preserve"> InputsTS!GIV$184</f>
        <v>0</v>
      </c>
      <c r="GIW77" s="223">
        <f xml:space="preserve"> InputsTS!GIW$184</f>
        <v>0</v>
      </c>
      <c r="GIX77" s="223">
        <f xml:space="preserve"> InputsTS!GIX$184</f>
        <v>0</v>
      </c>
      <c r="GIY77" s="223">
        <f xml:space="preserve"> InputsTS!GIY$184</f>
        <v>0</v>
      </c>
      <c r="GIZ77" s="223">
        <f xml:space="preserve"> InputsTS!GIZ$184</f>
        <v>0</v>
      </c>
      <c r="GJA77" s="223">
        <f xml:space="preserve"> InputsTS!GJA$184</f>
        <v>0</v>
      </c>
      <c r="GJB77" s="223">
        <f xml:space="preserve"> InputsTS!GJB$184</f>
        <v>0</v>
      </c>
      <c r="GJC77" s="223">
        <f xml:space="preserve"> InputsTS!GJC$184</f>
        <v>0</v>
      </c>
      <c r="GJD77" s="223">
        <f xml:space="preserve"> InputsTS!GJD$184</f>
        <v>0</v>
      </c>
      <c r="GJE77" s="223">
        <f xml:space="preserve"> InputsTS!GJE$184</f>
        <v>0</v>
      </c>
      <c r="GJF77" s="223">
        <f xml:space="preserve"> InputsTS!GJF$184</f>
        <v>0</v>
      </c>
      <c r="GJG77" s="223">
        <f xml:space="preserve"> InputsTS!GJG$184</f>
        <v>0</v>
      </c>
      <c r="GJH77" s="223">
        <f xml:space="preserve"> InputsTS!GJH$184</f>
        <v>0</v>
      </c>
      <c r="GJI77" s="223">
        <f xml:space="preserve"> InputsTS!GJI$184</f>
        <v>0</v>
      </c>
      <c r="GJJ77" s="223">
        <f xml:space="preserve"> InputsTS!GJJ$184</f>
        <v>0</v>
      </c>
      <c r="GJK77" s="223">
        <f xml:space="preserve"> InputsTS!GJK$184</f>
        <v>0</v>
      </c>
      <c r="GJL77" s="223">
        <f xml:space="preserve"> InputsTS!GJL$184</f>
        <v>0</v>
      </c>
      <c r="GJM77" s="223">
        <f xml:space="preserve"> InputsTS!GJM$184</f>
        <v>0</v>
      </c>
      <c r="GJN77" s="223">
        <f xml:space="preserve"> InputsTS!GJN$184</f>
        <v>0</v>
      </c>
      <c r="GJO77" s="223">
        <f xml:space="preserve"> InputsTS!GJO$184</f>
        <v>0</v>
      </c>
      <c r="GJP77" s="223">
        <f xml:space="preserve"> InputsTS!GJP$184</f>
        <v>0</v>
      </c>
      <c r="GJQ77" s="223">
        <f xml:space="preserve"> InputsTS!GJQ$184</f>
        <v>0</v>
      </c>
      <c r="GJR77" s="223">
        <f xml:space="preserve"> InputsTS!GJR$184</f>
        <v>0</v>
      </c>
      <c r="GJS77" s="223">
        <f xml:space="preserve"> InputsTS!GJS$184</f>
        <v>0</v>
      </c>
      <c r="GJT77" s="223">
        <f xml:space="preserve"> InputsTS!GJT$184</f>
        <v>0</v>
      </c>
      <c r="GJU77" s="223">
        <f xml:space="preserve"> InputsTS!GJU$184</f>
        <v>0</v>
      </c>
      <c r="GJV77" s="223">
        <f xml:space="preserve"> InputsTS!GJV$184</f>
        <v>0</v>
      </c>
      <c r="GJW77" s="223">
        <f xml:space="preserve"> InputsTS!GJW$184</f>
        <v>0</v>
      </c>
      <c r="GJX77" s="223">
        <f xml:space="preserve"> InputsTS!GJX$184</f>
        <v>0</v>
      </c>
      <c r="GJY77" s="223">
        <f xml:space="preserve"> InputsTS!GJY$184</f>
        <v>0</v>
      </c>
      <c r="GJZ77" s="223">
        <f xml:space="preserve"> InputsTS!GJZ$184</f>
        <v>0</v>
      </c>
      <c r="GKA77" s="223">
        <f xml:space="preserve"> InputsTS!GKA$184</f>
        <v>0</v>
      </c>
      <c r="GKB77" s="223">
        <f xml:space="preserve"> InputsTS!GKB$184</f>
        <v>0</v>
      </c>
      <c r="GKC77" s="223">
        <f xml:space="preserve"> InputsTS!GKC$184</f>
        <v>0</v>
      </c>
      <c r="GKD77" s="223">
        <f xml:space="preserve"> InputsTS!GKD$184</f>
        <v>0</v>
      </c>
      <c r="GKE77" s="223">
        <f xml:space="preserve"> InputsTS!GKE$184</f>
        <v>0</v>
      </c>
      <c r="GKF77" s="223">
        <f xml:space="preserve"> InputsTS!GKF$184</f>
        <v>0</v>
      </c>
      <c r="GKG77" s="223">
        <f xml:space="preserve"> InputsTS!GKG$184</f>
        <v>0</v>
      </c>
      <c r="GKH77" s="223">
        <f xml:space="preserve"> InputsTS!GKH$184</f>
        <v>0</v>
      </c>
      <c r="GKI77" s="223">
        <f xml:space="preserve"> InputsTS!GKI$184</f>
        <v>0</v>
      </c>
      <c r="GKJ77" s="223">
        <f xml:space="preserve"> InputsTS!GKJ$184</f>
        <v>0</v>
      </c>
      <c r="GKK77" s="223">
        <f xml:space="preserve"> InputsTS!GKK$184</f>
        <v>0</v>
      </c>
      <c r="GKL77" s="223">
        <f xml:space="preserve"> InputsTS!GKL$184</f>
        <v>0</v>
      </c>
      <c r="GKM77" s="223">
        <f xml:space="preserve"> InputsTS!GKM$184</f>
        <v>0</v>
      </c>
      <c r="GKN77" s="223">
        <f xml:space="preserve"> InputsTS!GKN$184</f>
        <v>0</v>
      </c>
      <c r="GKO77" s="223">
        <f xml:space="preserve"> InputsTS!GKO$184</f>
        <v>0</v>
      </c>
      <c r="GKP77" s="223">
        <f xml:space="preserve"> InputsTS!GKP$184</f>
        <v>0</v>
      </c>
      <c r="GKQ77" s="223">
        <f xml:space="preserve"> InputsTS!GKQ$184</f>
        <v>0</v>
      </c>
      <c r="GKR77" s="223">
        <f xml:space="preserve"> InputsTS!GKR$184</f>
        <v>0</v>
      </c>
      <c r="GKS77" s="223">
        <f xml:space="preserve"> InputsTS!GKS$184</f>
        <v>0</v>
      </c>
      <c r="GKT77" s="223">
        <f xml:space="preserve"> InputsTS!GKT$184</f>
        <v>0</v>
      </c>
      <c r="GKU77" s="223">
        <f xml:space="preserve"> InputsTS!GKU$184</f>
        <v>0</v>
      </c>
      <c r="GKV77" s="223">
        <f xml:space="preserve"> InputsTS!GKV$184</f>
        <v>0</v>
      </c>
      <c r="GKW77" s="223">
        <f xml:space="preserve"> InputsTS!GKW$184</f>
        <v>0</v>
      </c>
      <c r="GKX77" s="223">
        <f xml:space="preserve"> InputsTS!GKX$184</f>
        <v>0</v>
      </c>
      <c r="GKY77" s="223">
        <f xml:space="preserve"> InputsTS!GKY$184</f>
        <v>0</v>
      </c>
      <c r="GKZ77" s="223">
        <f xml:space="preserve"> InputsTS!GKZ$184</f>
        <v>0</v>
      </c>
      <c r="GLA77" s="223">
        <f xml:space="preserve"> InputsTS!GLA$184</f>
        <v>0</v>
      </c>
      <c r="GLB77" s="223">
        <f xml:space="preserve"> InputsTS!GLB$184</f>
        <v>0</v>
      </c>
      <c r="GLC77" s="223">
        <f xml:space="preserve"> InputsTS!GLC$184</f>
        <v>0</v>
      </c>
      <c r="GLD77" s="223">
        <f xml:space="preserve"> InputsTS!GLD$184</f>
        <v>0</v>
      </c>
      <c r="GLE77" s="223">
        <f xml:space="preserve"> InputsTS!GLE$184</f>
        <v>0</v>
      </c>
      <c r="GLF77" s="223">
        <f xml:space="preserve"> InputsTS!GLF$184</f>
        <v>0</v>
      </c>
      <c r="GLG77" s="223">
        <f xml:space="preserve"> InputsTS!GLG$184</f>
        <v>0</v>
      </c>
      <c r="GLH77" s="223">
        <f xml:space="preserve"> InputsTS!GLH$184</f>
        <v>0</v>
      </c>
      <c r="GLI77" s="223">
        <f xml:space="preserve"> InputsTS!GLI$184</f>
        <v>0</v>
      </c>
      <c r="GLJ77" s="223">
        <f xml:space="preserve"> InputsTS!GLJ$184</f>
        <v>0</v>
      </c>
      <c r="GLK77" s="223">
        <f xml:space="preserve"> InputsTS!GLK$184</f>
        <v>0</v>
      </c>
      <c r="GLL77" s="223">
        <f xml:space="preserve"> InputsTS!GLL$184</f>
        <v>0</v>
      </c>
      <c r="GLM77" s="223">
        <f xml:space="preserve"> InputsTS!GLM$184</f>
        <v>0</v>
      </c>
      <c r="GLN77" s="223">
        <f xml:space="preserve"> InputsTS!GLN$184</f>
        <v>0</v>
      </c>
      <c r="GLO77" s="223">
        <f xml:space="preserve"> InputsTS!GLO$184</f>
        <v>0</v>
      </c>
      <c r="GLP77" s="223">
        <f xml:space="preserve"> InputsTS!GLP$184</f>
        <v>0</v>
      </c>
      <c r="GLQ77" s="223">
        <f xml:space="preserve"> InputsTS!GLQ$184</f>
        <v>0</v>
      </c>
      <c r="GLR77" s="223">
        <f xml:space="preserve"> InputsTS!GLR$184</f>
        <v>0</v>
      </c>
      <c r="GLS77" s="223">
        <f xml:space="preserve"> InputsTS!GLS$184</f>
        <v>0</v>
      </c>
      <c r="GLT77" s="223">
        <f xml:space="preserve"> InputsTS!GLT$184</f>
        <v>0</v>
      </c>
      <c r="GLU77" s="223">
        <f xml:space="preserve"> InputsTS!GLU$184</f>
        <v>0</v>
      </c>
      <c r="GLV77" s="223">
        <f xml:space="preserve"> InputsTS!GLV$184</f>
        <v>0</v>
      </c>
      <c r="GLW77" s="223">
        <f xml:space="preserve"> InputsTS!GLW$184</f>
        <v>0</v>
      </c>
      <c r="GLX77" s="223">
        <f xml:space="preserve"> InputsTS!GLX$184</f>
        <v>0</v>
      </c>
      <c r="GLY77" s="223">
        <f xml:space="preserve"> InputsTS!GLY$184</f>
        <v>0</v>
      </c>
      <c r="GLZ77" s="223">
        <f xml:space="preserve"> InputsTS!GLZ$184</f>
        <v>0</v>
      </c>
      <c r="GMA77" s="223">
        <f xml:space="preserve"> InputsTS!GMA$184</f>
        <v>0</v>
      </c>
      <c r="GMB77" s="223">
        <f xml:space="preserve"> InputsTS!GMB$184</f>
        <v>0</v>
      </c>
      <c r="GMC77" s="223">
        <f xml:space="preserve"> InputsTS!GMC$184</f>
        <v>0</v>
      </c>
      <c r="GMD77" s="223">
        <f xml:space="preserve"> InputsTS!GMD$184</f>
        <v>0</v>
      </c>
      <c r="GME77" s="223">
        <f xml:space="preserve"> InputsTS!GME$184</f>
        <v>0</v>
      </c>
      <c r="GMF77" s="223">
        <f xml:space="preserve"> InputsTS!GMF$184</f>
        <v>0</v>
      </c>
      <c r="GMG77" s="223">
        <f xml:space="preserve"> InputsTS!GMG$184</f>
        <v>0</v>
      </c>
      <c r="GMH77" s="223">
        <f xml:space="preserve"> InputsTS!GMH$184</f>
        <v>0</v>
      </c>
      <c r="GMI77" s="223">
        <f xml:space="preserve"> InputsTS!GMI$184</f>
        <v>0</v>
      </c>
      <c r="GMJ77" s="223">
        <f xml:space="preserve"> InputsTS!GMJ$184</f>
        <v>0</v>
      </c>
      <c r="GMK77" s="223">
        <f xml:space="preserve"> InputsTS!GMK$184</f>
        <v>0</v>
      </c>
      <c r="GML77" s="223">
        <f xml:space="preserve"> InputsTS!GML$184</f>
        <v>0</v>
      </c>
      <c r="GMM77" s="223">
        <f xml:space="preserve"> InputsTS!GMM$184</f>
        <v>0</v>
      </c>
      <c r="GMN77" s="223">
        <f xml:space="preserve"> InputsTS!GMN$184</f>
        <v>0</v>
      </c>
      <c r="GMO77" s="223">
        <f xml:space="preserve"> InputsTS!GMO$184</f>
        <v>0</v>
      </c>
      <c r="GMP77" s="223">
        <f xml:space="preserve"> InputsTS!GMP$184</f>
        <v>0</v>
      </c>
      <c r="GMQ77" s="223">
        <f xml:space="preserve"> InputsTS!GMQ$184</f>
        <v>0</v>
      </c>
      <c r="GMR77" s="223">
        <f xml:space="preserve"> InputsTS!GMR$184</f>
        <v>0</v>
      </c>
      <c r="GMS77" s="223">
        <f xml:space="preserve"> InputsTS!GMS$184</f>
        <v>0</v>
      </c>
      <c r="GMT77" s="223">
        <f xml:space="preserve"> InputsTS!GMT$184</f>
        <v>0</v>
      </c>
      <c r="GMU77" s="223">
        <f xml:space="preserve"> InputsTS!GMU$184</f>
        <v>0</v>
      </c>
      <c r="GMV77" s="223">
        <f xml:space="preserve"> InputsTS!GMV$184</f>
        <v>0</v>
      </c>
      <c r="GMW77" s="223">
        <f xml:space="preserve"> InputsTS!GMW$184</f>
        <v>0</v>
      </c>
      <c r="GMX77" s="223">
        <f xml:space="preserve"> InputsTS!GMX$184</f>
        <v>0</v>
      </c>
      <c r="GMY77" s="223">
        <f xml:space="preserve"> InputsTS!GMY$184</f>
        <v>0</v>
      </c>
      <c r="GMZ77" s="223">
        <f xml:space="preserve"> InputsTS!GMZ$184</f>
        <v>0</v>
      </c>
      <c r="GNA77" s="223">
        <f xml:space="preserve"> InputsTS!GNA$184</f>
        <v>0</v>
      </c>
      <c r="GNB77" s="223">
        <f xml:space="preserve"> InputsTS!GNB$184</f>
        <v>0</v>
      </c>
      <c r="GNC77" s="223">
        <f xml:space="preserve"> InputsTS!GNC$184</f>
        <v>0</v>
      </c>
      <c r="GND77" s="223">
        <f xml:space="preserve"> InputsTS!GND$184</f>
        <v>0</v>
      </c>
      <c r="GNE77" s="223">
        <f xml:space="preserve"> InputsTS!GNE$184</f>
        <v>0</v>
      </c>
      <c r="GNF77" s="223">
        <f xml:space="preserve"> InputsTS!GNF$184</f>
        <v>0</v>
      </c>
      <c r="GNG77" s="223">
        <f xml:space="preserve"> InputsTS!GNG$184</f>
        <v>0</v>
      </c>
      <c r="GNH77" s="223">
        <f xml:space="preserve"> InputsTS!GNH$184</f>
        <v>0</v>
      </c>
      <c r="GNI77" s="223">
        <f xml:space="preserve"> InputsTS!GNI$184</f>
        <v>0</v>
      </c>
      <c r="GNJ77" s="223">
        <f xml:space="preserve"> InputsTS!GNJ$184</f>
        <v>0</v>
      </c>
      <c r="GNK77" s="223">
        <f xml:space="preserve"> InputsTS!GNK$184</f>
        <v>0</v>
      </c>
      <c r="GNL77" s="223">
        <f xml:space="preserve"> InputsTS!GNL$184</f>
        <v>0</v>
      </c>
      <c r="GNM77" s="223">
        <f xml:space="preserve"> InputsTS!GNM$184</f>
        <v>0</v>
      </c>
      <c r="GNN77" s="223">
        <f xml:space="preserve"> InputsTS!GNN$184</f>
        <v>0</v>
      </c>
      <c r="GNO77" s="223">
        <f xml:space="preserve"> InputsTS!GNO$184</f>
        <v>0</v>
      </c>
      <c r="GNP77" s="223">
        <f xml:space="preserve"> InputsTS!GNP$184</f>
        <v>0</v>
      </c>
      <c r="GNQ77" s="223">
        <f xml:space="preserve"> InputsTS!GNQ$184</f>
        <v>0</v>
      </c>
      <c r="GNR77" s="223">
        <f xml:space="preserve"> InputsTS!GNR$184</f>
        <v>0</v>
      </c>
      <c r="GNS77" s="223">
        <f xml:space="preserve"> InputsTS!GNS$184</f>
        <v>0</v>
      </c>
      <c r="GNT77" s="223">
        <f xml:space="preserve"> InputsTS!GNT$184</f>
        <v>0</v>
      </c>
      <c r="GNU77" s="223">
        <f xml:space="preserve"> InputsTS!GNU$184</f>
        <v>0</v>
      </c>
      <c r="GNV77" s="223">
        <f xml:space="preserve"> InputsTS!GNV$184</f>
        <v>0</v>
      </c>
      <c r="GNW77" s="223">
        <f xml:space="preserve"> InputsTS!GNW$184</f>
        <v>0</v>
      </c>
      <c r="GNX77" s="223">
        <f xml:space="preserve"> InputsTS!GNX$184</f>
        <v>0</v>
      </c>
      <c r="GNY77" s="223">
        <f xml:space="preserve"> InputsTS!GNY$184</f>
        <v>0</v>
      </c>
      <c r="GNZ77" s="223">
        <f xml:space="preserve"> InputsTS!GNZ$184</f>
        <v>0</v>
      </c>
      <c r="GOA77" s="223">
        <f xml:space="preserve"> InputsTS!GOA$184</f>
        <v>0</v>
      </c>
      <c r="GOB77" s="223">
        <f xml:space="preserve"> InputsTS!GOB$184</f>
        <v>0</v>
      </c>
      <c r="GOC77" s="223">
        <f xml:space="preserve"> InputsTS!GOC$184</f>
        <v>0</v>
      </c>
      <c r="GOD77" s="223">
        <f xml:space="preserve"> InputsTS!GOD$184</f>
        <v>0</v>
      </c>
      <c r="GOE77" s="223">
        <f xml:space="preserve"> InputsTS!GOE$184</f>
        <v>0</v>
      </c>
      <c r="GOF77" s="223">
        <f xml:space="preserve"> InputsTS!GOF$184</f>
        <v>0</v>
      </c>
      <c r="GOG77" s="223">
        <f xml:space="preserve"> InputsTS!GOG$184</f>
        <v>0</v>
      </c>
      <c r="GOH77" s="223">
        <f xml:space="preserve"> InputsTS!GOH$184</f>
        <v>0</v>
      </c>
      <c r="GOI77" s="223">
        <f xml:space="preserve"> InputsTS!GOI$184</f>
        <v>0</v>
      </c>
      <c r="GOJ77" s="223">
        <f xml:space="preserve"> InputsTS!GOJ$184</f>
        <v>0</v>
      </c>
      <c r="GOK77" s="223">
        <f xml:space="preserve"> InputsTS!GOK$184</f>
        <v>0</v>
      </c>
      <c r="GOL77" s="223">
        <f xml:space="preserve"> InputsTS!GOL$184</f>
        <v>0</v>
      </c>
      <c r="GOM77" s="223">
        <f xml:space="preserve"> InputsTS!GOM$184</f>
        <v>0</v>
      </c>
      <c r="GON77" s="223">
        <f xml:space="preserve"> InputsTS!GON$184</f>
        <v>0</v>
      </c>
      <c r="GOO77" s="223">
        <f xml:space="preserve"> InputsTS!GOO$184</f>
        <v>0</v>
      </c>
      <c r="GOP77" s="223">
        <f xml:space="preserve"> InputsTS!GOP$184</f>
        <v>0</v>
      </c>
      <c r="GOQ77" s="223">
        <f xml:space="preserve"> InputsTS!GOQ$184</f>
        <v>0</v>
      </c>
      <c r="GOR77" s="223">
        <f xml:space="preserve"> InputsTS!GOR$184</f>
        <v>0</v>
      </c>
      <c r="GOS77" s="223">
        <f xml:space="preserve"> InputsTS!GOS$184</f>
        <v>0</v>
      </c>
      <c r="GOT77" s="223">
        <f xml:space="preserve"> InputsTS!GOT$184</f>
        <v>0</v>
      </c>
      <c r="GOU77" s="223">
        <f xml:space="preserve"> InputsTS!GOU$184</f>
        <v>0</v>
      </c>
      <c r="GOV77" s="223">
        <f xml:space="preserve"> InputsTS!GOV$184</f>
        <v>0</v>
      </c>
      <c r="GOW77" s="223">
        <f xml:space="preserve"> InputsTS!GOW$184</f>
        <v>0</v>
      </c>
      <c r="GOX77" s="223">
        <f xml:space="preserve"> InputsTS!GOX$184</f>
        <v>0</v>
      </c>
      <c r="GOY77" s="223">
        <f xml:space="preserve"> InputsTS!GOY$184</f>
        <v>0</v>
      </c>
      <c r="GOZ77" s="223">
        <f xml:space="preserve"> InputsTS!GOZ$184</f>
        <v>0</v>
      </c>
      <c r="GPA77" s="223">
        <f xml:space="preserve"> InputsTS!GPA$184</f>
        <v>0</v>
      </c>
      <c r="GPB77" s="223">
        <f xml:space="preserve"> InputsTS!GPB$184</f>
        <v>0</v>
      </c>
      <c r="GPC77" s="223">
        <f xml:space="preserve"> InputsTS!GPC$184</f>
        <v>0</v>
      </c>
      <c r="GPD77" s="223">
        <f xml:space="preserve"> InputsTS!GPD$184</f>
        <v>0</v>
      </c>
      <c r="GPE77" s="223">
        <f xml:space="preserve"> InputsTS!GPE$184</f>
        <v>0</v>
      </c>
      <c r="GPF77" s="223">
        <f xml:space="preserve"> InputsTS!GPF$184</f>
        <v>0</v>
      </c>
      <c r="GPG77" s="223">
        <f xml:space="preserve"> InputsTS!GPG$184</f>
        <v>0</v>
      </c>
      <c r="GPH77" s="223">
        <f xml:space="preserve"> InputsTS!GPH$184</f>
        <v>0</v>
      </c>
      <c r="GPI77" s="223">
        <f xml:space="preserve"> InputsTS!GPI$184</f>
        <v>0</v>
      </c>
      <c r="GPJ77" s="223">
        <f xml:space="preserve"> InputsTS!GPJ$184</f>
        <v>0</v>
      </c>
      <c r="GPK77" s="223">
        <f xml:space="preserve"> InputsTS!GPK$184</f>
        <v>0</v>
      </c>
      <c r="GPL77" s="223">
        <f xml:space="preserve"> InputsTS!GPL$184</f>
        <v>0</v>
      </c>
      <c r="GPM77" s="223">
        <f xml:space="preserve"> InputsTS!GPM$184</f>
        <v>0</v>
      </c>
      <c r="GPN77" s="223">
        <f xml:space="preserve"> InputsTS!GPN$184</f>
        <v>0</v>
      </c>
      <c r="GPO77" s="223">
        <f xml:space="preserve"> InputsTS!GPO$184</f>
        <v>0</v>
      </c>
      <c r="GPP77" s="223">
        <f xml:space="preserve"> InputsTS!GPP$184</f>
        <v>0</v>
      </c>
      <c r="GPQ77" s="223">
        <f xml:space="preserve"> InputsTS!GPQ$184</f>
        <v>0</v>
      </c>
      <c r="GPR77" s="223">
        <f xml:space="preserve"> InputsTS!GPR$184</f>
        <v>0</v>
      </c>
      <c r="GPS77" s="223">
        <f xml:space="preserve"> InputsTS!GPS$184</f>
        <v>0</v>
      </c>
      <c r="GPT77" s="223">
        <f xml:space="preserve"> InputsTS!GPT$184</f>
        <v>0</v>
      </c>
      <c r="GPU77" s="223">
        <f xml:space="preserve"> InputsTS!GPU$184</f>
        <v>0</v>
      </c>
      <c r="GPV77" s="223">
        <f xml:space="preserve"> InputsTS!GPV$184</f>
        <v>0</v>
      </c>
      <c r="GPW77" s="223">
        <f xml:space="preserve"> InputsTS!GPW$184</f>
        <v>0</v>
      </c>
      <c r="GPX77" s="223">
        <f xml:space="preserve"> InputsTS!GPX$184</f>
        <v>0</v>
      </c>
      <c r="GPY77" s="223">
        <f xml:space="preserve"> InputsTS!GPY$184</f>
        <v>0</v>
      </c>
      <c r="GPZ77" s="223">
        <f xml:space="preserve"> InputsTS!GPZ$184</f>
        <v>0</v>
      </c>
      <c r="GQA77" s="223">
        <f xml:space="preserve"> InputsTS!GQA$184</f>
        <v>0</v>
      </c>
      <c r="GQB77" s="223">
        <f xml:space="preserve"> InputsTS!GQB$184</f>
        <v>0</v>
      </c>
      <c r="GQC77" s="223">
        <f xml:space="preserve"> InputsTS!GQC$184</f>
        <v>0</v>
      </c>
      <c r="GQD77" s="223">
        <f xml:space="preserve"> InputsTS!GQD$184</f>
        <v>0</v>
      </c>
      <c r="GQE77" s="223">
        <f xml:space="preserve"> InputsTS!GQE$184</f>
        <v>0</v>
      </c>
      <c r="GQF77" s="223">
        <f xml:space="preserve"> InputsTS!GQF$184</f>
        <v>0</v>
      </c>
      <c r="GQG77" s="223">
        <f xml:space="preserve"> InputsTS!GQG$184</f>
        <v>0</v>
      </c>
      <c r="GQH77" s="223">
        <f xml:space="preserve"> InputsTS!GQH$184</f>
        <v>0</v>
      </c>
      <c r="GQI77" s="223">
        <f xml:space="preserve"> InputsTS!GQI$184</f>
        <v>0</v>
      </c>
      <c r="GQJ77" s="223">
        <f xml:space="preserve"> InputsTS!GQJ$184</f>
        <v>0</v>
      </c>
      <c r="GQK77" s="223">
        <f xml:space="preserve"> InputsTS!GQK$184</f>
        <v>0</v>
      </c>
      <c r="GQL77" s="223">
        <f xml:space="preserve"> InputsTS!GQL$184</f>
        <v>0</v>
      </c>
      <c r="GQM77" s="223">
        <f xml:space="preserve"> InputsTS!GQM$184</f>
        <v>0</v>
      </c>
      <c r="GQN77" s="223">
        <f xml:space="preserve"> InputsTS!GQN$184</f>
        <v>0</v>
      </c>
      <c r="GQO77" s="223">
        <f xml:space="preserve"> InputsTS!GQO$184</f>
        <v>0</v>
      </c>
      <c r="GQP77" s="223">
        <f xml:space="preserve"> InputsTS!GQP$184</f>
        <v>0</v>
      </c>
      <c r="GQQ77" s="223">
        <f xml:space="preserve"> InputsTS!GQQ$184</f>
        <v>0</v>
      </c>
      <c r="GQR77" s="223">
        <f xml:space="preserve"> InputsTS!GQR$184</f>
        <v>0</v>
      </c>
      <c r="GQS77" s="223">
        <f xml:space="preserve"> InputsTS!GQS$184</f>
        <v>0</v>
      </c>
      <c r="GQT77" s="223">
        <f xml:space="preserve"> InputsTS!GQT$184</f>
        <v>0</v>
      </c>
      <c r="GQU77" s="223">
        <f xml:space="preserve"> InputsTS!GQU$184</f>
        <v>0</v>
      </c>
      <c r="GQV77" s="223">
        <f xml:space="preserve"> InputsTS!GQV$184</f>
        <v>0</v>
      </c>
      <c r="GQW77" s="223">
        <f xml:space="preserve"> InputsTS!GQW$184</f>
        <v>0</v>
      </c>
      <c r="GQX77" s="223">
        <f xml:space="preserve"> InputsTS!GQX$184</f>
        <v>0</v>
      </c>
      <c r="GQY77" s="223">
        <f xml:space="preserve"> InputsTS!GQY$184</f>
        <v>0</v>
      </c>
      <c r="GQZ77" s="223">
        <f xml:space="preserve"> InputsTS!GQZ$184</f>
        <v>0</v>
      </c>
      <c r="GRA77" s="223">
        <f xml:space="preserve"> InputsTS!GRA$184</f>
        <v>0</v>
      </c>
      <c r="GRB77" s="223">
        <f xml:space="preserve"> InputsTS!GRB$184</f>
        <v>0</v>
      </c>
      <c r="GRC77" s="223">
        <f xml:space="preserve"> InputsTS!GRC$184</f>
        <v>0</v>
      </c>
      <c r="GRD77" s="223">
        <f xml:space="preserve"> InputsTS!GRD$184</f>
        <v>0</v>
      </c>
      <c r="GRE77" s="223">
        <f xml:space="preserve"> InputsTS!GRE$184</f>
        <v>0</v>
      </c>
      <c r="GRF77" s="223">
        <f xml:space="preserve"> InputsTS!GRF$184</f>
        <v>0</v>
      </c>
      <c r="GRG77" s="223">
        <f xml:space="preserve"> InputsTS!GRG$184</f>
        <v>0</v>
      </c>
      <c r="GRH77" s="223">
        <f xml:space="preserve"> InputsTS!GRH$184</f>
        <v>0</v>
      </c>
      <c r="GRI77" s="223">
        <f xml:space="preserve"> InputsTS!GRI$184</f>
        <v>0</v>
      </c>
      <c r="GRJ77" s="223">
        <f xml:space="preserve"> InputsTS!GRJ$184</f>
        <v>0</v>
      </c>
      <c r="GRK77" s="223">
        <f xml:space="preserve"> InputsTS!GRK$184</f>
        <v>0</v>
      </c>
      <c r="GRL77" s="223">
        <f xml:space="preserve"> InputsTS!GRL$184</f>
        <v>0</v>
      </c>
      <c r="GRM77" s="223">
        <f xml:space="preserve"> InputsTS!GRM$184</f>
        <v>0</v>
      </c>
      <c r="GRN77" s="223">
        <f xml:space="preserve"> InputsTS!GRN$184</f>
        <v>0</v>
      </c>
      <c r="GRO77" s="223">
        <f xml:space="preserve"> InputsTS!GRO$184</f>
        <v>0</v>
      </c>
      <c r="GRP77" s="223">
        <f xml:space="preserve"> InputsTS!GRP$184</f>
        <v>0</v>
      </c>
      <c r="GRQ77" s="223">
        <f xml:space="preserve"> InputsTS!GRQ$184</f>
        <v>0</v>
      </c>
      <c r="GRR77" s="223">
        <f xml:space="preserve"> InputsTS!GRR$184</f>
        <v>0</v>
      </c>
      <c r="GRS77" s="223">
        <f xml:space="preserve"> InputsTS!GRS$184</f>
        <v>0</v>
      </c>
      <c r="GRT77" s="223">
        <f xml:space="preserve"> InputsTS!GRT$184</f>
        <v>0</v>
      </c>
      <c r="GRU77" s="223">
        <f xml:space="preserve"> InputsTS!GRU$184</f>
        <v>0</v>
      </c>
      <c r="GRV77" s="223">
        <f xml:space="preserve"> InputsTS!GRV$184</f>
        <v>0</v>
      </c>
      <c r="GRW77" s="223">
        <f xml:space="preserve"> InputsTS!GRW$184</f>
        <v>0</v>
      </c>
      <c r="GRX77" s="223">
        <f xml:space="preserve"> InputsTS!GRX$184</f>
        <v>0</v>
      </c>
      <c r="GRY77" s="223">
        <f xml:space="preserve"> InputsTS!GRY$184</f>
        <v>0</v>
      </c>
      <c r="GRZ77" s="223">
        <f xml:space="preserve"> InputsTS!GRZ$184</f>
        <v>0</v>
      </c>
      <c r="GSA77" s="223">
        <f xml:space="preserve"> InputsTS!GSA$184</f>
        <v>0</v>
      </c>
      <c r="GSB77" s="223">
        <f xml:space="preserve"> InputsTS!GSB$184</f>
        <v>0</v>
      </c>
      <c r="GSC77" s="223">
        <f xml:space="preserve"> InputsTS!GSC$184</f>
        <v>0</v>
      </c>
      <c r="GSD77" s="223">
        <f xml:space="preserve"> InputsTS!GSD$184</f>
        <v>0</v>
      </c>
      <c r="GSE77" s="223">
        <f xml:space="preserve"> InputsTS!GSE$184</f>
        <v>0</v>
      </c>
      <c r="GSF77" s="223">
        <f xml:space="preserve"> InputsTS!GSF$184</f>
        <v>0</v>
      </c>
      <c r="GSG77" s="223">
        <f xml:space="preserve"> InputsTS!GSG$184</f>
        <v>0</v>
      </c>
      <c r="GSH77" s="223">
        <f xml:space="preserve"> InputsTS!GSH$184</f>
        <v>0</v>
      </c>
      <c r="GSI77" s="223">
        <f xml:space="preserve"> InputsTS!GSI$184</f>
        <v>0</v>
      </c>
      <c r="GSJ77" s="223">
        <f xml:space="preserve"> InputsTS!GSJ$184</f>
        <v>0</v>
      </c>
      <c r="GSK77" s="223">
        <f xml:space="preserve"> InputsTS!GSK$184</f>
        <v>0</v>
      </c>
      <c r="GSL77" s="223">
        <f xml:space="preserve"> InputsTS!GSL$184</f>
        <v>0</v>
      </c>
      <c r="GSM77" s="223">
        <f xml:space="preserve"> InputsTS!GSM$184</f>
        <v>0</v>
      </c>
      <c r="GSN77" s="223">
        <f xml:space="preserve"> InputsTS!GSN$184</f>
        <v>0</v>
      </c>
      <c r="GSO77" s="223">
        <f xml:space="preserve"> InputsTS!GSO$184</f>
        <v>0</v>
      </c>
      <c r="GSP77" s="223">
        <f xml:space="preserve"> InputsTS!GSP$184</f>
        <v>0</v>
      </c>
      <c r="GSQ77" s="223">
        <f xml:space="preserve"> InputsTS!GSQ$184</f>
        <v>0</v>
      </c>
      <c r="GSR77" s="223">
        <f xml:space="preserve"> InputsTS!GSR$184</f>
        <v>0</v>
      </c>
      <c r="GSS77" s="223">
        <f xml:space="preserve"> InputsTS!GSS$184</f>
        <v>0</v>
      </c>
      <c r="GST77" s="223">
        <f xml:space="preserve"> InputsTS!GST$184</f>
        <v>0</v>
      </c>
      <c r="GSU77" s="223">
        <f xml:space="preserve"> InputsTS!GSU$184</f>
        <v>0</v>
      </c>
      <c r="GSV77" s="223">
        <f xml:space="preserve"> InputsTS!GSV$184</f>
        <v>0</v>
      </c>
      <c r="GSW77" s="223">
        <f xml:space="preserve"> InputsTS!GSW$184</f>
        <v>0</v>
      </c>
      <c r="GSX77" s="223">
        <f xml:space="preserve"> InputsTS!GSX$184</f>
        <v>0</v>
      </c>
      <c r="GSY77" s="223">
        <f xml:space="preserve"> InputsTS!GSY$184</f>
        <v>0</v>
      </c>
      <c r="GSZ77" s="223">
        <f xml:space="preserve"> InputsTS!GSZ$184</f>
        <v>0</v>
      </c>
      <c r="GTA77" s="223">
        <f xml:space="preserve"> InputsTS!GTA$184</f>
        <v>0</v>
      </c>
      <c r="GTB77" s="223">
        <f xml:space="preserve"> InputsTS!GTB$184</f>
        <v>0</v>
      </c>
      <c r="GTC77" s="223">
        <f xml:space="preserve"> InputsTS!GTC$184</f>
        <v>0</v>
      </c>
      <c r="GTD77" s="223">
        <f xml:space="preserve"> InputsTS!GTD$184</f>
        <v>0</v>
      </c>
      <c r="GTE77" s="223">
        <f xml:space="preserve"> InputsTS!GTE$184</f>
        <v>0</v>
      </c>
      <c r="GTF77" s="223">
        <f xml:space="preserve"> InputsTS!GTF$184</f>
        <v>0</v>
      </c>
      <c r="GTG77" s="223">
        <f xml:space="preserve"> InputsTS!GTG$184</f>
        <v>0</v>
      </c>
      <c r="GTH77" s="223">
        <f xml:space="preserve"> InputsTS!GTH$184</f>
        <v>0</v>
      </c>
      <c r="GTI77" s="223">
        <f xml:space="preserve"> InputsTS!GTI$184</f>
        <v>0</v>
      </c>
      <c r="GTJ77" s="223">
        <f xml:space="preserve"> InputsTS!GTJ$184</f>
        <v>0</v>
      </c>
      <c r="GTK77" s="223">
        <f xml:space="preserve"> InputsTS!GTK$184</f>
        <v>0</v>
      </c>
      <c r="GTL77" s="223">
        <f xml:space="preserve"> InputsTS!GTL$184</f>
        <v>0</v>
      </c>
      <c r="GTM77" s="223">
        <f xml:space="preserve"> InputsTS!GTM$184</f>
        <v>0</v>
      </c>
      <c r="GTN77" s="223">
        <f xml:space="preserve"> InputsTS!GTN$184</f>
        <v>0</v>
      </c>
      <c r="GTO77" s="223">
        <f xml:space="preserve"> InputsTS!GTO$184</f>
        <v>0</v>
      </c>
      <c r="GTP77" s="223">
        <f xml:space="preserve"> InputsTS!GTP$184</f>
        <v>0</v>
      </c>
      <c r="GTQ77" s="223">
        <f xml:space="preserve"> InputsTS!GTQ$184</f>
        <v>0</v>
      </c>
      <c r="GTR77" s="223">
        <f xml:space="preserve"> InputsTS!GTR$184</f>
        <v>0</v>
      </c>
      <c r="GTS77" s="223">
        <f xml:space="preserve"> InputsTS!GTS$184</f>
        <v>0</v>
      </c>
      <c r="GTT77" s="223">
        <f xml:space="preserve"> InputsTS!GTT$184</f>
        <v>0</v>
      </c>
      <c r="GTU77" s="223">
        <f xml:space="preserve"> InputsTS!GTU$184</f>
        <v>0</v>
      </c>
      <c r="GTV77" s="223">
        <f xml:space="preserve"> InputsTS!GTV$184</f>
        <v>0</v>
      </c>
      <c r="GTW77" s="223">
        <f xml:space="preserve"> InputsTS!GTW$184</f>
        <v>0</v>
      </c>
      <c r="GTX77" s="223">
        <f xml:space="preserve"> InputsTS!GTX$184</f>
        <v>0</v>
      </c>
      <c r="GTY77" s="223">
        <f xml:space="preserve"> InputsTS!GTY$184</f>
        <v>0</v>
      </c>
      <c r="GTZ77" s="223">
        <f xml:space="preserve"> InputsTS!GTZ$184</f>
        <v>0</v>
      </c>
      <c r="GUA77" s="223">
        <f xml:space="preserve"> InputsTS!GUA$184</f>
        <v>0</v>
      </c>
      <c r="GUB77" s="223">
        <f xml:space="preserve"> InputsTS!GUB$184</f>
        <v>0</v>
      </c>
      <c r="GUC77" s="223">
        <f xml:space="preserve"> InputsTS!GUC$184</f>
        <v>0</v>
      </c>
      <c r="GUD77" s="223">
        <f xml:space="preserve"> InputsTS!GUD$184</f>
        <v>0</v>
      </c>
      <c r="GUE77" s="223">
        <f xml:space="preserve"> InputsTS!GUE$184</f>
        <v>0</v>
      </c>
      <c r="GUF77" s="223">
        <f xml:space="preserve"> InputsTS!GUF$184</f>
        <v>0</v>
      </c>
      <c r="GUG77" s="223">
        <f xml:space="preserve"> InputsTS!GUG$184</f>
        <v>0</v>
      </c>
      <c r="GUH77" s="223">
        <f xml:space="preserve"> InputsTS!GUH$184</f>
        <v>0</v>
      </c>
      <c r="GUI77" s="223">
        <f xml:space="preserve"> InputsTS!GUI$184</f>
        <v>0</v>
      </c>
      <c r="GUJ77" s="223">
        <f xml:space="preserve"> InputsTS!GUJ$184</f>
        <v>0</v>
      </c>
      <c r="GUK77" s="223">
        <f xml:space="preserve"> InputsTS!GUK$184</f>
        <v>0</v>
      </c>
      <c r="GUL77" s="223">
        <f xml:space="preserve"> InputsTS!GUL$184</f>
        <v>0</v>
      </c>
      <c r="GUM77" s="223">
        <f xml:space="preserve"> InputsTS!GUM$184</f>
        <v>0</v>
      </c>
      <c r="GUN77" s="223">
        <f xml:space="preserve"> InputsTS!GUN$184</f>
        <v>0</v>
      </c>
      <c r="GUO77" s="223">
        <f xml:space="preserve"> InputsTS!GUO$184</f>
        <v>0</v>
      </c>
      <c r="GUP77" s="223">
        <f xml:space="preserve"> InputsTS!GUP$184</f>
        <v>0</v>
      </c>
      <c r="GUQ77" s="223">
        <f xml:space="preserve"> InputsTS!GUQ$184</f>
        <v>0</v>
      </c>
      <c r="GUR77" s="223">
        <f xml:space="preserve"> InputsTS!GUR$184</f>
        <v>0</v>
      </c>
      <c r="GUS77" s="223">
        <f xml:space="preserve"> InputsTS!GUS$184</f>
        <v>0</v>
      </c>
      <c r="GUT77" s="223">
        <f xml:space="preserve"> InputsTS!GUT$184</f>
        <v>0</v>
      </c>
      <c r="GUU77" s="223">
        <f xml:space="preserve"> InputsTS!GUU$184</f>
        <v>0</v>
      </c>
      <c r="GUV77" s="223">
        <f xml:space="preserve"> InputsTS!GUV$184</f>
        <v>0</v>
      </c>
      <c r="GUW77" s="223">
        <f xml:space="preserve"> InputsTS!GUW$184</f>
        <v>0</v>
      </c>
      <c r="GUX77" s="223">
        <f xml:space="preserve"> InputsTS!GUX$184</f>
        <v>0</v>
      </c>
      <c r="GUY77" s="223">
        <f xml:space="preserve"> InputsTS!GUY$184</f>
        <v>0</v>
      </c>
      <c r="GUZ77" s="223">
        <f xml:space="preserve"> InputsTS!GUZ$184</f>
        <v>0</v>
      </c>
      <c r="GVA77" s="223">
        <f xml:space="preserve"> InputsTS!GVA$184</f>
        <v>0</v>
      </c>
      <c r="GVB77" s="223">
        <f xml:space="preserve"> InputsTS!GVB$184</f>
        <v>0</v>
      </c>
      <c r="GVC77" s="223">
        <f xml:space="preserve"> InputsTS!GVC$184</f>
        <v>0</v>
      </c>
      <c r="GVD77" s="223">
        <f xml:space="preserve"> InputsTS!GVD$184</f>
        <v>0</v>
      </c>
      <c r="GVE77" s="223">
        <f xml:space="preserve"> InputsTS!GVE$184</f>
        <v>0</v>
      </c>
      <c r="GVF77" s="223">
        <f xml:space="preserve"> InputsTS!GVF$184</f>
        <v>0</v>
      </c>
      <c r="GVG77" s="223">
        <f xml:space="preserve"> InputsTS!GVG$184</f>
        <v>0</v>
      </c>
      <c r="GVH77" s="223">
        <f xml:space="preserve"> InputsTS!GVH$184</f>
        <v>0</v>
      </c>
      <c r="GVI77" s="223">
        <f xml:space="preserve"> InputsTS!GVI$184</f>
        <v>0</v>
      </c>
      <c r="GVJ77" s="223">
        <f xml:space="preserve"> InputsTS!GVJ$184</f>
        <v>0</v>
      </c>
      <c r="GVK77" s="223">
        <f xml:space="preserve"> InputsTS!GVK$184</f>
        <v>0</v>
      </c>
      <c r="GVL77" s="223">
        <f xml:space="preserve"> InputsTS!GVL$184</f>
        <v>0</v>
      </c>
      <c r="GVM77" s="223">
        <f xml:space="preserve"> InputsTS!GVM$184</f>
        <v>0</v>
      </c>
      <c r="GVN77" s="223">
        <f xml:space="preserve"> InputsTS!GVN$184</f>
        <v>0</v>
      </c>
      <c r="GVO77" s="223">
        <f xml:space="preserve"> InputsTS!GVO$184</f>
        <v>0</v>
      </c>
      <c r="GVP77" s="223">
        <f xml:space="preserve"> InputsTS!GVP$184</f>
        <v>0</v>
      </c>
      <c r="GVQ77" s="223">
        <f xml:space="preserve"> InputsTS!GVQ$184</f>
        <v>0</v>
      </c>
      <c r="GVR77" s="223">
        <f xml:space="preserve"> InputsTS!GVR$184</f>
        <v>0</v>
      </c>
      <c r="GVS77" s="223">
        <f xml:space="preserve"> InputsTS!GVS$184</f>
        <v>0</v>
      </c>
      <c r="GVT77" s="223">
        <f xml:space="preserve"> InputsTS!GVT$184</f>
        <v>0</v>
      </c>
      <c r="GVU77" s="223">
        <f xml:space="preserve"> InputsTS!GVU$184</f>
        <v>0</v>
      </c>
      <c r="GVV77" s="223">
        <f xml:space="preserve"> InputsTS!GVV$184</f>
        <v>0</v>
      </c>
      <c r="GVW77" s="223">
        <f xml:space="preserve"> InputsTS!GVW$184</f>
        <v>0</v>
      </c>
      <c r="GVX77" s="223">
        <f xml:space="preserve"> InputsTS!GVX$184</f>
        <v>0</v>
      </c>
      <c r="GVY77" s="223">
        <f xml:space="preserve"> InputsTS!GVY$184</f>
        <v>0</v>
      </c>
      <c r="GVZ77" s="223">
        <f xml:space="preserve"> InputsTS!GVZ$184</f>
        <v>0</v>
      </c>
      <c r="GWA77" s="223">
        <f xml:space="preserve"> InputsTS!GWA$184</f>
        <v>0</v>
      </c>
      <c r="GWB77" s="223">
        <f xml:space="preserve"> InputsTS!GWB$184</f>
        <v>0</v>
      </c>
      <c r="GWC77" s="223">
        <f xml:space="preserve"> InputsTS!GWC$184</f>
        <v>0</v>
      </c>
      <c r="GWD77" s="223">
        <f xml:space="preserve"> InputsTS!GWD$184</f>
        <v>0</v>
      </c>
      <c r="GWE77" s="223">
        <f xml:space="preserve"> InputsTS!GWE$184</f>
        <v>0</v>
      </c>
      <c r="GWF77" s="223">
        <f xml:space="preserve"> InputsTS!GWF$184</f>
        <v>0</v>
      </c>
      <c r="GWG77" s="223">
        <f xml:space="preserve"> InputsTS!GWG$184</f>
        <v>0</v>
      </c>
      <c r="GWH77" s="223">
        <f xml:space="preserve"> InputsTS!GWH$184</f>
        <v>0</v>
      </c>
      <c r="GWI77" s="223">
        <f xml:space="preserve"> InputsTS!GWI$184</f>
        <v>0</v>
      </c>
      <c r="GWJ77" s="223">
        <f xml:space="preserve"> InputsTS!GWJ$184</f>
        <v>0</v>
      </c>
      <c r="GWK77" s="223">
        <f xml:space="preserve"> InputsTS!GWK$184</f>
        <v>0</v>
      </c>
      <c r="GWL77" s="223">
        <f xml:space="preserve"> InputsTS!GWL$184</f>
        <v>0</v>
      </c>
      <c r="GWM77" s="223">
        <f xml:space="preserve"> InputsTS!GWM$184</f>
        <v>0</v>
      </c>
      <c r="GWN77" s="223">
        <f xml:space="preserve"> InputsTS!GWN$184</f>
        <v>0</v>
      </c>
      <c r="GWO77" s="223">
        <f xml:space="preserve"> InputsTS!GWO$184</f>
        <v>0</v>
      </c>
      <c r="GWP77" s="223">
        <f xml:space="preserve"> InputsTS!GWP$184</f>
        <v>0</v>
      </c>
      <c r="GWQ77" s="223">
        <f xml:space="preserve"> InputsTS!GWQ$184</f>
        <v>0</v>
      </c>
      <c r="GWR77" s="223">
        <f xml:space="preserve"> InputsTS!GWR$184</f>
        <v>0</v>
      </c>
      <c r="GWS77" s="223">
        <f xml:space="preserve"> InputsTS!GWS$184</f>
        <v>0</v>
      </c>
      <c r="GWT77" s="223">
        <f xml:space="preserve"> InputsTS!GWT$184</f>
        <v>0</v>
      </c>
      <c r="GWU77" s="223">
        <f xml:space="preserve"> InputsTS!GWU$184</f>
        <v>0</v>
      </c>
      <c r="GWV77" s="223">
        <f xml:space="preserve"> InputsTS!GWV$184</f>
        <v>0</v>
      </c>
      <c r="GWW77" s="223">
        <f xml:space="preserve"> InputsTS!GWW$184</f>
        <v>0</v>
      </c>
      <c r="GWX77" s="223">
        <f xml:space="preserve"> InputsTS!GWX$184</f>
        <v>0</v>
      </c>
      <c r="GWY77" s="223">
        <f xml:space="preserve"> InputsTS!GWY$184</f>
        <v>0</v>
      </c>
      <c r="GWZ77" s="223">
        <f xml:space="preserve"> InputsTS!GWZ$184</f>
        <v>0</v>
      </c>
      <c r="GXA77" s="223">
        <f xml:space="preserve"> InputsTS!GXA$184</f>
        <v>0</v>
      </c>
      <c r="GXB77" s="223">
        <f xml:space="preserve"> InputsTS!GXB$184</f>
        <v>0</v>
      </c>
      <c r="GXC77" s="223">
        <f xml:space="preserve"> InputsTS!GXC$184</f>
        <v>0</v>
      </c>
      <c r="GXD77" s="223">
        <f xml:space="preserve"> InputsTS!GXD$184</f>
        <v>0</v>
      </c>
      <c r="GXE77" s="223">
        <f xml:space="preserve"> InputsTS!GXE$184</f>
        <v>0</v>
      </c>
      <c r="GXF77" s="223">
        <f xml:space="preserve"> InputsTS!GXF$184</f>
        <v>0</v>
      </c>
      <c r="GXG77" s="223">
        <f xml:space="preserve"> InputsTS!GXG$184</f>
        <v>0</v>
      </c>
      <c r="GXH77" s="223">
        <f xml:space="preserve"> InputsTS!GXH$184</f>
        <v>0</v>
      </c>
      <c r="GXI77" s="223">
        <f xml:space="preserve"> InputsTS!GXI$184</f>
        <v>0</v>
      </c>
      <c r="GXJ77" s="223">
        <f xml:space="preserve"> InputsTS!GXJ$184</f>
        <v>0</v>
      </c>
      <c r="GXK77" s="223">
        <f xml:space="preserve"> InputsTS!GXK$184</f>
        <v>0</v>
      </c>
      <c r="GXL77" s="223">
        <f xml:space="preserve"> InputsTS!GXL$184</f>
        <v>0</v>
      </c>
      <c r="GXM77" s="223">
        <f xml:space="preserve"> InputsTS!GXM$184</f>
        <v>0</v>
      </c>
      <c r="GXN77" s="223">
        <f xml:space="preserve"> InputsTS!GXN$184</f>
        <v>0</v>
      </c>
      <c r="GXO77" s="223">
        <f xml:space="preserve"> InputsTS!GXO$184</f>
        <v>0</v>
      </c>
      <c r="GXP77" s="223">
        <f xml:space="preserve"> InputsTS!GXP$184</f>
        <v>0</v>
      </c>
      <c r="GXQ77" s="223">
        <f xml:space="preserve"> InputsTS!GXQ$184</f>
        <v>0</v>
      </c>
      <c r="GXR77" s="223">
        <f xml:space="preserve"> InputsTS!GXR$184</f>
        <v>0</v>
      </c>
      <c r="GXS77" s="223">
        <f xml:space="preserve"> InputsTS!GXS$184</f>
        <v>0</v>
      </c>
      <c r="GXT77" s="223">
        <f xml:space="preserve"> InputsTS!GXT$184</f>
        <v>0</v>
      </c>
      <c r="GXU77" s="223">
        <f xml:space="preserve"> InputsTS!GXU$184</f>
        <v>0</v>
      </c>
      <c r="GXV77" s="223">
        <f xml:space="preserve"> InputsTS!GXV$184</f>
        <v>0</v>
      </c>
      <c r="GXW77" s="223">
        <f xml:space="preserve"> InputsTS!GXW$184</f>
        <v>0</v>
      </c>
      <c r="GXX77" s="223">
        <f xml:space="preserve"> InputsTS!GXX$184</f>
        <v>0</v>
      </c>
      <c r="GXY77" s="223">
        <f xml:space="preserve"> InputsTS!GXY$184</f>
        <v>0</v>
      </c>
      <c r="GXZ77" s="223">
        <f xml:space="preserve"> InputsTS!GXZ$184</f>
        <v>0</v>
      </c>
      <c r="GYA77" s="223">
        <f xml:space="preserve"> InputsTS!GYA$184</f>
        <v>0</v>
      </c>
      <c r="GYB77" s="223">
        <f xml:space="preserve"> InputsTS!GYB$184</f>
        <v>0</v>
      </c>
      <c r="GYC77" s="223">
        <f xml:space="preserve"> InputsTS!GYC$184</f>
        <v>0</v>
      </c>
      <c r="GYD77" s="223">
        <f xml:space="preserve"> InputsTS!GYD$184</f>
        <v>0</v>
      </c>
      <c r="GYE77" s="223">
        <f xml:space="preserve"> InputsTS!GYE$184</f>
        <v>0</v>
      </c>
      <c r="GYF77" s="223">
        <f xml:space="preserve"> InputsTS!GYF$184</f>
        <v>0</v>
      </c>
      <c r="GYG77" s="223">
        <f xml:space="preserve"> InputsTS!GYG$184</f>
        <v>0</v>
      </c>
      <c r="GYH77" s="223">
        <f xml:space="preserve"> InputsTS!GYH$184</f>
        <v>0</v>
      </c>
      <c r="GYI77" s="223">
        <f xml:space="preserve"> InputsTS!GYI$184</f>
        <v>0</v>
      </c>
      <c r="GYJ77" s="223">
        <f xml:space="preserve"> InputsTS!GYJ$184</f>
        <v>0</v>
      </c>
      <c r="GYK77" s="223">
        <f xml:space="preserve"> InputsTS!GYK$184</f>
        <v>0</v>
      </c>
      <c r="GYL77" s="223">
        <f xml:space="preserve"> InputsTS!GYL$184</f>
        <v>0</v>
      </c>
      <c r="GYM77" s="223">
        <f xml:space="preserve"> InputsTS!GYM$184</f>
        <v>0</v>
      </c>
      <c r="GYN77" s="223">
        <f xml:space="preserve"> InputsTS!GYN$184</f>
        <v>0</v>
      </c>
      <c r="GYO77" s="223">
        <f xml:space="preserve"> InputsTS!GYO$184</f>
        <v>0</v>
      </c>
      <c r="GYP77" s="223">
        <f xml:space="preserve"> InputsTS!GYP$184</f>
        <v>0</v>
      </c>
      <c r="GYQ77" s="223">
        <f xml:space="preserve"> InputsTS!GYQ$184</f>
        <v>0</v>
      </c>
      <c r="GYR77" s="223">
        <f xml:space="preserve"> InputsTS!GYR$184</f>
        <v>0</v>
      </c>
      <c r="GYS77" s="223">
        <f xml:space="preserve"> InputsTS!GYS$184</f>
        <v>0</v>
      </c>
      <c r="GYT77" s="223">
        <f xml:space="preserve"> InputsTS!GYT$184</f>
        <v>0</v>
      </c>
      <c r="GYU77" s="223">
        <f xml:space="preserve"> InputsTS!GYU$184</f>
        <v>0</v>
      </c>
      <c r="GYV77" s="223">
        <f xml:space="preserve"> InputsTS!GYV$184</f>
        <v>0</v>
      </c>
      <c r="GYW77" s="223">
        <f xml:space="preserve"> InputsTS!GYW$184</f>
        <v>0</v>
      </c>
      <c r="GYX77" s="223">
        <f xml:space="preserve"> InputsTS!GYX$184</f>
        <v>0</v>
      </c>
      <c r="GYY77" s="223">
        <f xml:space="preserve"> InputsTS!GYY$184</f>
        <v>0</v>
      </c>
      <c r="GYZ77" s="223">
        <f xml:space="preserve"> InputsTS!GYZ$184</f>
        <v>0</v>
      </c>
      <c r="GZA77" s="223">
        <f xml:space="preserve"> InputsTS!GZA$184</f>
        <v>0</v>
      </c>
      <c r="GZB77" s="223">
        <f xml:space="preserve"> InputsTS!GZB$184</f>
        <v>0</v>
      </c>
      <c r="GZC77" s="223">
        <f xml:space="preserve"> InputsTS!GZC$184</f>
        <v>0</v>
      </c>
      <c r="GZD77" s="223">
        <f xml:space="preserve"> InputsTS!GZD$184</f>
        <v>0</v>
      </c>
      <c r="GZE77" s="223">
        <f xml:space="preserve"> InputsTS!GZE$184</f>
        <v>0</v>
      </c>
      <c r="GZF77" s="223">
        <f xml:space="preserve"> InputsTS!GZF$184</f>
        <v>0</v>
      </c>
      <c r="GZG77" s="223">
        <f xml:space="preserve"> InputsTS!GZG$184</f>
        <v>0</v>
      </c>
      <c r="GZH77" s="223">
        <f xml:space="preserve"> InputsTS!GZH$184</f>
        <v>0</v>
      </c>
      <c r="GZI77" s="223">
        <f xml:space="preserve"> InputsTS!GZI$184</f>
        <v>0</v>
      </c>
      <c r="GZJ77" s="223">
        <f xml:space="preserve"> InputsTS!GZJ$184</f>
        <v>0</v>
      </c>
      <c r="GZK77" s="223">
        <f xml:space="preserve"> InputsTS!GZK$184</f>
        <v>0</v>
      </c>
      <c r="GZL77" s="223">
        <f xml:space="preserve"> InputsTS!GZL$184</f>
        <v>0</v>
      </c>
      <c r="GZM77" s="223">
        <f xml:space="preserve"> InputsTS!GZM$184</f>
        <v>0</v>
      </c>
      <c r="GZN77" s="223">
        <f xml:space="preserve"> InputsTS!GZN$184</f>
        <v>0</v>
      </c>
      <c r="GZO77" s="223">
        <f xml:space="preserve"> InputsTS!GZO$184</f>
        <v>0</v>
      </c>
      <c r="GZP77" s="223">
        <f xml:space="preserve"> InputsTS!GZP$184</f>
        <v>0</v>
      </c>
      <c r="GZQ77" s="223">
        <f xml:space="preserve"> InputsTS!GZQ$184</f>
        <v>0</v>
      </c>
      <c r="GZR77" s="223">
        <f xml:space="preserve"> InputsTS!GZR$184</f>
        <v>0</v>
      </c>
      <c r="GZS77" s="223">
        <f xml:space="preserve"> InputsTS!GZS$184</f>
        <v>0</v>
      </c>
      <c r="GZT77" s="223">
        <f xml:space="preserve"> InputsTS!GZT$184</f>
        <v>0</v>
      </c>
      <c r="GZU77" s="223">
        <f xml:space="preserve"> InputsTS!GZU$184</f>
        <v>0</v>
      </c>
      <c r="GZV77" s="223">
        <f xml:space="preserve"> InputsTS!GZV$184</f>
        <v>0</v>
      </c>
      <c r="GZW77" s="223">
        <f xml:space="preserve"> InputsTS!GZW$184</f>
        <v>0</v>
      </c>
      <c r="GZX77" s="223">
        <f xml:space="preserve"> InputsTS!GZX$184</f>
        <v>0</v>
      </c>
      <c r="GZY77" s="223">
        <f xml:space="preserve"> InputsTS!GZY$184</f>
        <v>0</v>
      </c>
      <c r="GZZ77" s="223">
        <f xml:space="preserve"> InputsTS!GZZ$184</f>
        <v>0</v>
      </c>
      <c r="HAA77" s="223">
        <f xml:space="preserve"> InputsTS!HAA$184</f>
        <v>0</v>
      </c>
      <c r="HAB77" s="223">
        <f xml:space="preserve"> InputsTS!HAB$184</f>
        <v>0</v>
      </c>
      <c r="HAC77" s="223">
        <f xml:space="preserve"> InputsTS!HAC$184</f>
        <v>0</v>
      </c>
      <c r="HAD77" s="223">
        <f xml:space="preserve"> InputsTS!HAD$184</f>
        <v>0</v>
      </c>
      <c r="HAE77" s="223">
        <f xml:space="preserve"> InputsTS!HAE$184</f>
        <v>0</v>
      </c>
      <c r="HAF77" s="223">
        <f xml:space="preserve"> InputsTS!HAF$184</f>
        <v>0</v>
      </c>
      <c r="HAG77" s="223">
        <f xml:space="preserve"> InputsTS!HAG$184</f>
        <v>0</v>
      </c>
      <c r="HAH77" s="223">
        <f xml:space="preserve"> InputsTS!HAH$184</f>
        <v>0</v>
      </c>
      <c r="HAI77" s="223">
        <f xml:space="preserve"> InputsTS!HAI$184</f>
        <v>0</v>
      </c>
      <c r="HAJ77" s="223">
        <f xml:space="preserve"> InputsTS!HAJ$184</f>
        <v>0</v>
      </c>
      <c r="HAK77" s="223">
        <f xml:space="preserve"> InputsTS!HAK$184</f>
        <v>0</v>
      </c>
      <c r="HAL77" s="223">
        <f xml:space="preserve"> InputsTS!HAL$184</f>
        <v>0</v>
      </c>
      <c r="HAM77" s="223">
        <f xml:space="preserve"> InputsTS!HAM$184</f>
        <v>0</v>
      </c>
      <c r="HAN77" s="223">
        <f xml:space="preserve"> InputsTS!HAN$184</f>
        <v>0</v>
      </c>
      <c r="HAO77" s="223">
        <f xml:space="preserve"> InputsTS!HAO$184</f>
        <v>0</v>
      </c>
      <c r="HAP77" s="223">
        <f xml:space="preserve"> InputsTS!HAP$184</f>
        <v>0</v>
      </c>
      <c r="HAQ77" s="223">
        <f xml:space="preserve"> InputsTS!HAQ$184</f>
        <v>0</v>
      </c>
      <c r="HAR77" s="223">
        <f xml:space="preserve"> InputsTS!HAR$184</f>
        <v>0</v>
      </c>
      <c r="HAS77" s="223">
        <f xml:space="preserve"> InputsTS!HAS$184</f>
        <v>0</v>
      </c>
      <c r="HAT77" s="223">
        <f xml:space="preserve"> InputsTS!HAT$184</f>
        <v>0</v>
      </c>
      <c r="HAU77" s="223">
        <f xml:space="preserve"> InputsTS!HAU$184</f>
        <v>0</v>
      </c>
      <c r="HAV77" s="223">
        <f xml:space="preserve"> InputsTS!HAV$184</f>
        <v>0</v>
      </c>
      <c r="HAW77" s="223">
        <f xml:space="preserve"> InputsTS!HAW$184</f>
        <v>0</v>
      </c>
      <c r="HAX77" s="223">
        <f xml:space="preserve"> InputsTS!HAX$184</f>
        <v>0</v>
      </c>
      <c r="HAY77" s="223">
        <f xml:space="preserve"> InputsTS!HAY$184</f>
        <v>0</v>
      </c>
      <c r="HAZ77" s="223">
        <f xml:space="preserve"> InputsTS!HAZ$184</f>
        <v>0</v>
      </c>
      <c r="HBA77" s="223">
        <f xml:space="preserve"> InputsTS!HBA$184</f>
        <v>0</v>
      </c>
      <c r="HBB77" s="223">
        <f xml:space="preserve"> InputsTS!HBB$184</f>
        <v>0</v>
      </c>
      <c r="HBC77" s="223">
        <f xml:space="preserve"> InputsTS!HBC$184</f>
        <v>0</v>
      </c>
      <c r="HBD77" s="223">
        <f xml:space="preserve"> InputsTS!HBD$184</f>
        <v>0</v>
      </c>
      <c r="HBE77" s="223">
        <f xml:space="preserve"> InputsTS!HBE$184</f>
        <v>0</v>
      </c>
      <c r="HBF77" s="223">
        <f xml:space="preserve"> InputsTS!HBF$184</f>
        <v>0</v>
      </c>
      <c r="HBG77" s="223">
        <f xml:space="preserve"> InputsTS!HBG$184</f>
        <v>0</v>
      </c>
      <c r="HBH77" s="223">
        <f xml:space="preserve"> InputsTS!HBH$184</f>
        <v>0</v>
      </c>
      <c r="HBI77" s="223">
        <f xml:space="preserve"> InputsTS!HBI$184</f>
        <v>0</v>
      </c>
      <c r="HBJ77" s="223">
        <f xml:space="preserve"> InputsTS!HBJ$184</f>
        <v>0</v>
      </c>
      <c r="HBK77" s="223">
        <f xml:space="preserve"> InputsTS!HBK$184</f>
        <v>0</v>
      </c>
      <c r="HBL77" s="223">
        <f xml:space="preserve"> InputsTS!HBL$184</f>
        <v>0</v>
      </c>
      <c r="HBM77" s="223">
        <f xml:space="preserve"> InputsTS!HBM$184</f>
        <v>0</v>
      </c>
      <c r="HBN77" s="223">
        <f xml:space="preserve"> InputsTS!HBN$184</f>
        <v>0</v>
      </c>
      <c r="HBO77" s="223">
        <f xml:space="preserve"> InputsTS!HBO$184</f>
        <v>0</v>
      </c>
      <c r="HBP77" s="223">
        <f xml:space="preserve"> InputsTS!HBP$184</f>
        <v>0</v>
      </c>
      <c r="HBQ77" s="223">
        <f xml:space="preserve"> InputsTS!HBQ$184</f>
        <v>0</v>
      </c>
      <c r="HBR77" s="223">
        <f xml:space="preserve"> InputsTS!HBR$184</f>
        <v>0</v>
      </c>
      <c r="HBS77" s="223">
        <f xml:space="preserve"> InputsTS!HBS$184</f>
        <v>0</v>
      </c>
      <c r="HBT77" s="223">
        <f xml:space="preserve"> InputsTS!HBT$184</f>
        <v>0</v>
      </c>
      <c r="HBU77" s="223">
        <f xml:space="preserve"> InputsTS!HBU$184</f>
        <v>0</v>
      </c>
      <c r="HBV77" s="223">
        <f xml:space="preserve"> InputsTS!HBV$184</f>
        <v>0</v>
      </c>
      <c r="HBW77" s="223">
        <f xml:space="preserve"> InputsTS!HBW$184</f>
        <v>0</v>
      </c>
      <c r="HBX77" s="223">
        <f xml:space="preserve"> InputsTS!HBX$184</f>
        <v>0</v>
      </c>
      <c r="HBY77" s="223">
        <f xml:space="preserve"> InputsTS!HBY$184</f>
        <v>0</v>
      </c>
      <c r="HBZ77" s="223">
        <f xml:space="preserve"> InputsTS!HBZ$184</f>
        <v>0</v>
      </c>
      <c r="HCA77" s="223">
        <f xml:space="preserve"> InputsTS!HCA$184</f>
        <v>0</v>
      </c>
      <c r="HCB77" s="223">
        <f xml:space="preserve"> InputsTS!HCB$184</f>
        <v>0</v>
      </c>
      <c r="HCC77" s="223">
        <f xml:space="preserve"> InputsTS!HCC$184</f>
        <v>0</v>
      </c>
      <c r="HCD77" s="223">
        <f xml:space="preserve"> InputsTS!HCD$184</f>
        <v>0</v>
      </c>
      <c r="HCE77" s="223">
        <f xml:space="preserve"> InputsTS!HCE$184</f>
        <v>0</v>
      </c>
      <c r="HCF77" s="223">
        <f xml:space="preserve"> InputsTS!HCF$184</f>
        <v>0</v>
      </c>
      <c r="HCG77" s="223">
        <f xml:space="preserve"> InputsTS!HCG$184</f>
        <v>0</v>
      </c>
      <c r="HCH77" s="223">
        <f xml:space="preserve"> InputsTS!HCH$184</f>
        <v>0</v>
      </c>
      <c r="HCI77" s="223">
        <f xml:space="preserve"> InputsTS!HCI$184</f>
        <v>0</v>
      </c>
      <c r="HCJ77" s="223">
        <f xml:space="preserve"> InputsTS!HCJ$184</f>
        <v>0</v>
      </c>
      <c r="HCK77" s="223">
        <f xml:space="preserve"> InputsTS!HCK$184</f>
        <v>0</v>
      </c>
      <c r="HCL77" s="223">
        <f xml:space="preserve"> InputsTS!HCL$184</f>
        <v>0</v>
      </c>
      <c r="HCM77" s="223">
        <f xml:space="preserve"> InputsTS!HCM$184</f>
        <v>0</v>
      </c>
      <c r="HCN77" s="223">
        <f xml:space="preserve"> InputsTS!HCN$184</f>
        <v>0</v>
      </c>
      <c r="HCO77" s="223">
        <f xml:space="preserve"> InputsTS!HCO$184</f>
        <v>0</v>
      </c>
      <c r="HCP77" s="223">
        <f xml:space="preserve"> InputsTS!HCP$184</f>
        <v>0</v>
      </c>
      <c r="HCQ77" s="223">
        <f xml:space="preserve"> InputsTS!HCQ$184</f>
        <v>0</v>
      </c>
      <c r="HCR77" s="223">
        <f xml:space="preserve"> InputsTS!HCR$184</f>
        <v>0</v>
      </c>
      <c r="HCS77" s="223">
        <f xml:space="preserve"> InputsTS!HCS$184</f>
        <v>0</v>
      </c>
      <c r="HCT77" s="223">
        <f xml:space="preserve"> InputsTS!HCT$184</f>
        <v>0</v>
      </c>
      <c r="HCU77" s="223">
        <f xml:space="preserve"> InputsTS!HCU$184</f>
        <v>0</v>
      </c>
      <c r="HCV77" s="223">
        <f xml:space="preserve"> InputsTS!HCV$184</f>
        <v>0</v>
      </c>
      <c r="HCW77" s="223">
        <f xml:space="preserve"> InputsTS!HCW$184</f>
        <v>0</v>
      </c>
      <c r="HCX77" s="223">
        <f xml:space="preserve"> InputsTS!HCX$184</f>
        <v>0</v>
      </c>
      <c r="HCY77" s="223">
        <f xml:space="preserve"> InputsTS!HCY$184</f>
        <v>0</v>
      </c>
      <c r="HCZ77" s="223">
        <f xml:space="preserve"> InputsTS!HCZ$184</f>
        <v>0</v>
      </c>
      <c r="HDA77" s="223">
        <f xml:space="preserve"> InputsTS!HDA$184</f>
        <v>0</v>
      </c>
      <c r="HDB77" s="223">
        <f xml:space="preserve"> InputsTS!HDB$184</f>
        <v>0</v>
      </c>
      <c r="HDC77" s="223">
        <f xml:space="preserve"> InputsTS!HDC$184</f>
        <v>0</v>
      </c>
      <c r="HDD77" s="223">
        <f xml:space="preserve"> InputsTS!HDD$184</f>
        <v>0</v>
      </c>
      <c r="HDE77" s="223">
        <f xml:space="preserve"> InputsTS!HDE$184</f>
        <v>0</v>
      </c>
      <c r="HDF77" s="223">
        <f xml:space="preserve"> InputsTS!HDF$184</f>
        <v>0</v>
      </c>
      <c r="HDG77" s="223">
        <f xml:space="preserve"> InputsTS!HDG$184</f>
        <v>0</v>
      </c>
      <c r="HDH77" s="223">
        <f xml:space="preserve"> InputsTS!HDH$184</f>
        <v>0</v>
      </c>
      <c r="HDI77" s="223">
        <f xml:space="preserve"> InputsTS!HDI$184</f>
        <v>0</v>
      </c>
      <c r="HDJ77" s="223">
        <f xml:space="preserve"> InputsTS!HDJ$184</f>
        <v>0</v>
      </c>
      <c r="HDK77" s="223">
        <f xml:space="preserve"> InputsTS!HDK$184</f>
        <v>0</v>
      </c>
      <c r="HDL77" s="223">
        <f xml:space="preserve"> InputsTS!HDL$184</f>
        <v>0</v>
      </c>
      <c r="HDM77" s="223">
        <f xml:space="preserve"> InputsTS!HDM$184</f>
        <v>0</v>
      </c>
      <c r="HDN77" s="223">
        <f xml:space="preserve"> InputsTS!HDN$184</f>
        <v>0</v>
      </c>
      <c r="HDO77" s="223">
        <f xml:space="preserve"> InputsTS!HDO$184</f>
        <v>0</v>
      </c>
      <c r="HDP77" s="223">
        <f xml:space="preserve"> InputsTS!HDP$184</f>
        <v>0</v>
      </c>
      <c r="HDQ77" s="223">
        <f xml:space="preserve"> InputsTS!HDQ$184</f>
        <v>0</v>
      </c>
      <c r="HDR77" s="223">
        <f xml:space="preserve"> InputsTS!HDR$184</f>
        <v>0</v>
      </c>
      <c r="HDS77" s="223">
        <f xml:space="preserve"> InputsTS!HDS$184</f>
        <v>0</v>
      </c>
      <c r="HDT77" s="223">
        <f xml:space="preserve"> InputsTS!HDT$184</f>
        <v>0</v>
      </c>
      <c r="HDU77" s="223">
        <f xml:space="preserve"> InputsTS!HDU$184</f>
        <v>0</v>
      </c>
      <c r="HDV77" s="223">
        <f xml:space="preserve"> InputsTS!HDV$184</f>
        <v>0</v>
      </c>
      <c r="HDW77" s="223">
        <f xml:space="preserve"> InputsTS!HDW$184</f>
        <v>0</v>
      </c>
      <c r="HDX77" s="223">
        <f xml:space="preserve"> InputsTS!HDX$184</f>
        <v>0</v>
      </c>
      <c r="HDY77" s="223">
        <f xml:space="preserve"> InputsTS!HDY$184</f>
        <v>0</v>
      </c>
      <c r="HDZ77" s="223">
        <f xml:space="preserve"> InputsTS!HDZ$184</f>
        <v>0</v>
      </c>
      <c r="HEA77" s="223">
        <f xml:space="preserve"> InputsTS!HEA$184</f>
        <v>0</v>
      </c>
      <c r="HEB77" s="223">
        <f xml:space="preserve"> InputsTS!HEB$184</f>
        <v>0</v>
      </c>
      <c r="HEC77" s="223">
        <f xml:space="preserve"> InputsTS!HEC$184</f>
        <v>0</v>
      </c>
      <c r="HED77" s="223">
        <f xml:space="preserve"> InputsTS!HED$184</f>
        <v>0</v>
      </c>
      <c r="HEE77" s="223">
        <f xml:space="preserve"> InputsTS!HEE$184</f>
        <v>0</v>
      </c>
      <c r="HEF77" s="223">
        <f xml:space="preserve"> InputsTS!HEF$184</f>
        <v>0</v>
      </c>
      <c r="HEG77" s="223">
        <f xml:space="preserve"> InputsTS!HEG$184</f>
        <v>0</v>
      </c>
      <c r="HEH77" s="223">
        <f xml:space="preserve"> InputsTS!HEH$184</f>
        <v>0</v>
      </c>
      <c r="HEI77" s="223">
        <f xml:space="preserve"> InputsTS!HEI$184</f>
        <v>0</v>
      </c>
      <c r="HEJ77" s="223">
        <f xml:space="preserve"> InputsTS!HEJ$184</f>
        <v>0</v>
      </c>
      <c r="HEK77" s="223">
        <f xml:space="preserve"> InputsTS!HEK$184</f>
        <v>0</v>
      </c>
      <c r="HEL77" s="223">
        <f xml:space="preserve"> InputsTS!HEL$184</f>
        <v>0</v>
      </c>
      <c r="HEM77" s="223">
        <f xml:space="preserve"> InputsTS!HEM$184</f>
        <v>0</v>
      </c>
      <c r="HEN77" s="223">
        <f xml:space="preserve"> InputsTS!HEN$184</f>
        <v>0</v>
      </c>
      <c r="HEO77" s="223">
        <f xml:space="preserve"> InputsTS!HEO$184</f>
        <v>0</v>
      </c>
      <c r="HEP77" s="223">
        <f xml:space="preserve"> InputsTS!HEP$184</f>
        <v>0</v>
      </c>
      <c r="HEQ77" s="223">
        <f xml:space="preserve"> InputsTS!HEQ$184</f>
        <v>0</v>
      </c>
      <c r="HER77" s="223">
        <f xml:space="preserve"> InputsTS!HER$184</f>
        <v>0</v>
      </c>
      <c r="HES77" s="223">
        <f xml:space="preserve"> InputsTS!HES$184</f>
        <v>0</v>
      </c>
      <c r="HET77" s="223">
        <f xml:space="preserve"> InputsTS!HET$184</f>
        <v>0</v>
      </c>
      <c r="HEU77" s="223">
        <f xml:space="preserve"> InputsTS!HEU$184</f>
        <v>0</v>
      </c>
      <c r="HEV77" s="223">
        <f xml:space="preserve"> InputsTS!HEV$184</f>
        <v>0</v>
      </c>
      <c r="HEW77" s="223">
        <f xml:space="preserve"> InputsTS!HEW$184</f>
        <v>0</v>
      </c>
      <c r="HEX77" s="223">
        <f xml:space="preserve"> InputsTS!HEX$184</f>
        <v>0</v>
      </c>
      <c r="HEY77" s="223">
        <f xml:space="preserve"> InputsTS!HEY$184</f>
        <v>0</v>
      </c>
      <c r="HEZ77" s="223">
        <f xml:space="preserve"> InputsTS!HEZ$184</f>
        <v>0</v>
      </c>
      <c r="HFA77" s="223">
        <f xml:space="preserve"> InputsTS!HFA$184</f>
        <v>0</v>
      </c>
      <c r="HFB77" s="223">
        <f xml:space="preserve"> InputsTS!HFB$184</f>
        <v>0</v>
      </c>
      <c r="HFC77" s="223">
        <f xml:space="preserve"> InputsTS!HFC$184</f>
        <v>0</v>
      </c>
      <c r="HFD77" s="223">
        <f xml:space="preserve"> InputsTS!HFD$184</f>
        <v>0</v>
      </c>
      <c r="HFE77" s="223">
        <f xml:space="preserve"> InputsTS!HFE$184</f>
        <v>0</v>
      </c>
      <c r="HFF77" s="223">
        <f xml:space="preserve"> InputsTS!HFF$184</f>
        <v>0</v>
      </c>
      <c r="HFG77" s="223">
        <f xml:space="preserve"> InputsTS!HFG$184</f>
        <v>0</v>
      </c>
      <c r="HFH77" s="223">
        <f xml:space="preserve"> InputsTS!HFH$184</f>
        <v>0</v>
      </c>
      <c r="HFI77" s="223">
        <f xml:space="preserve"> InputsTS!HFI$184</f>
        <v>0</v>
      </c>
      <c r="HFJ77" s="223">
        <f xml:space="preserve"> InputsTS!HFJ$184</f>
        <v>0</v>
      </c>
      <c r="HFK77" s="223">
        <f xml:space="preserve"> InputsTS!HFK$184</f>
        <v>0</v>
      </c>
      <c r="HFL77" s="223">
        <f xml:space="preserve"> InputsTS!HFL$184</f>
        <v>0</v>
      </c>
      <c r="HFM77" s="223">
        <f xml:space="preserve"> InputsTS!HFM$184</f>
        <v>0</v>
      </c>
      <c r="HFN77" s="223">
        <f xml:space="preserve"> InputsTS!HFN$184</f>
        <v>0</v>
      </c>
      <c r="HFO77" s="223">
        <f xml:space="preserve"> InputsTS!HFO$184</f>
        <v>0</v>
      </c>
      <c r="HFP77" s="223">
        <f xml:space="preserve"> InputsTS!HFP$184</f>
        <v>0</v>
      </c>
      <c r="HFQ77" s="223">
        <f xml:space="preserve"> InputsTS!HFQ$184</f>
        <v>0</v>
      </c>
      <c r="HFR77" s="223">
        <f xml:space="preserve"> InputsTS!HFR$184</f>
        <v>0</v>
      </c>
      <c r="HFS77" s="223">
        <f xml:space="preserve"> InputsTS!HFS$184</f>
        <v>0</v>
      </c>
      <c r="HFT77" s="223">
        <f xml:space="preserve"> InputsTS!HFT$184</f>
        <v>0</v>
      </c>
      <c r="HFU77" s="223">
        <f xml:space="preserve"> InputsTS!HFU$184</f>
        <v>0</v>
      </c>
      <c r="HFV77" s="223">
        <f xml:space="preserve"> InputsTS!HFV$184</f>
        <v>0</v>
      </c>
      <c r="HFW77" s="223">
        <f xml:space="preserve"> InputsTS!HFW$184</f>
        <v>0</v>
      </c>
      <c r="HFX77" s="223">
        <f xml:space="preserve"> InputsTS!HFX$184</f>
        <v>0</v>
      </c>
      <c r="HFY77" s="223">
        <f xml:space="preserve"> InputsTS!HFY$184</f>
        <v>0</v>
      </c>
      <c r="HFZ77" s="223">
        <f xml:space="preserve"> InputsTS!HFZ$184</f>
        <v>0</v>
      </c>
      <c r="HGA77" s="223">
        <f xml:space="preserve"> InputsTS!HGA$184</f>
        <v>0</v>
      </c>
      <c r="HGB77" s="223">
        <f xml:space="preserve"> InputsTS!HGB$184</f>
        <v>0</v>
      </c>
      <c r="HGC77" s="223">
        <f xml:space="preserve"> InputsTS!HGC$184</f>
        <v>0</v>
      </c>
      <c r="HGD77" s="223">
        <f xml:space="preserve"> InputsTS!HGD$184</f>
        <v>0</v>
      </c>
      <c r="HGE77" s="223">
        <f xml:space="preserve"> InputsTS!HGE$184</f>
        <v>0</v>
      </c>
      <c r="HGF77" s="223">
        <f xml:space="preserve"> InputsTS!HGF$184</f>
        <v>0</v>
      </c>
      <c r="HGG77" s="223">
        <f xml:space="preserve"> InputsTS!HGG$184</f>
        <v>0</v>
      </c>
      <c r="HGH77" s="223">
        <f xml:space="preserve"> InputsTS!HGH$184</f>
        <v>0</v>
      </c>
      <c r="HGI77" s="223">
        <f xml:space="preserve"> InputsTS!HGI$184</f>
        <v>0</v>
      </c>
      <c r="HGJ77" s="223">
        <f xml:space="preserve"> InputsTS!HGJ$184</f>
        <v>0</v>
      </c>
      <c r="HGK77" s="223">
        <f xml:space="preserve"> InputsTS!HGK$184</f>
        <v>0</v>
      </c>
      <c r="HGL77" s="223">
        <f xml:space="preserve"> InputsTS!HGL$184</f>
        <v>0</v>
      </c>
      <c r="HGM77" s="223">
        <f xml:space="preserve"> InputsTS!HGM$184</f>
        <v>0</v>
      </c>
      <c r="HGN77" s="223">
        <f xml:space="preserve"> InputsTS!HGN$184</f>
        <v>0</v>
      </c>
      <c r="HGO77" s="223">
        <f xml:space="preserve"> InputsTS!HGO$184</f>
        <v>0</v>
      </c>
      <c r="HGP77" s="223">
        <f xml:space="preserve"> InputsTS!HGP$184</f>
        <v>0</v>
      </c>
      <c r="HGQ77" s="223">
        <f xml:space="preserve"> InputsTS!HGQ$184</f>
        <v>0</v>
      </c>
      <c r="HGR77" s="223">
        <f xml:space="preserve"> InputsTS!HGR$184</f>
        <v>0</v>
      </c>
      <c r="HGS77" s="223">
        <f xml:space="preserve"> InputsTS!HGS$184</f>
        <v>0</v>
      </c>
      <c r="HGT77" s="223">
        <f xml:space="preserve"> InputsTS!HGT$184</f>
        <v>0</v>
      </c>
      <c r="HGU77" s="223">
        <f xml:space="preserve"> InputsTS!HGU$184</f>
        <v>0</v>
      </c>
      <c r="HGV77" s="223">
        <f xml:space="preserve"> InputsTS!HGV$184</f>
        <v>0</v>
      </c>
      <c r="HGW77" s="223">
        <f xml:space="preserve"> InputsTS!HGW$184</f>
        <v>0</v>
      </c>
      <c r="HGX77" s="223">
        <f xml:space="preserve"> InputsTS!HGX$184</f>
        <v>0</v>
      </c>
      <c r="HGY77" s="223">
        <f xml:space="preserve"> InputsTS!HGY$184</f>
        <v>0</v>
      </c>
      <c r="HGZ77" s="223">
        <f xml:space="preserve"> InputsTS!HGZ$184</f>
        <v>0</v>
      </c>
      <c r="HHA77" s="223">
        <f xml:space="preserve"> InputsTS!HHA$184</f>
        <v>0</v>
      </c>
      <c r="HHB77" s="223">
        <f xml:space="preserve"> InputsTS!HHB$184</f>
        <v>0</v>
      </c>
      <c r="HHC77" s="223">
        <f xml:space="preserve"> InputsTS!HHC$184</f>
        <v>0</v>
      </c>
      <c r="HHD77" s="223">
        <f xml:space="preserve"> InputsTS!HHD$184</f>
        <v>0</v>
      </c>
      <c r="HHE77" s="223">
        <f xml:space="preserve"> InputsTS!HHE$184</f>
        <v>0</v>
      </c>
      <c r="HHF77" s="223">
        <f xml:space="preserve"> InputsTS!HHF$184</f>
        <v>0</v>
      </c>
      <c r="HHG77" s="223">
        <f xml:space="preserve"> InputsTS!HHG$184</f>
        <v>0</v>
      </c>
      <c r="HHH77" s="223">
        <f xml:space="preserve"> InputsTS!HHH$184</f>
        <v>0</v>
      </c>
      <c r="HHI77" s="223">
        <f xml:space="preserve"> InputsTS!HHI$184</f>
        <v>0</v>
      </c>
      <c r="HHJ77" s="223">
        <f xml:space="preserve"> InputsTS!HHJ$184</f>
        <v>0</v>
      </c>
      <c r="HHK77" s="223">
        <f xml:space="preserve"> InputsTS!HHK$184</f>
        <v>0</v>
      </c>
      <c r="HHL77" s="223">
        <f xml:space="preserve"> InputsTS!HHL$184</f>
        <v>0</v>
      </c>
      <c r="HHM77" s="223">
        <f xml:space="preserve"> InputsTS!HHM$184</f>
        <v>0</v>
      </c>
      <c r="HHN77" s="223">
        <f xml:space="preserve"> InputsTS!HHN$184</f>
        <v>0</v>
      </c>
      <c r="HHO77" s="223">
        <f xml:space="preserve"> InputsTS!HHO$184</f>
        <v>0</v>
      </c>
      <c r="HHP77" s="223">
        <f xml:space="preserve"> InputsTS!HHP$184</f>
        <v>0</v>
      </c>
      <c r="HHQ77" s="223">
        <f xml:space="preserve"> InputsTS!HHQ$184</f>
        <v>0</v>
      </c>
      <c r="HHR77" s="223">
        <f xml:space="preserve"> InputsTS!HHR$184</f>
        <v>0</v>
      </c>
      <c r="HHS77" s="223">
        <f xml:space="preserve"> InputsTS!HHS$184</f>
        <v>0</v>
      </c>
      <c r="HHT77" s="223">
        <f xml:space="preserve"> InputsTS!HHT$184</f>
        <v>0</v>
      </c>
      <c r="HHU77" s="223">
        <f xml:space="preserve"> InputsTS!HHU$184</f>
        <v>0</v>
      </c>
      <c r="HHV77" s="223">
        <f xml:space="preserve"> InputsTS!HHV$184</f>
        <v>0</v>
      </c>
      <c r="HHW77" s="223">
        <f xml:space="preserve"> InputsTS!HHW$184</f>
        <v>0</v>
      </c>
      <c r="HHX77" s="223">
        <f xml:space="preserve"> InputsTS!HHX$184</f>
        <v>0</v>
      </c>
      <c r="HHY77" s="223">
        <f xml:space="preserve"> InputsTS!HHY$184</f>
        <v>0</v>
      </c>
      <c r="HHZ77" s="223">
        <f xml:space="preserve"> InputsTS!HHZ$184</f>
        <v>0</v>
      </c>
      <c r="HIA77" s="223">
        <f xml:space="preserve"> InputsTS!HIA$184</f>
        <v>0</v>
      </c>
      <c r="HIB77" s="223">
        <f xml:space="preserve"> InputsTS!HIB$184</f>
        <v>0</v>
      </c>
      <c r="HIC77" s="223">
        <f xml:space="preserve"> InputsTS!HIC$184</f>
        <v>0</v>
      </c>
      <c r="HID77" s="223">
        <f xml:space="preserve"> InputsTS!HID$184</f>
        <v>0</v>
      </c>
      <c r="HIE77" s="223">
        <f xml:space="preserve"> InputsTS!HIE$184</f>
        <v>0</v>
      </c>
      <c r="HIF77" s="223">
        <f xml:space="preserve"> InputsTS!HIF$184</f>
        <v>0</v>
      </c>
      <c r="HIG77" s="223">
        <f xml:space="preserve"> InputsTS!HIG$184</f>
        <v>0</v>
      </c>
      <c r="HIH77" s="223">
        <f xml:space="preserve"> InputsTS!HIH$184</f>
        <v>0</v>
      </c>
      <c r="HII77" s="223">
        <f xml:space="preserve"> InputsTS!HII$184</f>
        <v>0</v>
      </c>
      <c r="HIJ77" s="223">
        <f xml:space="preserve"> InputsTS!HIJ$184</f>
        <v>0</v>
      </c>
      <c r="HIK77" s="223">
        <f xml:space="preserve"> InputsTS!HIK$184</f>
        <v>0</v>
      </c>
      <c r="HIL77" s="223">
        <f xml:space="preserve"> InputsTS!HIL$184</f>
        <v>0</v>
      </c>
      <c r="HIM77" s="223">
        <f xml:space="preserve"> InputsTS!HIM$184</f>
        <v>0</v>
      </c>
      <c r="HIN77" s="223">
        <f xml:space="preserve"> InputsTS!HIN$184</f>
        <v>0</v>
      </c>
      <c r="HIO77" s="223">
        <f xml:space="preserve"> InputsTS!HIO$184</f>
        <v>0</v>
      </c>
      <c r="HIP77" s="223">
        <f xml:space="preserve"> InputsTS!HIP$184</f>
        <v>0</v>
      </c>
      <c r="HIQ77" s="223">
        <f xml:space="preserve"> InputsTS!HIQ$184</f>
        <v>0</v>
      </c>
      <c r="HIR77" s="223">
        <f xml:space="preserve"> InputsTS!HIR$184</f>
        <v>0</v>
      </c>
      <c r="HIS77" s="223">
        <f xml:space="preserve"> InputsTS!HIS$184</f>
        <v>0</v>
      </c>
      <c r="HIT77" s="223">
        <f xml:space="preserve"> InputsTS!HIT$184</f>
        <v>0</v>
      </c>
      <c r="HIU77" s="223">
        <f xml:space="preserve"> InputsTS!HIU$184</f>
        <v>0</v>
      </c>
      <c r="HIV77" s="223">
        <f xml:space="preserve"> InputsTS!HIV$184</f>
        <v>0</v>
      </c>
      <c r="HIW77" s="223">
        <f xml:space="preserve"> InputsTS!HIW$184</f>
        <v>0</v>
      </c>
      <c r="HIX77" s="223">
        <f xml:space="preserve"> InputsTS!HIX$184</f>
        <v>0</v>
      </c>
      <c r="HIY77" s="223">
        <f xml:space="preserve"> InputsTS!HIY$184</f>
        <v>0</v>
      </c>
      <c r="HIZ77" s="223">
        <f xml:space="preserve"> InputsTS!HIZ$184</f>
        <v>0</v>
      </c>
      <c r="HJA77" s="223">
        <f xml:space="preserve"> InputsTS!HJA$184</f>
        <v>0</v>
      </c>
      <c r="HJB77" s="223">
        <f xml:space="preserve"> InputsTS!HJB$184</f>
        <v>0</v>
      </c>
      <c r="HJC77" s="223">
        <f xml:space="preserve"> InputsTS!HJC$184</f>
        <v>0</v>
      </c>
      <c r="HJD77" s="223">
        <f xml:space="preserve"> InputsTS!HJD$184</f>
        <v>0</v>
      </c>
      <c r="HJE77" s="223">
        <f xml:space="preserve"> InputsTS!HJE$184</f>
        <v>0</v>
      </c>
      <c r="HJF77" s="223">
        <f xml:space="preserve"> InputsTS!HJF$184</f>
        <v>0</v>
      </c>
      <c r="HJG77" s="223">
        <f xml:space="preserve"> InputsTS!HJG$184</f>
        <v>0</v>
      </c>
      <c r="HJH77" s="223">
        <f xml:space="preserve"> InputsTS!HJH$184</f>
        <v>0</v>
      </c>
      <c r="HJI77" s="223">
        <f xml:space="preserve"> InputsTS!HJI$184</f>
        <v>0</v>
      </c>
      <c r="HJJ77" s="223">
        <f xml:space="preserve"> InputsTS!HJJ$184</f>
        <v>0</v>
      </c>
      <c r="HJK77" s="223">
        <f xml:space="preserve"> InputsTS!HJK$184</f>
        <v>0</v>
      </c>
      <c r="HJL77" s="223">
        <f xml:space="preserve"> InputsTS!HJL$184</f>
        <v>0</v>
      </c>
      <c r="HJM77" s="223">
        <f xml:space="preserve"> InputsTS!HJM$184</f>
        <v>0</v>
      </c>
      <c r="HJN77" s="223">
        <f xml:space="preserve"> InputsTS!HJN$184</f>
        <v>0</v>
      </c>
      <c r="HJO77" s="223">
        <f xml:space="preserve"> InputsTS!HJO$184</f>
        <v>0</v>
      </c>
      <c r="HJP77" s="223">
        <f xml:space="preserve"> InputsTS!HJP$184</f>
        <v>0</v>
      </c>
      <c r="HJQ77" s="223">
        <f xml:space="preserve"> InputsTS!HJQ$184</f>
        <v>0</v>
      </c>
      <c r="HJR77" s="223">
        <f xml:space="preserve"> InputsTS!HJR$184</f>
        <v>0</v>
      </c>
      <c r="HJS77" s="223">
        <f xml:space="preserve"> InputsTS!HJS$184</f>
        <v>0</v>
      </c>
      <c r="HJT77" s="223">
        <f xml:space="preserve"> InputsTS!HJT$184</f>
        <v>0</v>
      </c>
      <c r="HJU77" s="223">
        <f xml:space="preserve"> InputsTS!HJU$184</f>
        <v>0</v>
      </c>
      <c r="HJV77" s="223">
        <f xml:space="preserve"> InputsTS!HJV$184</f>
        <v>0</v>
      </c>
      <c r="HJW77" s="223">
        <f xml:space="preserve"> InputsTS!HJW$184</f>
        <v>0</v>
      </c>
      <c r="HJX77" s="223">
        <f xml:space="preserve"> InputsTS!HJX$184</f>
        <v>0</v>
      </c>
      <c r="HJY77" s="223">
        <f xml:space="preserve"> InputsTS!HJY$184</f>
        <v>0</v>
      </c>
      <c r="HJZ77" s="223">
        <f xml:space="preserve"> InputsTS!HJZ$184</f>
        <v>0</v>
      </c>
      <c r="HKA77" s="223">
        <f xml:space="preserve"> InputsTS!HKA$184</f>
        <v>0</v>
      </c>
      <c r="HKB77" s="223">
        <f xml:space="preserve"> InputsTS!HKB$184</f>
        <v>0</v>
      </c>
      <c r="HKC77" s="223">
        <f xml:space="preserve"> InputsTS!HKC$184</f>
        <v>0</v>
      </c>
      <c r="HKD77" s="223">
        <f xml:space="preserve"> InputsTS!HKD$184</f>
        <v>0</v>
      </c>
      <c r="HKE77" s="223">
        <f xml:space="preserve"> InputsTS!HKE$184</f>
        <v>0</v>
      </c>
      <c r="HKF77" s="223">
        <f xml:space="preserve"> InputsTS!HKF$184</f>
        <v>0</v>
      </c>
      <c r="HKG77" s="223">
        <f xml:space="preserve"> InputsTS!HKG$184</f>
        <v>0</v>
      </c>
      <c r="HKH77" s="223">
        <f xml:space="preserve"> InputsTS!HKH$184</f>
        <v>0</v>
      </c>
      <c r="HKI77" s="223">
        <f xml:space="preserve"> InputsTS!HKI$184</f>
        <v>0</v>
      </c>
      <c r="HKJ77" s="223">
        <f xml:space="preserve"> InputsTS!HKJ$184</f>
        <v>0</v>
      </c>
      <c r="HKK77" s="223">
        <f xml:space="preserve"> InputsTS!HKK$184</f>
        <v>0</v>
      </c>
      <c r="HKL77" s="223">
        <f xml:space="preserve"> InputsTS!HKL$184</f>
        <v>0</v>
      </c>
      <c r="HKM77" s="223">
        <f xml:space="preserve"> InputsTS!HKM$184</f>
        <v>0</v>
      </c>
      <c r="HKN77" s="223">
        <f xml:space="preserve"> InputsTS!HKN$184</f>
        <v>0</v>
      </c>
      <c r="HKO77" s="223">
        <f xml:space="preserve"> InputsTS!HKO$184</f>
        <v>0</v>
      </c>
      <c r="HKP77" s="223">
        <f xml:space="preserve"> InputsTS!HKP$184</f>
        <v>0</v>
      </c>
      <c r="HKQ77" s="223">
        <f xml:space="preserve"> InputsTS!HKQ$184</f>
        <v>0</v>
      </c>
      <c r="HKR77" s="223">
        <f xml:space="preserve"> InputsTS!HKR$184</f>
        <v>0</v>
      </c>
      <c r="HKS77" s="223">
        <f xml:space="preserve"> InputsTS!HKS$184</f>
        <v>0</v>
      </c>
      <c r="HKT77" s="223">
        <f xml:space="preserve"> InputsTS!HKT$184</f>
        <v>0</v>
      </c>
      <c r="HKU77" s="223">
        <f xml:space="preserve"> InputsTS!HKU$184</f>
        <v>0</v>
      </c>
      <c r="HKV77" s="223">
        <f xml:space="preserve"> InputsTS!HKV$184</f>
        <v>0</v>
      </c>
      <c r="HKW77" s="223">
        <f xml:space="preserve"> InputsTS!HKW$184</f>
        <v>0</v>
      </c>
      <c r="HKX77" s="223">
        <f xml:space="preserve"> InputsTS!HKX$184</f>
        <v>0</v>
      </c>
      <c r="HKY77" s="223">
        <f xml:space="preserve"> InputsTS!HKY$184</f>
        <v>0</v>
      </c>
      <c r="HKZ77" s="223">
        <f xml:space="preserve"> InputsTS!HKZ$184</f>
        <v>0</v>
      </c>
      <c r="HLA77" s="223">
        <f xml:space="preserve"> InputsTS!HLA$184</f>
        <v>0</v>
      </c>
      <c r="HLB77" s="223">
        <f xml:space="preserve"> InputsTS!HLB$184</f>
        <v>0</v>
      </c>
      <c r="HLC77" s="223">
        <f xml:space="preserve"> InputsTS!HLC$184</f>
        <v>0</v>
      </c>
      <c r="HLD77" s="223">
        <f xml:space="preserve"> InputsTS!HLD$184</f>
        <v>0</v>
      </c>
      <c r="HLE77" s="223">
        <f xml:space="preserve"> InputsTS!HLE$184</f>
        <v>0</v>
      </c>
      <c r="HLF77" s="223">
        <f xml:space="preserve"> InputsTS!HLF$184</f>
        <v>0</v>
      </c>
      <c r="HLG77" s="223">
        <f xml:space="preserve"> InputsTS!HLG$184</f>
        <v>0</v>
      </c>
      <c r="HLH77" s="223">
        <f xml:space="preserve"> InputsTS!HLH$184</f>
        <v>0</v>
      </c>
      <c r="HLI77" s="223">
        <f xml:space="preserve"> InputsTS!HLI$184</f>
        <v>0</v>
      </c>
      <c r="HLJ77" s="223">
        <f xml:space="preserve"> InputsTS!HLJ$184</f>
        <v>0</v>
      </c>
      <c r="HLK77" s="223">
        <f xml:space="preserve"> InputsTS!HLK$184</f>
        <v>0</v>
      </c>
      <c r="HLL77" s="223">
        <f xml:space="preserve"> InputsTS!HLL$184</f>
        <v>0</v>
      </c>
      <c r="HLM77" s="223">
        <f xml:space="preserve"> InputsTS!HLM$184</f>
        <v>0</v>
      </c>
      <c r="HLN77" s="223">
        <f xml:space="preserve"> InputsTS!HLN$184</f>
        <v>0</v>
      </c>
      <c r="HLO77" s="223">
        <f xml:space="preserve"> InputsTS!HLO$184</f>
        <v>0</v>
      </c>
      <c r="HLP77" s="223">
        <f xml:space="preserve"> InputsTS!HLP$184</f>
        <v>0</v>
      </c>
      <c r="HLQ77" s="223">
        <f xml:space="preserve"> InputsTS!HLQ$184</f>
        <v>0</v>
      </c>
      <c r="HLR77" s="223">
        <f xml:space="preserve"> InputsTS!HLR$184</f>
        <v>0</v>
      </c>
      <c r="HLS77" s="223">
        <f xml:space="preserve"> InputsTS!HLS$184</f>
        <v>0</v>
      </c>
      <c r="HLT77" s="223">
        <f xml:space="preserve"> InputsTS!HLT$184</f>
        <v>0</v>
      </c>
      <c r="HLU77" s="223">
        <f xml:space="preserve"> InputsTS!HLU$184</f>
        <v>0</v>
      </c>
      <c r="HLV77" s="223">
        <f xml:space="preserve"> InputsTS!HLV$184</f>
        <v>0</v>
      </c>
      <c r="HLW77" s="223">
        <f xml:space="preserve"> InputsTS!HLW$184</f>
        <v>0</v>
      </c>
      <c r="HLX77" s="223">
        <f xml:space="preserve"> InputsTS!HLX$184</f>
        <v>0</v>
      </c>
      <c r="HLY77" s="223">
        <f xml:space="preserve"> InputsTS!HLY$184</f>
        <v>0</v>
      </c>
      <c r="HLZ77" s="223">
        <f xml:space="preserve"> InputsTS!HLZ$184</f>
        <v>0</v>
      </c>
      <c r="HMA77" s="223">
        <f xml:space="preserve"> InputsTS!HMA$184</f>
        <v>0</v>
      </c>
      <c r="HMB77" s="223">
        <f xml:space="preserve"> InputsTS!HMB$184</f>
        <v>0</v>
      </c>
      <c r="HMC77" s="223">
        <f xml:space="preserve"> InputsTS!HMC$184</f>
        <v>0</v>
      </c>
      <c r="HMD77" s="223">
        <f xml:space="preserve"> InputsTS!HMD$184</f>
        <v>0</v>
      </c>
      <c r="HME77" s="223">
        <f xml:space="preserve"> InputsTS!HME$184</f>
        <v>0</v>
      </c>
      <c r="HMF77" s="223">
        <f xml:space="preserve"> InputsTS!HMF$184</f>
        <v>0</v>
      </c>
      <c r="HMG77" s="223">
        <f xml:space="preserve"> InputsTS!HMG$184</f>
        <v>0</v>
      </c>
      <c r="HMH77" s="223">
        <f xml:space="preserve"> InputsTS!HMH$184</f>
        <v>0</v>
      </c>
      <c r="HMI77" s="223">
        <f xml:space="preserve"> InputsTS!HMI$184</f>
        <v>0</v>
      </c>
      <c r="HMJ77" s="223">
        <f xml:space="preserve"> InputsTS!HMJ$184</f>
        <v>0</v>
      </c>
      <c r="HMK77" s="223">
        <f xml:space="preserve"> InputsTS!HMK$184</f>
        <v>0</v>
      </c>
      <c r="HML77" s="223">
        <f xml:space="preserve"> InputsTS!HML$184</f>
        <v>0</v>
      </c>
      <c r="HMM77" s="223">
        <f xml:space="preserve"> InputsTS!HMM$184</f>
        <v>0</v>
      </c>
      <c r="HMN77" s="223">
        <f xml:space="preserve"> InputsTS!HMN$184</f>
        <v>0</v>
      </c>
      <c r="HMO77" s="223">
        <f xml:space="preserve"> InputsTS!HMO$184</f>
        <v>0</v>
      </c>
      <c r="HMP77" s="223">
        <f xml:space="preserve"> InputsTS!HMP$184</f>
        <v>0</v>
      </c>
      <c r="HMQ77" s="223">
        <f xml:space="preserve"> InputsTS!HMQ$184</f>
        <v>0</v>
      </c>
      <c r="HMR77" s="223">
        <f xml:space="preserve"> InputsTS!HMR$184</f>
        <v>0</v>
      </c>
      <c r="HMS77" s="223">
        <f xml:space="preserve"> InputsTS!HMS$184</f>
        <v>0</v>
      </c>
      <c r="HMT77" s="223">
        <f xml:space="preserve"> InputsTS!HMT$184</f>
        <v>0</v>
      </c>
      <c r="HMU77" s="223">
        <f xml:space="preserve"> InputsTS!HMU$184</f>
        <v>0</v>
      </c>
      <c r="HMV77" s="223">
        <f xml:space="preserve"> InputsTS!HMV$184</f>
        <v>0</v>
      </c>
      <c r="HMW77" s="223">
        <f xml:space="preserve"> InputsTS!HMW$184</f>
        <v>0</v>
      </c>
      <c r="HMX77" s="223">
        <f xml:space="preserve"> InputsTS!HMX$184</f>
        <v>0</v>
      </c>
      <c r="HMY77" s="223">
        <f xml:space="preserve"> InputsTS!HMY$184</f>
        <v>0</v>
      </c>
      <c r="HMZ77" s="223">
        <f xml:space="preserve"> InputsTS!HMZ$184</f>
        <v>0</v>
      </c>
      <c r="HNA77" s="223">
        <f xml:space="preserve"> InputsTS!HNA$184</f>
        <v>0</v>
      </c>
      <c r="HNB77" s="223">
        <f xml:space="preserve"> InputsTS!HNB$184</f>
        <v>0</v>
      </c>
      <c r="HNC77" s="223">
        <f xml:space="preserve"> InputsTS!HNC$184</f>
        <v>0</v>
      </c>
      <c r="HND77" s="223">
        <f xml:space="preserve"> InputsTS!HND$184</f>
        <v>0</v>
      </c>
      <c r="HNE77" s="223">
        <f xml:space="preserve"> InputsTS!HNE$184</f>
        <v>0</v>
      </c>
      <c r="HNF77" s="223">
        <f xml:space="preserve"> InputsTS!HNF$184</f>
        <v>0</v>
      </c>
      <c r="HNG77" s="223">
        <f xml:space="preserve"> InputsTS!HNG$184</f>
        <v>0</v>
      </c>
      <c r="HNH77" s="223">
        <f xml:space="preserve"> InputsTS!HNH$184</f>
        <v>0</v>
      </c>
      <c r="HNI77" s="223">
        <f xml:space="preserve"> InputsTS!HNI$184</f>
        <v>0</v>
      </c>
      <c r="HNJ77" s="223">
        <f xml:space="preserve"> InputsTS!HNJ$184</f>
        <v>0</v>
      </c>
      <c r="HNK77" s="223">
        <f xml:space="preserve"> InputsTS!HNK$184</f>
        <v>0</v>
      </c>
      <c r="HNL77" s="223">
        <f xml:space="preserve"> InputsTS!HNL$184</f>
        <v>0</v>
      </c>
      <c r="HNM77" s="223">
        <f xml:space="preserve"> InputsTS!HNM$184</f>
        <v>0</v>
      </c>
      <c r="HNN77" s="223">
        <f xml:space="preserve"> InputsTS!HNN$184</f>
        <v>0</v>
      </c>
      <c r="HNO77" s="223">
        <f xml:space="preserve"> InputsTS!HNO$184</f>
        <v>0</v>
      </c>
      <c r="HNP77" s="223">
        <f xml:space="preserve"> InputsTS!HNP$184</f>
        <v>0</v>
      </c>
      <c r="HNQ77" s="223">
        <f xml:space="preserve"> InputsTS!HNQ$184</f>
        <v>0</v>
      </c>
      <c r="HNR77" s="223">
        <f xml:space="preserve"> InputsTS!HNR$184</f>
        <v>0</v>
      </c>
      <c r="HNS77" s="223">
        <f xml:space="preserve"> InputsTS!HNS$184</f>
        <v>0</v>
      </c>
      <c r="HNT77" s="223">
        <f xml:space="preserve"> InputsTS!HNT$184</f>
        <v>0</v>
      </c>
      <c r="HNU77" s="223">
        <f xml:space="preserve"> InputsTS!HNU$184</f>
        <v>0</v>
      </c>
      <c r="HNV77" s="223">
        <f xml:space="preserve"> InputsTS!HNV$184</f>
        <v>0</v>
      </c>
      <c r="HNW77" s="223">
        <f xml:space="preserve"> InputsTS!HNW$184</f>
        <v>0</v>
      </c>
      <c r="HNX77" s="223">
        <f xml:space="preserve"> InputsTS!HNX$184</f>
        <v>0</v>
      </c>
      <c r="HNY77" s="223">
        <f xml:space="preserve"> InputsTS!HNY$184</f>
        <v>0</v>
      </c>
      <c r="HNZ77" s="223">
        <f xml:space="preserve"> InputsTS!HNZ$184</f>
        <v>0</v>
      </c>
      <c r="HOA77" s="223">
        <f xml:space="preserve"> InputsTS!HOA$184</f>
        <v>0</v>
      </c>
      <c r="HOB77" s="223">
        <f xml:space="preserve"> InputsTS!HOB$184</f>
        <v>0</v>
      </c>
      <c r="HOC77" s="223">
        <f xml:space="preserve"> InputsTS!HOC$184</f>
        <v>0</v>
      </c>
      <c r="HOD77" s="223">
        <f xml:space="preserve"> InputsTS!HOD$184</f>
        <v>0</v>
      </c>
      <c r="HOE77" s="223">
        <f xml:space="preserve"> InputsTS!HOE$184</f>
        <v>0</v>
      </c>
      <c r="HOF77" s="223">
        <f xml:space="preserve"> InputsTS!HOF$184</f>
        <v>0</v>
      </c>
      <c r="HOG77" s="223">
        <f xml:space="preserve"> InputsTS!HOG$184</f>
        <v>0</v>
      </c>
      <c r="HOH77" s="223">
        <f xml:space="preserve"> InputsTS!HOH$184</f>
        <v>0</v>
      </c>
      <c r="HOI77" s="223">
        <f xml:space="preserve"> InputsTS!HOI$184</f>
        <v>0</v>
      </c>
      <c r="HOJ77" s="223">
        <f xml:space="preserve"> InputsTS!HOJ$184</f>
        <v>0</v>
      </c>
      <c r="HOK77" s="223">
        <f xml:space="preserve"> InputsTS!HOK$184</f>
        <v>0</v>
      </c>
      <c r="HOL77" s="223">
        <f xml:space="preserve"> InputsTS!HOL$184</f>
        <v>0</v>
      </c>
      <c r="HOM77" s="223">
        <f xml:space="preserve"> InputsTS!HOM$184</f>
        <v>0</v>
      </c>
      <c r="HON77" s="223">
        <f xml:space="preserve"> InputsTS!HON$184</f>
        <v>0</v>
      </c>
      <c r="HOO77" s="223">
        <f xml:space="preserve"> InputsTS!HOO$184</f>
        <v>0</v>
      </c>
      <c r="HOP77" s="223">
        <f xml:space="preserve"> InputsTS!HOP$184</f>
        <v>0</v>
      </c>
      <c r="HOQ77" s="223">
        <f xml:space="preserve"> InputsTS!HOQ$184</f>
        <v>0</v>
      </c>
      <c r="HOR77" s="223">
        <f xml:space="preserve"> InputsTS!HOR$184</f>
        <v>0</v>
      </c>
      <c r="HOS77" s="223">
        <f xml:space="preserve"> InputsTS!HOS$184</f>
        <v>0</v>
      </c>
      <c r="HOT77" s="223">
        <f xml:space="preserve"> InputsTS!HOT$184</f>
        <v>0</v>
      </c>
      <c r="HOU77" s="223">
        <f xml:space="preserve"> InputsTS!HOU$184</f>
        <v>0</v>
      </c>
      <c r="HOV77" s="223">
        <f xml:space="preserve"> InputsTS!HOV$184</f>
        <v>0</v>
      </c>
      <c r="HOW77" s="223">
        <f xml:space="preserve"> InputsTS!HOW$184</f>
        <v>0</v>
      </c>
      <c r="HOX77" s="223">
        <f xml:space="preserve"> InputsTS!HOX$184</f>
        <v>0</v>
      </c>
      <c r="HOY77" s="223">
        <f xml:space="preserve"> InputsTS!HOY$184</f>
        <v>0</v>
      </c>
      <c r="HOZ77" s="223">
        <f xml:space="preserve"> InputsTS!HOZ$184</f>
        <v>0</v>
      </c>
      <c r="HPA77" s="223">
        <f xml:space="preserve"> InputsTS!HPA$184</f>
        <v>0</v>
      </c>
      <c r="HPB77" s="223">
        <f xml:space="preserve"> InputsTS!HPB$184</f>
        <v>0</v>
      </c>
      <c r="HPC77" s="223">
        <f xml:space="preserve"> InputsTS!HPC$184</f>
        <v>0</v>
      </c>
      <c r="HPD77" s="223">
        <f xml:space="preserve"> InputsTS!HPD$184</f>
        <v>0</v>
      </c>
      <c r="HPE77" s="223">
        <f xml:space="preserve"> InputsTS!HPE$184</f>
        <v>0</v>
      </c>
      <c r="HPF77" s="223">
        <f xml:space="preserve"> InputsTS!HPF$184</f>
        <v>0</v>
      </c>
      <c r="HPG77" s="223">
        <f xml:space="preserve"> InputsTS!HPG$184</f>
        <v>0</v>
      </c>
      <c r="HPH77" s="223">
        <f xml:space="preserve"> InputsTS!HPH$184</f>
        <v>0</v>
      </c>
      <c r="HPI77" s="223">
        <f xml:space="preserve"> InputsTS!HPI$184</f>
        <v>0</v>
      </c>
      <c r="HPJ77" s="223">
        <f xml:space="preserve"> InputsTS!HPJ$184</f>
        <v>0</v>
      </c>
      <c r="HPK77" s="223">
        <f xml:space="preserve"> InputsTS!HPK$184</f>
        <v>0</v>
      </c>
      <c r="HPL77" s="223">
        <f xml:space="preserve"> InputsTS!HPL$184</f>
        <v>0</v>
      </c>
      <c r="HPM77" s="223">
        <f xml:space="preserve"> InputsTS!HPM$184</f>
        <v>0</v>
      </c>
      <c r="HPN77" s="223">
        <f xml:space="preserve"> InputsTS!HPN$184</f>
        <v>0</v>
      </c>
      <c r="HPO77" s="223">
        <f xml:space="preserve"> InputsTS!HPO$184</f>
        <v>0</v>
      </c>
      <c r="HPP77" s="223">
        <f xml:space="preserve"> InputsTS!HPP$184</f>
        <v>0</v>
      </c>
      <c r="HPQ77" s="223">
        <f xml:space="preserve"> InputsTS!HPQ$184</f>
        <v>0</v>
      </c>
      <c r="HPR77" s="223">
        <f xml:space="preserve"> InputsTS!HPR$184</f>
        <v>0</v>
      </c>
      <c r="HPS77" s="223">
        <f xml:space="preserve"> InputsTS!HPS$184</f>
        <v>0</v>
      </c>
      <c r="HPT77" s="223">
        <f xml:space="preserve"> InputsTS!HPT$184</f>
        <v>0</v>
      </c>
      <c r="HPU77" s="223">
        <f xml:space="preserve"> InputsTS!HPU$184</f>
        <v>0</v>
      </c>
      <c r="HPV77" s="223">
        <f xml:space="preserve"> InputsTS!HPV$184</f>
        <v>0</v>
      </c>
      <c r="HPW77" s="223">
        <f xml:space="preserve"> InputsTS!HPW$184</f>
        <v>0</v>
      </c>
      <c r="HPX77" s="223">
        <f xml:space="preserve"> InputsTS!HPX$184</f>
        <v>0</v>
      </c>
      <c r="HPY77" s="223">
        <f xml:space="preserve"> InputsTS!HPY$184</f>
        <v>0</v>
      </c>
      <c r="HPZ77" s="223">
        <f xml:space="preserve"> InputsTS!HPZ$184</f>
        <v>0</v>
      </c>
      <c r="HQA77" s="223">
        <f xml:space="preserve"> InputsTS!HQA$184</f>
        <v>0</v>
      </c>
      <c r="HQB77" s="223">
        <f xml:space="preserve"> InputsTS!HQB$184</f>
        <v>0</v>
      </c>
      <c r="HQC77" s="223">
        <f xml:space="preserve"> InputsTS!HQC$184</f>
        <v>0</v>
      </c>
      <c r="HQD77" s="223">
        <f xml:space="preserve"> InputsTS!HQD$184</f>
        <v>0</v>
      </c>
      <c r="HQE77" s="223">
        <f xml:space="preserve"> InputsTS!HQE$184</f>
        <v>0</v>
      </c>
      <c r="HQF77" s="223">
        <f xml:space="preserve"> InputsTS!HQF$184</f>
        <v>0</v>
      </c>
      <c r="HQG77" s="223">
        <f xml:space="preserve"> InputsTS!HQG$184</f>
        <v>0</v>
      </c>
      <c r="HQH77" s="223">
        <f xml:space="preserve"> InputsTS!HQH$184</f>
        <v>0</v>
      </c>
      <c r="HQI77" s="223">
        <f xml:space="preserve"> InputsTS!HQI$184</f>
        <v>0</v>
      </c>
      <c r="HQJ77" s="223">
        <f xml:space="preserve"> InputsTS!HQJ$184</f>
        <v>0</v>
      </c>
      <c r="HQK77" s="223">
        <f xml:space="preserve"> InputsTS!HQK$184</f>
        <v>0</v>
      </c>
      <c r="HQL77" s="223">
        <f xml:space="preserve"> InputsTS!HQL$184</f>
        <v>0</v>
      </c>
      <c r="HQM77" s="223">
        <f xml:space="preserve"> InputsTS!HQM$184</f>
        <v>0</v>
      </c>
      <c r="HQN77" s="223">
        <f xml:space="preserve"> InputsTS!HQN$184</f>
        <v>0</v>
      </c>
      <c r="HQO77" s="223">
        <f xml:space="preserve"> InputsTS!HQO$184</f>
        <v>0</v>
      </c>
      <c r="HQP77" s="223">
        <f xml:space="preserve"> InputsTS!HQP$184</f>
        <v>0</v>
      </c>
      <c r="HQQ77" s="223">
        <f xml:space="preserve"> InputsTS!HQQ$184</f>
        <v>0</v>
      </c>
      <c r="HQR77" s="223">
        <f xml:space="preserve"> InputsTS!HQR$184</f>
        <v>0</v>
      </c>
      <c r="HQS77" s="223">
        <f xml:space="preserve"> InputsTS!HQS$184</f>
        <v>0</v>
      </c>
      <c r="HQT77" s="223">
        <f xml:space="preserve"> InputsTS!HQT$184</f>
        <v>0</v>
      </c>
      <c r="HQU77" s="223">
        <f xml:space="preserve"> InputsTS!HQU$184</f>
        <v>0</v>
      </c>
      <c r="HQV77" s="223">
        <f xml:space="preserve"> InputsTS!HQV$184</f>
        <v>0</v>
      </c>
      <c r="HQW77" s="223">
        <f xml:space="preserve"> InputsTS!HQW$184</f>
        <v>0</v>
      </c>
      <c r="HQX77" s="223">
        <f xml:space="preserve"> InputsTS!HQX$184</f>
        <v>0</v>
      </c>
      <c r="HQY77" s="223">
        <f xml:space="preserve"> InputsTS!HQY$184</f>
        <v>0</v>
      </c>
      <c r="HQZ77" s="223">
        <f xml:space="preserve"> InputsTS!HQZ$184</f>
        <v>0</v>
      </c>
      <c r="HRA77" s="223">
        <f xml:space="preserve"> InputsTS!HRA$184</f>
        <v>0</v>
      </c>
      <c r="HRB77" s="223">
        <f xml:space="preserve"> InputsTS!HRB$184</f>
        <v>0</v>
      </c>
      <c r="HRC77" s="223">
        <f xml:space="preserve"> InputsTS!HRC$184</f>
        <v>0</v>
      </c>
      <c r="HRD77" s="223">
        <f xml:space="preserve"> InputsTS!HRD$184</f>
        <v>0</v>
      </c>
      <c r="HRE77" s="223">
        <f xml:space="preserve"> InputsTS!HRE$184</f>
        <v>0</v>
      </c>
      <c r="HRF77" s="223">
        <f xml:space="preserve"> InputsTS!HRF$184</f>
        <v>0</v>
      </c>
      <c r="HRG77" s="223">
        <f xml:space="preserve"> InputsTS!HRG$184</f>
        <v>0</v>
      </c>
      <c r="HRH77" s="223">
        <f xml:space="preserve"> InputsTS!HRH$184</f>
        <v>0</v>
      </c>
      <c r="HRI77" s="223">
        <f xml:space="preserve"> InputsTS!HRI$184</f>
        <v>0</v>
      </c>
      <c r="HRJ77" s="223">
        <f xml:space="preserve"> InputsTS!HRJ$184</f>
        <v>0</v>
      </c>
      <c r="HRK77" s="223">
        <f xml:space="preserve"> InputsTS!HRK$184</f>
        <v>0</v>
      </c>
      <c r="HRL77" s="223">
        <f xml:space="preserve"> InputsTS!HRL$184</f>
        <v>0</v>
      </c>
      <c r="HRM77" s="223">
        <f xml:space="preserve"> InputsTS!HRM$184</f>
        <v>0</v>
      </c>
      <c r="HRN77" s="223">
        <f xml:space="preserve"> InputsTS!HRN$184</f>
        <v>0</v>
      </c>
      <c r="HRO77" s="223">
        <f xml:space="preserve"> InputsTS!HRO$184</f>
        <v>0</v>
      </c>
      <c r="HRP77" s="223">
        <f xml:space="preserve"> InputsTS!HRP$184</f>
        <v>0</v>
      </c>
      <c r="HRQ77" s="223">
        <f xml:space="preserve"> InputsTS!HRQ$184</f>
        <v>0</v>
      </c>
      <c r="HRR77" s="223">
        <f xml:space="preserve"> InputsTS!HRR$184</f>
        <v>0</v>
      </c>
      <c r="HRS77" s="223">
        <f xml:space="preserve"> InputsTS!HRS$184</f>
        <v>0</v>
      </c>
      <c r="HRT77" s="223">
        <f xml:space="preserve"> InputsTS!HRT$184</f>
        <v>0</v>
      </c>
      <c r="HRU77" s="223">
        <f xml:space="preserve"> InputsTS!HRU$184</f>
        <v>0</v>
      </c>
      <c r="HRV77" s="223">
        <f xml:space="preserve"> InputsTS!HRV$184</f>
        <v>0</v>
      </c>
      <c r="HRW77" s="223">
        <f xml:space="preserve"> InputsTS!HRW$184</f>
        <v>0</v>
      </c>
      <c r="HRX77" s="223">
        <f xml:space="preserve"> InputsTS!HRX$184</f>
        <v>0</v>
      </c>
      <c r="HRY77" s="223">
        <f xml:space="preserve"> InputsTS!HRY$184</f>
        <v>0</v>
      </c>
      <c r="HRZ77" s="223">
        <f xml:space="preserve"> InputsTS!HRZ$184</f>
        <v>0</v>
      </c>
      <c r="HSA77" s="223">
        <f xml:space="preserve"> InputsTS!HSA$184</f>
        <v>0</v>
      </c>
      <c r="HSB77" s="223">
        <f xml:space="preserve"> InputsTS!HSB$184</f>
        <v>0</v>
      </c>
      <c r="HSC77" s="223">
        <f xml:space="preserve"> InputsTS!HSC$184</f>
        <v>0</v>
      </c>
      <c r="HSD77" s="223">
        <f xml:space="preserve"> InputsTS!HSD$184</f>
        <v>0</v>
      </c>
      <c r="HSE77" s="223">
        <f xml:space="preserve"> InputsTS!HSE$184</f>
        <v>0</v>
      </c>
      <c r="HSF77" s="223">
        <f xml:space="preserve"> InputsTS!HSF$184</f>
        <v>0</v>
      </c>
      <c r="HSG77" s="223">
        <f xml:space="preserve"> InputsTS!HSG$184</f>
        <v>0</v>
      </c>
      <c r="HSH77" s="223">
        <f xml:space="preserve"> InputsTS!HSH$184</f>
        <v>0</v>
      </c>
      <c r="HSI77" s="223">
        <f xml:space="preserve"> InputsTS!HSI$184</f>
        <v>0</v>
      </c>
      <c r="HSJ77" s="223">
        <f xml:space="preserve"> InputsTS!HSJ$184</f>
        <v>0</v>
      </c>
      <c r="HSK77" s="223">
        <f xml:space="preserve"> InputsTS!HSK$184</f>
        <v>0</v>
      </c>
      <c r="HSL77" s="223">
        <f xml:space="preserve"> InputsTS!HSL$184</f>
        <v>0</v>
      </c>
      <c r="HSM77" s="223">
        <f xml:space="preserve"> InputsTS!HSM$184</f>
        <v>0</v>
      </c>
      <c r="HSN77" s="223">
        <f xml:space="preserve"> InputsTS!HSN$184</f>
        <v>0</v>
      </c>
      <c r="HSO77" s="223">
        <f xml:space="preserve"> InputsTS!HSO$184</f>
        <v>0</v>
      </c>
      <c r="HSP77" s="223">
        <f xml:space="preserve"> InputsTS!HSP$184</f>
        <v>0</v>
      </c>
      <c r="HSQ77" s="223">
        <f xml:space="preserve"> InputsTS!HSQ$184</f>
        <v>0</v>
      </c>
      <c r="HSR77" s="223">
        <f xml:space="preserve"> InputsTS!HSR$184</f>
        <v>0</v>
      </c>
      <c r="HSS77" s="223">
        <f xml:space="preserve"> InputsTS!HSS$184</f>
        <v>0</v>
      </c>
      <c r="HST77" s="223">
        <f xml:space="preserve"> InputsTS!HST$184</f>
        <v>0</v>
      </c>
      <c r="HSU77" s="223">
        <f xml:space="preserve"> InputsTS!HSU$184</f>
        <v>0</v>
      </c>
      <c r="HSV77" s="223">
        <f xml:space="preserve"> InputsTS!HSV$184</f>
        <v>0</v>
      </c>
      <c r="HSW77" s="223">
        <f xml:space="preserve"> InputsTS!HSW$184</f>
        <v>0</v>
      </c>
      <c r="HSX77" s="223">
        <f xml:space="preserve"> InputsTS!HSX$184</f>
        <v>0</v>
      </c>
      <c r="HSY77" s="223">
        <f xml:space="preserve"> InputsTS!HSY$184</f>
        <v>0</v>
      </c>
      <c r="HSZ77" s="223">
        <f xml:space="preserve"> InputsTS!HSZ$184</f>
        <v>0</v>
      </c>
      <c r="HTA77" s="223">
        <f xml:space="preserve"> InputsTS!HTA$184</f>
        <v>0</v>
      </c>
      <c r="HTB77" s="223">
        <f xml:space="preserve"> InputsTS!HTB$184</f>
        <v>0</v>
      </c>
      <c r="HTC77" s="223">
        <f xml:space="preserve"> InputsTS!HTC$184</f>
        <v>0</v>
      </c>
      <c r="HTD77" s="223">
        <f xml:space="preserve"> InputsTS!HTD$184</f>
        <v>0</v>
      </c>
      <c r="HTE77" s="223">
        <f xml:space="preserve"> InputsTS!HTE$184</f>
        <v>0</v>
      </c>
      <c r="HTF77" s="223">
        <f xml:space="preserve"> InputsTS!HTF$184</f>
        <v>0</v>
      </c>
      <c r="HTG77" s="223">
        <f xml:space="preserve"> InputsTS!HTG$184</f>
        <v>0</v>
      </c>
      <c r="HTH77" s="223">
        <f xml:space="preserve"> InputsTS!HTH$184</f>
        <v>0</v>
      </c>
      <c r="HTI77" s="223">
        <f xml:space="preserve"> InputsTS!HTI$184</f>
        <v>0</v>
      </c>
      <c r="HTJ77" s="223">
        <f xml:space="preserve"> InputsTS!HTJ$184</f>
        <v>0</v>
      </c>
      <c r="HTK77" s="223">
        <f xml:space="preserve"> InputsTS!HTK$184</f>
        <v>0</v>
      </c>
      <c r="HTL77" s="223">
        <f xml:space="preserve"> InputsTS!HTL$184</f>
        <v>0</v>
      </c>
      <c r="HTM77" s="223">
        <f xml:space="preserve"> InputsTS!HTM$184</f>
        <v>0</v>
      </c>
      <c r="HTN77" s="223">
        <f xml:space="preserve"> InputsTS!HTN$184</f>
        <v>0</v>
      </c>
      <c r="HTO77" s="223">
        <f xml:space="preserve"> InputsTS!HTO$184</f>
        <v>0</v>
      </c>
      <c r="HTP77" s="223">
        <f xml:space="preserve"> InputsTS!HTP$184</f>
        <v>0</v>
      </c>
      <c r="HTQ77" s="223">
        <f xml:space="preserve"> InputsTS!HTQ$184</f>
        <v>0</v>
      </c>
      <c r="HTR77" s="223">
        <f xml:space="preserve"> InputsTS!HTR$184</f>
        <v>0</v>
      </c>
      <c r="HTS77" s="223">
        <f xml:space="preserve"> InputsTS!HTS$184</f>
        <v>0</v>
      </c>
      <c r="HTT77" s="223">
        <f xml:space="preserve"> InputsTS!HTT$184</f>
        <v>0</v>
      </c>
      <c r="HTU77" s="223">
        <f xml:space="preserve"> InputsTS!HTU$184</f>
        <v>0</v>
      </c>
      <c r="HTV77" s="223">
        <f xml:space="preserve"> InputsTS!HTV$184</f>
        <v>0</v>
      </c>
      <c r="HTW77" s="223">
        <f xml:space="preserve"> InputsTS!HTW$184</f>
        <v>0</v>
      </c>
      <c r="HTX77" s="223">
        <f xml:space="preserve"> InputsTS!HTX$184</f>
        <v>0</v>
      </c>
      <c r="HTY77" s="223">
        <f xml:space="preserve"> InputsTS!HTY$184</f>
        <v>0</v>
      </c>
      <c r="HTZ77" s="223">
        <f xml:space="preserve"> InputsTS!HTZ$184</f>
        <v>0</v>
      </c>
      <c r="HUA77" s="223">
        <f xml:space="preserve"> InputsTS!HUA$184</f>
        <v>0</v>
      </c>
      <c r="HUB77" s="223">
        <f xml:space="preserve"> InputsTS!HUB$184</f>
        <v>0</v>
      </c>
      <c r="HUC77" s="223">
        <f xml:space="preserve"> InputsTS!HUC$184</f>
        <v>0</v>
      </c>
      <c r="HUD77" s="223">
        <f xml:space="preserve"> InputsTS!HUD$184</f>
        <v>0</v>
      </c>
      <c r="HUE77" s="223">
        <f xml:space="preserve"> InputsTS!HUE$184</f>
        <v>0</v>
      </c>
      <c r="HUF77" s="223">
        <f xml:space="preserve"> InputsTS!HUF$184</f>
        <v>0</v>
      </c>
      <c r="HUG77" s="223">
        <f xml:space="preserve"> InputsTS!HUG$184</f>
        <v>0</v>
      </c>
      <c r="HUH77" s="223">
        <f xml:space="preserve"> InputsTS!HUH$184</f>
        <v>0</v>
      </c>
      <c r="HUI77" s="223">
        <f xml:space="preserve"> InputsTS!HUI$184</f>
        <v>0</v>
      </c>
      <c r="HUJ77" s="223">
        <f xml:space="preserve"> InputsTS!HUJ$184</f>
        <v>0</v>
      </c>
      <c r="HUK77" s="223">
        <f xml:space="preserve"> InputsTS!HUK$184</f>
        <v>0</v>
      </c>
      <c r="HUL77" s="223">
        <f xml:space="preserve"> InputsTS!HUL$184</f>
        <v>0</v>
      </c>
      <c r="HUM77" s="223">
        <f xml:space="preserve"> InputsTS!HUM$184</f>
        <v>0</v>
      </c>
      <c r="HUN77" s="223">
        <f xml:space="preserve"> InputsTS!HUN$184</f>
        <v>0</v>
      </c>
      <c r="HUO77" s="223">
        <f xml:space="preserve"> InputsTS!HUO$184</f>
        <v>0</v>
      </c>
      <c r="HUP77" s="223">
        <f xml:space="preserve"> InputsTS!HUP$184</f>
        <v>0</v>
      </c>
      <c r="HUQ77" s="223">
        <f xml:space="preserve"> InputsTS!HUQ$184</f>
        <v>0</v>
      </c>
      <c r="HUR77" s="223">
        <f xml:space="preserve"> InputsTS!HUR$184</f>
        <v>0</v>
      </c>
      <c r="HUS77" s="223">
        <f xml:space="preserve"> InputsTS!HUS$184</f>
        <v>0</v>
      </c>
      <c r="HUT77" s="223">
        <f xml:space="preserve"> InputsTS!HUT$184</f>
        <v>0</v>
      </c>
      <c r="HUU77" s="223">
        <f xml:space="preserve"> InputsTS!HUU$184</f>
        <v>0</v>
      </c>
      <c r="HUV77" s="223">
        <f xml:space="preserve"> InputsTS!HUV$184</f>
        <v>0</v>
      </c>
      <c r="HUW77" s="223">
        <f xml:space="preserve"> InputsTS!HUW$184</f>
        <v>0</v>
      </c>
      <c r="HUX77" s="223">
        <f xml:space="preserve"> InputsTS!HUX$184</f>
        <v>0</v>
      </c>
      <c r="HUY77" s="223">
        <f xml:space="preserve"> InputsTS!HUY$184</f>
        <v>0</v>
      </c>
      <c r="HUZ77" s="223">
        <f xml:space="preserve"> InputsTS!HUZ$184</f>
        <v>0</v>
      </c>
      <c r="HVA77" s="223">
        <f xml:space="preserve"> InputsTS!HVA$184</f>
        <v>0</v>
      </c>
      <c r="HVB77" s="223">
        <f xml:space="preserve"> InputsTS!HVB$184</f>
        <v>0</v>
      </c>
      <c r="HVC77" s="223">
        <f xml:space="preserve"> InputsTS!HVC$184</f>
        <v>0</v>
      </c>
      <c r="HVD77" s="223">
        <f xml:space="preserve"> InputsTS!HVD$184</f>
        <v>0</v>
      </c>
      <c r="HVE77" s="223">
        <f xml:space="preserve"> InputsTS!HVE$184</f>
        <v>0</v>
      </c>
      <c r="HVF77" s="223">
        <f xml:space="preserve"> InputsTS!HVF$184</f>
        <v>0</v>
      </c>
      <c r="HVG77" s="223">
        <f xml:space="preserve"> InputsTS!HVG$184</f>
        <v>0</v>
      </c>
      <c r="HVH77" s="223">
        <f xml:space="preserve"> InputsTS!HVH$184</f>
        <v>0</v>
      </c>
      <c r="HVI77" s="223">
        <f xml:space="preserve"> InputsTS!HVI$184</f>
        <v>0</v>
      </c>
      <c r="HVJ77" s="223">
        <f xml:space="preserve"> InputsTS!HVJ$184</f>
        <v>0</v>
      </c>
      <c r="HVK77" s="223">
        <f xml:space="preserve"> InputsTS!HVK$184</f>
        <v>0</v>
      </c>
      <c r="HVL77" s="223">
        <f xml:space="preserve"> InputsTS!HVL$184</f>
        <v>0</v>
      </c>
      <c r="HVM77" s="223">
        <f xml:space="preserve"> InputsTS!HVM$184</f>
        <v>0</v>
      </c>
      <c r="HVN77" s="223">
        <f xml:space="preserve"> InputsTS!HVN$184</f>
        <v>0</v>
      </c>
      <c r="HVO77" s="223">
        <f xml:space="preserve"> InputsTS!HVO$184</f>
        <v>0</v>
      </c>
      <c r="HVP77" s="223">
        <f xml:space="preserve"> InputsTS!HVP$184</f>
        <v>0</v>
      </c>
      <c r="HVQ77" s="223">
        <f xml:space="preserve"> InputsTS!HVQ$184</f>
        <v>0</v>
      </c>
      <c r="HVR77" s="223">
        <f xml:space="preserve"> InputsTS!HVR$184</f>
        <v>0</v>
      </c>
      <c r="HVS77" s="223">
        <f xml:space="preserve"> InputsTS!HVS$184</f>
        <v>0</v>
      </c>
      <c r="HVT77" s="223">
        <f xml:space="preserve"> InputsTS!HVT$184</f>
        <v>0</v>
      </c>
      <c r="HVU77" s="223">
        <f xml:space="preserve"> InputsTS!HVU$184</f>
        <v>0</v>
      </c>
      <c r="HVV77" s="223">
        <f xml:space="preserve"> InputsTS!HVV$184</f>
        <v>0</v>
      </c>
      <c r="HVW77" s="223">
        <f xml:space="preserve"> InputsTS!HVW$184</f>
        <v>0</v>
      </c>
      <c r="HVX77" s="223">
        <f xml:space="preserve"> InputsTS!HVX$184</f>
        <v>0</v>
      </c>
      <c r="HVY77" s="223">
        <f xml:space="preserve"> InputsTS!HVY$184</f>
        <v>0</v>
      </c>
      <c r="HVZ77" s="223">
        <f xml:space="preserve"> InputsTS!HVZ$184</f>
        <v>0</v>
      </c>
      <c r="HWA77" s="223">
        <f xml:space="preserve"> InputsTS!HWA$184</f>
        <v>0</v>
      </c>
      <c r="HWB77" s="223">
        <f xml:space="preserve"> InputsTS!HWB$184</f>
        <v>0</v>
      </c>
      <c r="HWC77" s="223">
        <f xml:space="preserve"> InputsTS!HWC$184</f>
        <v>0</v>
      </c>
      <c r="HWD77" s="223">
        <f xml:space="preserve"> InputsTS!HWD$184</f>
        <v>0</v>
      </c>
      <c r="HWE77" s="223">
        <f xml:space="preserve"> InputsTS!HWE$184</f>
        <v>0</v>
      </c>
      <c r="HWF77" s="223">
        <f xml:space="preserve"> InputsTS!HWF$184</f>
        <v>0</v>
      </c>
      <c r="HWG77" s="223">
        <f xml:space="preserve"> InputsTS!HWG$184</f>
        <v>0</v>
      </c>
      <c r="HWH77" s="223">
        <f xml:space="preserve"> InputsTS!HWH$184</f>
        <v>0</v>
      </c>
      <c r="HWI77" s="223">
        <f xml:space="preserve"> InputsTS!HWI$184</f>
        <v>0</v>
      </c>
      <c r="HWJ77" s="223">
        <f xml:space="preserve"> InputsTS!HWJ$184</f>
        <v>0</v>
      </c>
      <c r="HWK77" s="223">
        <f xml:space="preserve"> InputsTS!HWK$184</f>
        <v>0</v>
      </c>
      <c r="HWL77" s="223">
        <f xml:space="preserve"> InputsTS!HWL$184</f>
        <v>0</v>
      </c>
      <c r="HWM77" s="223">
        <f xml:space="preserve"> InputsTS!HWM$184</f>
        <v>0</v>
      </c>
      <c r="HWN77" s="223">
        <f xml:space="preserve"> InputsTS!HWN$184</f>
        <v>0</v>
      </c>
      <c r="HWO77" s="223">
        <f xml:space="preserve"> InputsTS!HWO$184</f>
        <v>0</v>
      </c>
      <c r="HWP77" s="223">
        <f xml:space="preserve"> InputsTS!HWP$184</f>
        <v>0</v>
      </c>
      <c r="HWQ77" s="223">
        <f xml:space="preserve"> InputsTS!HWQ$184</f>
        <v>0</v>
      </c>
      <c r="HWR77" s="223">
        <f xml:space="preserve"> InputsTS!HWR$184</f>
        <v>0</v>
      </c>
      <c r="HWS77" s="223">
        <f xml:space="preserve"> InputsTS!HWS$184</f>
        <v>0</v>
      </c>
      <c r="HWT77" s="223">
        <f xml:space="preserve"> InputsTS!HWT$184</f>
        <v>0</v>
      </c>
      <c r="HWU77" s="223">
        <f xml:space="preserve"> InputsTS!HWU$184</f>
        <v>0</v>
      </c>
      <c r="HWV77" s="223">
        <f xml:space="preserve"> InputsTS!HWV$184</f>
        <v>0</v>
      </c>
      <c r="HWW77" s="223">
        <f xml:space="preserve"> InputsTS!HWW$184</f>
        <v>0</v>
      </c>
      <c r="HWX77" s="223">
        <f xml:space="preserve"> InputsTS!HWX$184</f>
        <v>0</v>
      </c>
      <c r="HWY77" s="223">
        <f xml:space="preserve"> InputsTS!HWY$184</f>
        <v>0</v>
      </c>
      <c r="HWZ77" s="223">
        <f xml:space="preserve"> InputsTS!HWZ$184</f>
        <v>0</v>
      </c>
      <c r="HXA77" s="223">
        <f xml:space="preserve"> InputsTS!HXA$184</f>
        <v>0</v>
      </c>
      <c r="HXB77" s="223">
        <f xml:space="preserve"> InputsTS!HXB$184</f>
        <v>0</v>
      </c>
      <c r="HXC77" s="223">
        <f xml:space="preserve"> InputsTS!HXC$184</f>
        <v>0</v>
      </c>
      <c r="HXD77" s="223">
        <f xml:space="preserve"> InputsTS!HXD$184</f>
        <v>0</v>
      </c>
      <c r="HXE77" s="223">
        <f xml:space="preserve"> InputsTS!HXE$184</f>
        <v>0</v>
      </c>
      <c r="HXF77" s="223">
        <f xml:space="preserve"> InputsTS!HXF$184</f>
        <v>0</v>
      </c>
      <c r="HXG77" s="223">
        <f xml:space="preserve"> InputsTS!HXG$184</f>
        <v>0</v>
      </c>
      <c r="HXH77" s="223">
        <f xml:space="preserve"> InputsTS!HXH$184</f>
        <v>0</v>
      </c>
      <c r="HXI77" s="223">
        <f xml:space="preserve"> InputsTS!HXI$184</f>
        <v>0</v>
      </c>
      <c r="HXJ77" s="223">
        <f xml:space="preserve"> InputsTS!HXJ$184</f>
        <v>0</v>
      </c>
      <c r="HXK77" s="223">
        <f xml:space="preserve"> InputsTS!HXK$184</f>
        <v>0</v>
      </c>
      <c r="HXL77" s="223">
        <f xml:space="preserve"> InputsTS!HXL$184</f>
        <v>0</v>
      </c>
      <c r="HXM77" s="223">
        <f xml:space="preserve"> InputsTS!HXM$184</f>
        <v>0</v>
      </c>
      <c r="HXN77" s="223">
        <f xml:space="preserve"> InputsTS!HXN$184</f>
        <v>0</v>
      </c>
      <c r="HXO77" s="223">
        <f xml:space="preserve"> InputsTS!HXO$184</f>
        <v>0</v>
      </c>
      <c r="HXP77" s="223">
        <f xml:space="preserve"> InputsTS!HXP$184</f>
        <v>0</v>
      </c>
      <c r="HXQ77" s="223">
        <f xml:space="preserve"> InputsTS!HXQ$184</f>
        <v>0</v>
      </c>
      <c r="HXR77" s="223">
        <f xml:space="preserve"> InputsTS!HXR$184</f>
        <v>0</v>
      </c>
      <c r="HXS77" s="223">
        <f xml:space="preserve"> InputsTS!HXS$184</f>
        <v>0</v>
      </c>
      <c r="HXT77" s="223">
        <f xml:space="preserve"> InputsTS!HXT$184</f>
        <v>0</v>
      </c>
      <c r="HXU77" s="223">
        <f xml:space="preserve"> InputsTS!HXU$184</f>
        <v>0</v>
      </c>
      <c r="HXV77" s="223">
        <f xml:space="preserve"> InputsTS!HXV$184</f>
        <v>0</v>
      </c>
      <c r="HXW77" s="223">
        <f xml:space="preserve"> InputsTS!HXW$184</f>
        <v>0</v>
      </c>
      <c r="HXX77" s="223">
        <f xml:space="preserve"> InputsTS!HXX$184</f>
        <v>0</v>
      </c>
      <c r="HXY77" s="223">
        <f xml:space="preserve"> InputsTS!HXY$184</f>
        <v>0</v>
      </c>
      <c r="HXZ77" s="223">
        <f xml:space="preserve"> InputsTS!HXZ$184</f>
        <v>0</v>
      </c>
      <c r="HYA77" s="223">
        <f xml:space="preserve"> InputsTS!HYA$184</f>
        <v>0</v>
      </c>
      <c r="HYB77" s="223">
        <f xml:space="preserve"> InputsTS!HYB$184</f>
        <v>0</v>
      </c>
      <c r="HYC77" s="223">
        <f xml:space="preserve"> InputsTS!HYC$184</f>
        <v>0</v>
      </c>
      <c r="HYD77" s="223">
        <f xml:space="preserve"> InputsTS!HYD$184</f>
        <v>0</v>
      </c>
      <c r="HYE77" s="223">
        <f xml:space="preserve"> InputsTS!HYE$184</f>
        <v>0</v>
      </c>
      <c r="HYF77" s="223">
        <f xml:space="preserve"> InputsTS!HYF$184</f>
        <v>0</v>
      </c>
      <c r="HYG77" s="223">
        <f xml:space="preserve"> InputsTS!HYG$184</f>
        <v>0</v>
      </c>
      <c r="HYH77" s="223">
        <f xml:space="preserve"> InputsTS!HYH$184</f>
        <v>0</v>
      </c>
      <c r="HYI77" s="223">
        <f xml:space="preserve"> InputsTS!HYI$184</f>
        <v>0</v>
      </c>
      <c r="HYJ77" s="223">
        <f xml:space="preserve"> InputsTS!HYJ$184</f>
        <v>0</v>
      </c>
      <c r="HYK77" s="223">
        <f xml:space="preserve"> InputsTS!HYK$184</f>
        <v>0</v>
      </c>
      <c r="HYL77" s="223">
        <f xml:space="preserve"> InputsTS!HYL$184</f>
        <v>0</v>
      </c>
      <c r="HYM77" s="223">
        <f xml:space="preserve"> InputsTS!HYM$184</f>
        <v>0</v>
      </c>
      <c r="HYN77" s="223">
        <f xml:space="preserve"> InputsTS!HYN$184</f>
        <v>0</v>
      </c>
      <c r="HYO77" s="223">
        <f xml:space="preserve"> InputsTS!HYO$184</f>
        <v>0</v>
      </c>
      <c r="HYP77" s="223">
        <f xml:space="preserve"> InputsTS!HYP$184</f>
        <v>0</v>
      </c>
      <c r="HYQ77" s="223">
        <f xml:space="preserve"> InputsTS!HYQ$184</f>
        <v>0</v>
      </c>
      <c r="HYR77" s="223">
        <f xml:space="preserve"> InputsTS!HYR$184</f>
        <v>0</v>
      </c>
      <c r="HYS77" s="223">
        <f xml:space="preserve"> InputsTS!HYS$184</f>
        <v>0</v>
      </c>
      <c r="HYT77" s="223">
        <f xml:space="preserve"> InputsTS!HYT$184</f>
        <v>0</v>
      </c>
      <c r="HYU77" s="223">
        <f xml:space="preserve"> InputsTS!HYU$184</f>
        <v>0</v>
      </c>
      <c r="HYV77" s="223">
        <f xml:space="preserve"> InputsTS!HYV$184</f>
        <v>0</v>
      </c>
      <c r="HYW77" s="223">
        <f xml:space="preserve"> InputsTS!HYW$184</f>
        <v>0</v>
      </c>
      <c r="HYX77" s="223">
        <f xml:space="preserve"> InputsTS!HYX$184</f>
        <v>0</v>
      </c>
      <c r="HYY77" s="223">
        <f xml:space="preserve"> InputsTS!HYY$184</f>
        <v>0</v>
      </c>
      <c r="HYZ77" s="223">
        <f xml:space="preserve"> InputsTS!HYZ$184</f>
        <v>0</v>
      </c>
      <c r="HZA77" s="223">
        <f xml:space="preserve"> InputsTS!HZA$184</f>
        <v>0</v>
      </c>
      <c r="HZB77" s="223">
        <f xml:space="preserve"> InputsTS!HZB$184</f>
        <v>0</v>
      </c>
      <c r="HZC77" s="223">
        <f xml:space="preserve"> InputsTS!HZC$184</f>
        <v>0</v>
      </c>
      <c r="HZD77" s="223">
        <f xml:space="preserve"> InputsTS!HZD$184</f>
        <v>0</v>
      </c>
      <c r="HZE77" s="223">
        <f xml:space="preserve"> InputsTS!HZE$184</f>
        <v>0</v>
      </c>
      <c r="HZF77" s="223">
        <f xml:space="preserve"> InputsTS!HZF$184</f>
        <v>0</v>
      </c>
      <c r="HZG77" s="223">
        <f xml:space="preserve"> InputsTS!HZG$184</f>
        <v>0</v>
      </c>
      <c r="HZH77" s="223">
        <f xml:space="preserve"> InputsTS!HZH$184</f>
        <v>0</v>
      </c>
      <c r="HZI77" s="223">
        <f xml:space="preserve"> InputsTS!HZI$184</f>
        <v>0</v>
      </c>
      <c r="HZJ77" s="223">
        <f xml:space="preserve"> InputsTS!HZJ$184</f>
        <v>0</v>
      </c>
      <c r="HZK77" s="223">
        <f xml:space="preserve"> InputsTS!HZK$184</f>
        <v>0</v>
      </c>
      <c r="HZL77" s="223">
        <f xml:space="preserve"> InputsTS!HZL$184</f>
        <v>0</v>
      </c>
      <c r="HZM77" s="223">
        <f xml:space="preserve"> InputsTS!HZM$184</f>
        <v>0</v>
      </c>
      <c r="HZN77" s="223">
        <f xml:space="preserve"> InputsTS!HZN$184</f>
        <v>0</v>
      </c>
      <c r="HZO77" s="223">
        <f xml:space="preserve"> InputsTS!HZO$184</f>
        <v>0</v>
      </c>
      <c r="HZP77" s="223">
        <f xml:space="preserve"> InputsTS!HZP$184</f>
        <v>0</v>
      </c>
      <c r="HZQ77" s="223">
        <f xml:space="preserve"> InputsTS!HZQ$184</f>
        <v>0</v>
      </c>
      <c r="HZR77" s="223">
        <f xml:space="preserve"> InputsTS!HZR$184</f>
        <v>0</v>
      </c>
      <c r="HZS77" s="223">
        <f xml:space="preserve"> InputsTS!HZS$184</f>
        <v>0</v>
      </c>
      <c r="HZT77" s="223">
        <f xml:space="preserve"> InputsTS!HZT$184</f>
        <v>0</v>
      </c>
      <c r="HZU77" s="223">
        <f xml:space="preserve"> InputsTS!HZU$184</f>
        <v>0</v>
      </c>
      <c r="HZV77" s="223">
        <f xml:space="preserve"> InputsTS!HZV$184</f>
        <v>0</v>
      </c>
      <c r="HZW77" s="223">
        <f xml:space="preserve"> InputsTS!HZW$184</f>
        <v>0</v>
      </c>
      <c r="HZX77" s="223">
        <f xml:space="preserve"> InputsTS!HZX$184</f>
        <v>0</v>
      </c>
      <c r="HZY77" s="223">
        <f xml:space="preserve"> InputsTS!HZY$184</f>
        <v>0</v>
      </c>
      <c r="HZZ77" s="223">
        <f xml:space="preserve"> InputsTS!HZZ$184</f>
        <v>0</v>
      </c>
      <c r="IAA77" s="223">
        <f xml:space="preserve"> InputsTS!IAA$184</f>
        <v>0</v>
      </c>
      <c r="IAB77" s="223">
        <f xml:space="preserve"> InputsTS!IAB$184</f>
        <v>0</v>
      </c>
      <c r="IAC77" s="223">
        <f xml:space="preserve"> InputsTS!IAC$184</f>
        <v>0</v>
      </c>
      <c r="IAD77" s="223">
        <f xml:space="preserve"> InputsTS!IAD$184</f>
        <v>0</v>
      </c>
      <c r="IAE77" s="223">
        <f xml:space="preserve"> InputsTS!IAE$184</f>
        <v>0</v>
      </c>
      <c r="IAF77" s="223">
        <f xml:space="preserve"> InputsTS!IAF$184</f>
        <v>0</v>
      </c>
      <c r="IAG77" s="223">
        <f xml:space="preserve"> InputsTS!IAG$184</f>
        <v>0</v>
      </c>
      <c r="IAH77" s="223">
        <f xml:space="preserve"> InputsTS!IAH$184</f>
        <v>0</v>
      </c>
      <c r="IAI77" s="223">
        <f xml:space="preserve"> InputsTS!IAI$184</f>
        <v>0</v>
      </c>
      <c r="IAJ77" s="223">
        <f xml:space="preserve"> InputsTS!IAJ$184</f>
        <v>0</v>
      </c>
      <c r="IAK77" s="223">
        <f xml:space="preserve"> InputsTS!IAK$184</f>
        <v>0</v>
      </c>
      <c r="IAL77" s="223">
        <f xml:space="preserve"> InputsTS!IAL$184</f>
        <v>0</v>
      </c>
      <c r="IAM77" s="223">
        <f xml:space="preserve"> InputsTS!IAM$184</f>
        <v>0</v>
      </c>
      <c r="IAN77" s="223">
        <f xml:space="preserve"> InputsTS!IAN$184</f>
        <v>0</v>
      </c>
      <c r="IAO77" s="223">
        <f xml:space="preserve"> InputsTS!IAO$184</f>
        <v>0</v>
      </c>
      <c r="IAP77" s="223">
        <f xml:space="preserve"> InputsTS!IAP$184</f>
        <v>0</v>
      </c>
      <c r="IAQ77" s="223">
        <f xml:space="preserve"> InputsTS!IAQ$184</f>
        <v>0</v>
      </c>
      <c r="IAR77" s="223">
        <f xml:space="preserve"> InputsTS!IAR$184</f>
        <v>0</v>
      </c>
      <c r="IAS77" s="223">
        <f xml:space="preserve"> InputsTS!IAS$184</f>
        <v>0</v>
      </c>
      <c r="IAT77" s="223">
        <f xml:space="preserve"> InputsTS!IAT$184</f>
        <v>0</v>
      </c>
      <c r="IAU77" s="223">
        <f xml:space="preserve"> InputsTS!IAU$184</f>
        <v>0</v>
      </c>
      <c r="IAV77" s="223">
        <f xml:space="preserve"> InputsTS!IAV$184</f>
        <v>0</v>
      </c>
      <c r="IAW77" s="223">
        <f xml:space="preserve"> InputsTS!IAW$184</f>
        <v>0</v>
      </c>
      <c r="IAX77" s="223">
        <f xml:space="preserve"> InputsTS!IAX$184</f>
        <v>0</v>
      </c>
      <c r="IAY77" s="223">
        <f xml:space="preserve"> InputsTS!IAY$184</f>
        <v>0</v>
      </c>
      <c r="IAZ77" s="223">
        <f xml:space="preserve"> InputsTS!IAZ$184</f>
        <v>0</v>
      </c>
      <c r="IBA77" s="223">
        <f xml:space="preserve"> InputsTS!IBA$184</f>
        <v>0</v>
      </c>
      <c r="IBB77" s="223">
        <f xml:space="preserve"> InputsTS!IBB$184</f>
        <v>0</v>
      </c>
      <c r="IBC77" s="223">
        <f xml:space="preserve"> InputsTS!IBC$184</f>
        <v>0</v>
      </c>
      <c r="IBD77" s="223">
        <f xml:space="preserve"> InputsTS!IBD$184</f>
        <v>0</v>
      </c>
      <c r="IBE77" s="223">
        <f xml:space="preserve"> InputsTS!IBE$184</f>
        <v>0</v>
      </c>
      <c r="IBF77" s="223">
        <f xml:space="preserve"> InputsTS!IBF$184</f>
        <v>0</v>
      </c>
      <c r="IBG77" s="223">
        <f xml:space="preserve"> InputsTS!IBG$184</f>
        <v>0</v>
      </c>
      <c r="IBH77" s="223">
        <f xml:space="preserve"> InputsTS!IBH$184</f>
        <v>0</v>
      </c>
      <c r="IBI77" s="223">
        <f xml:space="preserve"> InputsTS!IBI$184</f>
        <v>0</v>
      </c>
      <c r="IBJ77" s="223">
        <f xml:space="preserve"> InputsTS!IBJ$184</f>
        <v>0</v>
      </c>
      <c r="IBK77" s="223">
        <f xml:space="preserve"> InputsTS!IBK$184</f>
        <v>0</v>
      </c>
      <c r="IBL77" s="223">
        <f xml:space="preserve"> InputsTS!IBL$184</f>
        <v>0</v>
      </c>
      <c r="IBM77" s="223">
        <f xml:space="preserve"> InputsTS!IBM$184</f>
        <v>0</v>
      </c>
      <c r="IBN77" s="223">
        <f xml:space="preserve"> InputsTS!IBN$184</f>
        <v>0</v>
      </c>
      <c r="IBO77" s="223">
        <f xml:space="preserve"> InputsTS!IBO$184</f>
        <v>0</v>
      </c>
      <c r="IBP77" s="223">
        <f xml:space="preserve"> InputsTS!IBP$184</f>
        <v>0</v>
      </c>
      <c r="IBQ77" s="223">
        <f xml:space="preserve"> InputsTS!IBQ$184</f>
        <v>0</v>
      </c>
      <c r="IBR77" s="223">
        <f xml:space="preserve"> InputsTS!IBR$184</f>
        <v>0</v>
      </c>
      <c r="IBS77" s="223">
        <f xml:space="preserve"> InputsTS!IBS$184</f>
        <v>0</v>
      </c>
      <c r="IBT77" s="223">
        <f xml:space="preserve"> InputsTS!IBT$184</f>
        <v>0</v>
      </c>
      <c r="IBU77" s="223">
        <f xml:space="preserve"> InputsTS!IBU$184</f>
        <v>0</v>
      </c>
      <c r="IBV77" s="223">
        <f xml:space="preserve"> InputsTS!IBV$184</f>
        <v>0</v>
      </c>
      <c r="IBW77" s="223">
        <f xml:space="preserve"> InputsTS!IBW$184</f>
        <v>0</v>
      </c>
      <c r="IBX77" s="223">
        <f xml:space="preserve"> InputsTS!IBX$184</f>
        <v>0</v>
      </c>
      <c r="IBY77" s="223">
        <f xml:space="preserve"> InputsTS!IBY$184</f>
        <v>0</v>
      </c>
      <c r="IBZ77" s="223">
        <f xml:space="preserve"> InputsTS!IBZ$184</f>
        <v>0</v>
      </c>
      <c r="ICA77" s="223">
        <f xml:space="preserve"> InputsTS!ICA$184</f>
        <v>0</v>
      </c>
      <c r="ICB77" s="223">
        <f xml:space="preserve"> InputsTS!ICB$184</f>
        <v>0</v>
      </c>
      <c r="ICC77" s="223">
        <f xml:space="preserve"> InputsTS!ICC$184</f>
        <v>0</v>
      </c>
      <c r="ICD77" s="223">
        <f xml:space="preserve"> InputsTS!ICD$184</f>
        <v>0</v>
      </c>
      <c r="ICE77" s="223">
        <f xml:space="preserve"> InputsTS!ICE$184</f>
        <v>0</v>
      </c>
      <c r="ICF77" s="223">
        <f xml:space="preserve"> InputsTS!ICF$184</f>
        <v>0</v>
      </c>
      <c r="ICG77" s="223">
        <f xml:space="preserve"> InputsTS!ICG$184</f>
        <v>0</v>
      </c>
      <c r="ICH77" s="223">
        <f xml:space="preserve"> InputsTS!ICH$184</f>
        <v>0</v>
      </c>
      <c r="ICI77" s="223">
        <f xml:space="preserve"> InputsTS!ICI$184</f>
        <v>0</v>
      </c>
      <c r="ICJ77" s="223">
        <f xml:space="preserve"> InputsTS!ICJ$184</f>
        <v>0</v>
      </c>
      <c r="ICK77" s="223">
        <f xml:space="preserve"> InputsTS!ICK$184</f>
        <v>0</v>
      </c>
      <c r="ICL77" s="223">
        <f xml:space="preserve"> InputsTS!ICL$184</f>
        <v>0</v>
      </c>
      <c r="ICM77" s="223">
        <f xml:space="preserve"> InputsTS!ICM$184</f>
        <v>0</v>
      </c>
      <c r="ICN77" s="223">
        <f xml:space="preserve"> InputsTS!ICN$184</f>
        <v>0</v>
      </c>
      <c r="ICO77" s="223">
        <f xml:space="preserve"> InputsTS!ICO$184</f>
        <v>0</v>
      </c>
      <c r="ICP77" s="223">
        <f xml:space="preserve"> InputsTS!ICP$184</f>
        <v>0</v>
      </c>
      <c r="ICQ77" s="223">
        <f xml:space="preserve"> InputsTS!ICQ$184</f>
        <v>0</v>
      </c>
      <c r="ICR77" s="223">
        <f xml:space="preserve"> InputsTS!ICR$184</f>
        <v>0</v>
      </c>
      <c r="ICS77" s="223">
        <f xml:space="preserve"> InputsTS!ICS$184</f>
        <v>0</v>
      </c>
      <c r="ICT77" s="223">
        <f xml:space="preserve"> InputsTS!ICT$184</f>
        <v>0</v>
      </c>
      <c r="ICU77" s="223">
        <f xml:space="preserve"> InputsTS!ICU$184</f>
        <v>0</v>
      </c>
      <c r="ICV77" s="223">
        <f xml:space="preserve"> InputsTS!ICV$184</f>
        <v>0</v>
      </c>
      <c r="ICW77" s="223">
        <f xml:space="preserve"> InputsTS!ICW$184</f>
        <v>0</v>
      </c>
      <c r="ICX77" s="223">
        <f xml:space="preserve"> InputsTS!ICX$184</f>
        <v>0</v>
      </c>
      <c r="ICY77" s="223">
        <f xml:space="preserve"> InputsTS!ICY$184</f>
        <v>0</v>
      </c>
      <c r="ICZ77" s="223">
        <f xml:space="preserve"> InputsTS!ICZ$184</f>
        <v>0</v>
      </c>
      <c r="IDA77" s="223">
        <f xml:space="preserve"> InputsTS!IDA$184</f>
        <v>0</v>
      </c>
      <c r="IDB77" s="223">
        <f xml:space="preserve"> InputsTS!IDB$184</f>
        <v>0</v>
      </c>
      <c r="IDC77" s="223">
        <f xml:space="preserve"> InputsTS!IDC$184</f>
        <v>0</v>
      </c>
      <c r="IDD77" s="223">
        <f xml:space="preserve"> InputsTS!IDD$184</f>
        <v>0</v>
      </c>
      <c r="IDE77" s="223">
        <f xml:space="preserve"> InputsTS!IDE$184</f>
        <v>0</v>
      </c>
      <c r="IDF77" s="223">
        <f xml:space="preserve"> InputsTS!IDF$184</f>
        <v>0</v>
      </c>
      <c r="IDG77" s="223">
        <f xml:space="preserve"> InputsTS!IDG$184</f>
        <v>0</v>
      </c>
      <c r="IDH77" s="223">
        <f xml:space="preserve"> InputsTS!IDH$184</f>
        <v>0</v>
      </c>
      <c r="IDI77" s="223">
        <f xml:space="preserve"> InputsTS!IDI$184</f>
        <v>0</v>
      </c>
      <c r="IDJ77" s="223">
        <f xml:space="preserve"> InputsTS!IDJ$184</f>
        <v>0</v>
      </c>
      <c r="IDK77" s="223">
        <f xml:space="preserve"> InputsTS!IDK$184</f>
        <v>0</v>
      </c>
      <c r="IDL77" s="223">
        <f xml:space="preserve"> InputsTS!IDL$184</f>
        <v>0</v>
      </c>
      <c r="IDM77" s="223">
        <f xml:space="preserve"> InputsTS!IDM$184</f>
        <v>0</v>
      </c>
      <c r="IDN77" s="223">
        <f xml:space="preserve"> InputsTS!IDN$184</f>
        <v>0</v>
      </c>
      <c r="IDO77" s="223">
        <f xml:space="preserve"> InputsTS!IDO$184</f>
        <v>0</v>
      </c>
      <c r="IDP77" s="223">
        <f xml:space="preserve"> InputsTS!IDP$184</f>
        <v>0</v>
      </c>
      <c r="IDQ77" s="223">
        <f xml:space="preserve"> InputsTS!IDQ$184</f>
        <v>0</v>
      </c>
      <c r="IDR77" s="223">
        <f xml:space="preserve"> InputsTS!IDR$184</f>
        <v>0</v>
      </c>
      <c r="IDS77" s="223">
        <f xml:space="preserve"> InputsTS!IDS$184</f>
        <v>0</v>
      </c>
      <c r="IDT77" s="223">
        <f xml:space="preserve"> InputsTS!IDT$184</f>
        <v>0</v>
      </c>
      <c r="IDU77" s="223">
        <f xml:space="preserve"> InputsTS!IDU$184</f>
        <v>0</v>
      </c>
      <c r="IDV77" s="223">
        <f xml:space="preserve"> InputsTS!IDV$184</f>
        <v>0</v>
      </c>
      <c r="IDW77" s="223">
        <f xml:space="preserve"> InputsTS!IDW$184</f>
        <v>0</v>
      </c>
      <c r="IDX77" s="223">
        <f xml:space="preserve"> InputsTS!IDX$184</f>
        <v>0</v>
      </c>
      <c r="IDY77" s="223">
        <f xml:space="preserve"> InputsTS!IDY$184</f>
        <v>0</v>
      </c>
      <c r="IDZ77" s="223">
        <f xml:space="preserve"> InputsTS!IDZ$184</f>
        <v>0</v>
      </c>
      <c r="IEA77" s="223">
        <f xml:space="preserve"> InputsTS!IEA$184</f>
        <v>0</v>
      </c>
      <c r="IEB77" s="223">
        <f xml:space="preserve"> InputsTS!IEB$184</f>
        <v>0</v>
      </c>
      <c r="IEC77" s="223">
        <f xml:space="preserve"> InputsTS!IEC$184</f>
        <v>0</v>
      </c>
      <c r="IED77" s="223">
        <f xml:space="preserve"> InputsTS!IED$184</f>
        <v>0</v>
      </c>
      <c r="IEE77" s="223">
        <f xml:space="preserve"> InputsTS!IEE$184</f>
        <v>0</v>
      </c>
      <c r="IEF77" s="223">
        <f xml:space="preserve"> InputsTS!IEF$184</f>
        <v>0</v>
      </c>
      <c r="IEG77" s="223">
        <f xml:space="preserve"> InputsTS!IEG$184</f>
        <v>0</v>
      </c>
      <c r="IEH77" s="223">
        <f xml:space="preserve"> InputsTS!IEH$184</f>
        <v>0</v>
      </c>
      <c r="IEI77" s="223">
        <f xml:space="preserve"> InputsTS!IEI$184</f>
        <v>0</v>
      </c>
      <c r="IEJ77" s="223">
        <f xml:space="preserve"> InputsTS!IEJ$184</f>
        <v>0</v>
      </c>
      <c r="IEK77" s="223">
        <f xml:space="preserve"> InputsTS!IEK$184</f>
        <v>0</v>
      </c>
      <c r="IEL77" s="223">
        <f xml:space="preserve"> InputsTS!IEL$184</f>
        <v>0</v>
      </c>
      <c r="IEM77" s="223">
        <f xml:space="preserve"> InputsTS!IEM$184</f>
        <v>0</v>
      </c>
      <c r="IEN77" s="223">
        <f xml:space="preserve"> InputsTS!IEN$184</f>
        <v>0</v>
      </c>
      <c r="IEO77" s="223">
        <f xml:space="preserve"> InputsTS!IEO$184</f>
        <v>0</v>
      </c>
      <c r="IEP77" s="223">
        <f xml:space="preserve"> InputsTS!IEP$184</f>
        <v>0</v>
      </c>
      <c r="IEQ77" s="223">
        <f xml:space="preserve"> InputsTS!IEQ$184</f>
        <v>0</v>
      </c>
      <c r="IER77" s="223">
        <f xml:space="preserve"> InputsTS!IER$184</f>
        <v>0</v>
      </c>
      <c r="IES77" s="223">
        <f xml:space="preserve"> InputsTS!IES$184</f>
        <v>0</v>
      </c>
      <c r="IET77" s="223">
        <f xml:space="preserve"> InputsTS!IET$184</f>
        <v>0</v>
      </c>
      <c r="IEU77" s="223">
        <f xml:space="preserve"> InputsTS!IEU$184</f>
        <v>0</v>
      </c>
      <c r="IEV77" s="223">
        <f xml:space="preserve"> InputsTS!IEV$184</f>
        <v>0</v>
      </c>
      <c r="IEW77" s="223">
        <f xml:space="preserve"> InputsTS!IEW$184</f>
        <v>0</v>
      </c>
      <c r="IEX77" s="223">
        <f xml:space="preserve"> InputsTS!IEX$184</f>
        <v>0</v>
      </c>
      <c r="IEY77" s="223">
        <f xml:space="preserve"> InputsTS!IEY$184</f>
        <v>0</v>
      </c>
      <c r="IEZ77" s="223">
        <f xml:space="preserve"> InputsTS!IEZ$184</f>
        <v>0</v>
      </c>
      <c r="IFA77" s="223">
        <f xml:space="preserve"> InputsTS!IFA$184</f>
        <v>0</v>
      </c>
      <c r="IFB77" s="223">
        <f xml:space="preserve"> InputsTS!IFB$184</f>
        <v>0</v>
      </c>
      <c r="IFC77" s="223">
        <f xml:space="preserve"> InputsTS!IFC$184</f>
        <v>0</v>
      </c>
      <c r="IFD77" s="223">
        <f xml:space="preserve"> InputsTS!IFD$184</f>
        <v>0</v>
      </c>
      <c r="IFE77" s="223">
        <f xml:space="preserve"> InputsTS!IFE$184</f>
        <v>0</v>
      </c>
      <c r="IFF77" s="223">
        <f xml:space="preserve"> InputsTS!IFF$184</f>
        <v>0</v>
      </c>
      <c r="IFG77" s="223">
        <f xml:space="preserve"> InputsTS!IFG$184</f>
        <v>0</v>
      </c>
      <c r="IFH77" s="223">
        <f xml:space="preserve"> InputsTS!IFH$184</f>
        <v>0</v>
      </c>
      <c r="IFI77" s="223">
        <f xml:space="preserve"> InputsTS!IFI$184</f>
        <v>0</v>
      </c>
      <c r="IFJ77" s="223">
        <f xml:space="preserve"> InputsTS!IFJ$184</f>
        <v>0</v>
      </c>
      <c r="IFK77" s="223">
        <f xml:space="preserve"> InputsTS!IFK$184</f>
        <v>0</v>
      </c>
      <c r="IFL77" s="223">
        <f xml:space="preserve"> InputsTS!IFL$184</f>
        <v>0</v>
      </c>
      <c r="IFM77" s="223">
        <f xml:space="preserve"> InputsTS!IFM$184</f>
        <v>0</v>
      </c>
      <c r="IFN77" s="223">
        <f xml:space="preserve"> InputsTS!IFN$184</f>
        <v>0</v>
      </c>
      <c r="IFO77" s="223">
        <f xml:space="preserve"> InputsTS!IFO$184</f>
        <v>0</v>
      </c>
      <c r="IFP77" s="223">
        <f xml:space="preserve"> InputsTS!IFP$184</f>
        <v>0</v>
      </c>
      <c r="IFQ77" s="223">
        <f xml:space="preserve"> InputsTS!IFQ$184</f>
        <v>0</v>
      </c>
      <c r="IFR77" s="223">
        <f xml:space="preserve"> InputsTS!IFR$184</f>
        <v>0</v>
      </c>
      <c r="IFS77" s="223">
        <f xml:space="preserve"> InputsTS!IFS$184</f>
        <v>0</v>
      </c>
      <c r="IFT77" s="223">
        <f xml:space="preserve"> InputsTS!IFT$184</f>
        <v>0</v>
      </c>
      <c r="IFU77" s="223">
        <f xml:space="preserve"> InputsTS!IFU$184</f>
        <v>0</v>
      </c>
      <c r="IFV77" s="223">
        <f xml:space="preserve"> InputsTS!IFV$184</f>
        <v>0</v>
      </c>
      <c r="IFW77" s="223">
        <f xml:space="preserve"> InputsTS!IFW$184</f>
        <v>0</v>
      </c>
      <c r="IFX77" s="223">
        <f xml:space="preserve"> InputsTS!IFX$184</f>
        <v>0</v>
      </c>
      <c r="IFY77" s="223">
        <f xml:space="preserve"> InputsTS!IFY$184</f>
        <v>0</v>
      </c>
      <c r="IFZ77" s="223">
        <f xml:space="preserve"> InputsTS!IFZ$184</f>
        <v>0</v>
      </c>
      <c r="IGA77" s="223">
        <f xml:space="preserve"> InputsTS!IGA$184</f>
        <v>0</v>
      </c>
      <c r="IGB77" s="223">
        <f xml:space="preserve"> InputsTS!IGB$184</f>
        <v>0</v>
      </c>
      <c r="IGC77" s="223">
        <f xml:space="preserve"> InputsTS!IGC$184</f>
        <v>0</v>
      </c>
      <c r="IGD77" s="223">
        <f xml:space="preserve"> InputsTS!IGD$184</f>
        <v>0</v>
      </c>
      <c r="IGE77" s="223">
        <f xml:space="preserve"> InputsTS!IGE$184</f>
        <v>0</v>
      </c>
      <c r="IGF77" s="223">
        <f xml:space="preserve"> InputsTS!IGF$184</f>
        <v>0</v>
      </c>
      <c r="IGG77" s="223">
        <f xml:space="preserve"> InputsTS!IGG$184</f>
        <v>0</v>
      </c>
      <c r="IGH77" s="223">
        <f xml:space="preserve"> InputsTS!IGH$184</f>
        <v>0</v>
      </c>
      <c r="IGI77" s="223">
        <f xml:space="preserve"> InputsTS!IGI$184</f>
        <v>0</v>
      </c>
      <c r="IGJ77" s="223">
        <f xml:space="preserve"> InputsTS!IGJ$184</f>
        <v>0</v>
      </c>
      <c r="IGK77" s="223">
        <f xml:space="preserve"> InputsTS!IGK$184</f>
        <v>0</v>
      </c>
      <c r="IGL77" s="223">
        <f xml:space="preserve"> InputsTS!IGL$184</f>
        <v>0</v>
      </c>
      <c r="IGM77" s="223">
        <f xml:space="preserve"> InputsTS!IGM$184</f>
        <v>0</v>
      </c>
      <c r="IGN77" s="223">
        <f xml:space="preserve"> InputsTS!IGN$184</f>
        <v>0</v>
      </c>
      <c r="IGO77" s="223">
        <f xml:space="preserve"> InputsTS!IGO$184</f>
        <v>0</v>
      </c>
      <c r="IGP77" s="223">
        <f xml:space="preserve"> InputsTS!IGP$184</f>
        <v>0</v>
      </c>
      <c r="IGQ77" s="223">
        <f xml:space="preserve"> InputsTS!IGQ$184</f>
        <v>0</v>
      </c>
      <c r="IGR77" s="223">
        <f xml:space="preserve"> InputsTS!IGR$184</f>
        <v>0</v>
      </c>
      <c r="IGS77" s="223">
        <f xml:space="preserve"> InputsTS!IGS$184</f>
        <v>0</v>
      </c>
      <c r="IGT77" s="223">
        <f xml:space="preserve"> InputsTS!IGT$184</f>
        <v>0</v>
      </c>
      <c r="IGU77" s="223">
        <f xml:space="preserve"> InputsTS!IGU$184</f>
        <v>0</v>
      </c>
      <c r="IGV77" s="223">
        <f xml:space="preserve"> InputsTS!IGV$184</f>
        <v>0</v>
      </c>
      <c r="IGW77" s="223">
        <f xml:space="preserve"> InputsTS!IGW$184</f>
        <v>0</v>
      </c>
      <c r="IGX77" s="223">
        <f xml:space="preserve"> InputsTS!IGX$184</f>
        <v>0</v>
      </c>
      <c r="IGY77" s="223">
        <f xml:space="preserve"> InputsTS!IGY$184</f>
        <v>0</v>
      </c>
      <c r="IGZ77" s="223">
        <f xml:space="preserve"> InputsTS!IGZ$184</f>
        <v>0</v>
      </c>
      <c r="IHA77" s="223">
        <f xml:space="preserve"> InputsTS!IHA$184</f>
        <v>0</v>
      </c>
      <c r="IHB77" s="223">
        <f xml:space="preserve"> InputsTS!IHB$184</f>
        <v>0</v>
      </c>
      <c r="IHC77" s="223">
        <f xml:space="preserve"> InputsTS!IHC$184</f>
        <v>0</v>
      </c>
      <c r="IHD77" s="223">
        <f xml:space="preserve"> InputsTS!IHD$184</f>
        <v>0</v>
      </c>
      <c r="IHE77" s="223">
        <f xml:space="preserve"> InputsTS!IHE$184</f>
        <v>0</v>
      </c>
      <c r="IHF77" s="223">
        <f xml:space="preserve"> InputsTS!IHF$184</f>
        <v>0</v>
      </c>
      <c r="IHG77" s="223">
        <f xml:space="preserve"> InputsTS!IHG$184</f>
        <v>0</v>
      </c>
      <c r="IHH77" s="223">
        <f xml:space="preserve"> InputsTS!IHH$184</f>
        <v>0</v>
      </c>
      <c r="IHI77" s="223">
        <f xml:space="preserve"> InputsTS!IHI$184</f>
        <v>0</v>
      </c>
      <c r="IHJ77" s="223">
        <f xml:space="preserve"> InputsTS!IHJ$184</f>
        <v>0</v>
      </c>
      <c r="IHK77" s="223">
        <f xml:space="preserve"> InputsTS!IHK$184</f>
        <v>0</v>
      </c>
      <c r="IHL77" s="223">
        <f xml:space="preserve"> InputsTS!IHL$184</f>
        <v>0</v>
      </c>
      <c r="IHM77" s="223">
        <f xml:space="preserve"> InputsTS!IHM$184</f>
        <v>0</v>
      </c>
      <c r="IHN77" s="223">
        <f xml:space="preserve"> InputsTS!IHN$184</f>
        <v>0</v>
      </c>
      <c r="IHO77" s="223">
        <f xml:space="preserve"> InputsTS!IHO$184</f>
        <v>0</v>
      </c>
      <c r="IHP77" s="223">
        <f xml:space="preserve"> InputsTS!IHP$184</f>
        <v>0</v>
      </c>
      <c r="IHQ77" s="223">
        <f xml:space="preserve"> InputsTS!IHQ$184</f>
        <v>0</v>
      </c>
      <c r="IHR77" s="223">
        <f xml:space="preserve"> InputsTS!IHR$184</f>
        <v>0</v>
      </c>
      <c r="IHS77" s="223">
        <f xml:space="preserve"> InputsTS!IHS$184</f>
        <v>0</v>
      </c>
      <c r="IHT77" s="223">
        <f xml:space="preserve"> InputsTS!IHT$184</f>
        <v>0</v>
      </c>
      <c r="IHU77" s="223">
        <f xml:space="preserve"> InputsTS!IHU$184</f>
        <v>0</v>
      </c>
      <c r="IHV77" s="223">
        <f xml:space="preserve"> InputsTS!IHV$184</f>
        <v>0</v>
      </c>
      <c r="IHW77" s="223">
        <f xml:space="preserve"> InputsTS!IHW$184</f>
        <v>0</v>
      </c>
      <c r="IHX77" s="223">
        <f xml:space="preserve"> InputsTS!IHX$184</f>
        <v>0</v>
      </c>
      <c r="IHY77" s="223">
        <f xml:space="preserve"> InputsTS!IHY$184</f>
        <v>0</v>
      </c>
      <c r="IHZ77" s="223">
        <f xml:space="preserve"> InputsTS!IHZ$184</f>
        <v>0</v>
      </c>
      <c r="IIA77" s="223">
        <f xml:space="preserve"> InputsTS!IIA$184</f>
        <v>0</v>
      </c>
      <c r="IIB77" s="223">
        <f xml:space="preserve"> InputsTS!IIB$184</f>
        <v>0</v>
      </c>
      <c r="IIC77" s="223">
        <f xml:space="preserve"> InputsTS!IIC$184</f>
        <v>0</v>
      </c>
      <c r="IID77" s="223">
        <f xml:space="preserve"> InputsTS!IID$184</f>
        <v>0</v>
      </c>
      <c r="IIE77" s="223">
        <f xml:space="preserve"> InputsTS!IIE$184</f>
        <v>0</v>
      </c>
      <c r="IIF77" s="223">
        <f xml:space="preserve"> InputsTS!IIF$184</f>
        <v>0</v>
      </c>
      <c r="IIG77" s="223">
        <f xml:space="preserve"> InputsTS!IIG$184</f>
        <v>0</v>
      </c>
      <c r="IIH77" s="223">
        <f xml:space="preserve"> InputsTS!IIH$184</f>
        <v>0</v>
      </c>
      <c r="III77" s="223">
        <f xml:space="preserve"> InputsTS!III$184</f>
        <v>0</v>
      </c>
      <c r="IIJ77" s="223">
        <f xml:space="preserve"> InputsTS!IIJ$184</f>
        <v>0</v>
      </c>
      <c r="IIK77" s="223">
        <f xml:space="preserve"> InputsTS!IIK$184</f>
        <v>0</v>
      </c>
      <c r="IIL77" s="223">
        <f xml:space="preserve"> InputsTS!IIL$184</f>
        <v>0</v>
      </c>
      <c r="IIM77" s="223">
        <f xml:space="preserve"> InputsTS!IIM$184</f>
        <v>0</v>
      </c>
      <c r="IIN77" s="223">
        <f xml:space="preserve"> InputsTS!IIN$184</f>
        <v>0</v>
      </c>
      <c r="IIO77" s="223">
        <f xml:space="preserve"> InputsTS!IIO$184</f>
        <v>0</v>
      </c>
      <c r="IIP77" s="223">
        <f xml:space="preserve"> InputsTS!IIP$184</f>
        <v>0</v>
      </c>
      <c r="IIQ77" s="223">
        <f xml:space="preserve"> InputsTS!IIQ$184</f>
        <v>0</v>
      </c>
      <c r="IIR77" s="223">
        <f xml:space="preserve"> InputsTS!IIR$184</f>
        <v>0</v>
      </c>
      <c r="IIS77" s="223">
        <f xml:space="preserve"> InputsTS!IIS$184</f>
        <v>0</v>
      </c>
      <c r="IIT77" s="223">
        <f xml:space="preserve"> InputsTS!IIT$184</f>
        <v>0</v>
      </c>
      <c r="IIU77" s="223">
        <f xml:space="preserve"> InputsTS!IIU$184</f>
        <v>0</v>
      </c>
      <c r="IIV77" s="223">
        <f xml:space="preserve"> InputsTS!IIV$184</f>
        <v>0</v>
      </c>
      <c r="IIW77" s="223">
        <f xml:space="preserve"> InputsTS!IIW$184</f>
        <v>0</v>
      </c>
      <c r="IIX77" s="223">
        <f xml:space="preserve"> InputsTS!IIX$184</f>
        <v>0</v>
      </c>
      <c r="IIY77" s="223">
        <f xml:space="preserve"> InputsTS!IIY$184</f>
        <v>0</v>
      </c>
      <c r="IIZ77" s="223">
        <f xml:space="preserve"> InputsTS!IIZ$184</f>
        <v>0</v>
      </c>
      <c r="IJA77" s="223">
        <f xml:space="preserve"> InputsTS!IJA$184</f>
        <v>0</v>
      </c>
      <c r="IJB77" s="223">
        <f xml:space="preserve"> InputsTS!IJB$184</f>
        <v>0</v>
      </c>
      <c r="IJC77" s="223">
        <f xml:space="preserve"> InputsTS!IJC$184</f>
        <v>0</v>
      </c>
      <c r="IJD77" s="223">
        <f xml:space="preserve"> InputsTS!IJD$184</f>
        <v>0</v>
      </c>
      <c r="IJE77" s="223">
        <f xml:space="preserve"> InputsTS!IJE$184</f>
        <v>0</v>
      </c>
      <c r="IJF77" s="223">
        <f xml:space="preserve"> InputsTS!IJF$184</f>
        <v>0</v>
      </c>
      <c r="IJG77" s="223">
        <f xml:space="preserve"> InputsTS!IJG$184</f>
        <v>0</v>
      </c>
      <c r="IJH77" s="223">
        <f xml:space="preserve"> InputsTS!IJH$184</f>
        <v>0</v>
      </c>
      <c r="IJI77" s="223">
        <f xml:space="preserve"> InputsTS!IJI$184</f>
        <v>0</v>
      </c>
      <c r="IJJ77" s="223">
        <f xml:space="preserve"> InputsTS!IJJ$184</f>
        <v>0</v>
      </c>
      <c r="IJK77" s="223">
        <f xml:space="preserve"> InputsTS!IJK$184</f>
        <v>0</v>
      </c>
      <c r="IJL77" s="223">
        <f xml:space="preserve"> InputsTS!IJL$184</f>
        <v>0</v>
      </c>
      <c r="IJM77" s="223">
        <f xml:space="preserve"> InputsTS!IJM$184</f>
        <v>0</v>
      </c>
      <c r="IJN77" s="223">
        <f xml:space="preserve"> InputsTS!IJN$184</f>
        <v>0</v>
      </c>
      <c r="IJO77" s="223">
        <f xml:space="preserve"> InputsTS!IJO$184</f>
        <v>0</v>
      </c>
      <c r="IJP77" s="223">
        <f xml:space="preserve"> InputsTS!IJP$184</f>
        <v>0</v>
      </c>
      <c r="IJQ77" s="223">
        <f xml:space="preserve"> InputsTS!IJQ$184</f>
        <v>0</v>
      </c>
      <c r="IJR77" s="223">
        <f xml:space="preserve"> InputsTS!IJR$184</f>
        <v>0</v>
      </c>
      <c r="IJS77" s="223">
        <f xml:space="preserve"> InputsTS!IJS$184</f>
        <v>0</v>
      </c>
      <c r="IJT77" s="223">
        <f xml:space="preserve"> InputsTS!IJT$184</f>
        <v>0</v>
      </c>
      <c r="IJU77" s="223">
        <f xml:space="preserve"> InputsTS!IJU$184</f>
        <v>0</v>
      </c>
      <c r="IJV77" s="223">
        <f xml:space="preserve"> InputsTS!IJV$184</f>
        <v>0</v>
      </c>
      <c r="IJW77" s="223">
        <f xml:space="preserve"> InputsTS!IJW$184</f>
        <v>0</v>
      </c>
      <c r="IJX77" s="223">
        <f xml:space="preserve"> InputsTS!IJX$184</f>
        <v>0</v>
      </c>
      <c r="IJY77" s="223">
        <f xml:space="preserve"> InputsTS!IJY$184</f>
        <v>0</v>
      </c>
      <c r="IJZ77" s="223">
        <f xml:space="preserve"> InputsTS!IJZ$184</f>
        <v>0</v>
      </c>
      <c r="IKA77" s="223">
        <f xml:space="preserve"> InputsTS!IKA$184</f>
        <v>0</v>
      </c>
      <c r="IKB77" s="223">
        <f xml:space="preserve"> InputsTS!IKB$184</f>
        <v>0</v>
      </c>
      <c r="IKC77" s="223">
        <f xml:space="preserve"> InputsTS!IKC$184</f>
        <v>0</v>
      </c>
      <c r="IKD77" s="223">
        <f xml:space="preserve"> InputsTS!IKD$184</f>
        <v>0</v>
      </c>
      <c r="IKE77" s="223">
        <f xml:space="preserve"> InputsTS!IKE$184</f>
        <v>0</v>
      </c>
      <c r="IKF77" s="223">
        <f xml:space="preserve"> InputsTS!IKF$184</f>
        <v>0</v>
      </c>
      <c r="IKG77" s="223">
        <f xml:space="preserve"> InputsTS!IKG$184</f>
        <v>0</v>
      </c>
      <c r="IKH77" s="223">
        <f xml:space="preserve"> InputsTS!IKH$184</f>
        <v>0</v>
      </c>
      <c r="IKI77" s="223">
        <f xml:space="preserve"> InputsTS!IKI$184</f>
        <v>0</v>
      </c>
      <c r="IKJ77" s="223">
        <f xml:space="preserve"> InputsTS!IKJ$184</f>
        <v>0</v>
      </c>
      <c r="IKK77" s="223">
        <f xml:space="preserve"> InputsTS!IKK$184</f>
        <v>0</v>
      </c>
      <c r="IKL77" s="223">
        <f xml:space="preserve"> InputsTS!IKL$184</f>
        <v>0</v>
      </c>
      <c r="IKM77" s="223">
        <f xml:space="preserve"> InputsTS!IKM$184</f>
        <v>0</v>
      </c>
      <c r="IKN77" s="223">
        <f xml:space="preserve"> InputsTS!IKN$184</f>
        <v>0</v>
      </c>
      <c r="IKO77" s="223">
        <f xml:space="preserve"> InputsTS!IKO$184</f>
        <v>0</v>
      </c>
      <c r="IKP77" s="223">
        <f xml:space="preserve"> InputsTS!IKP$184</f>
        <v>0</v>
      </c>
      <c r="IKQ77" s="223">
        <f xml:space="preserve"> InputsTS!IKQ$184</f>
        <v>0</v>
      </c>
      <c r="IKR77" s="223">
        <f xml:space="preserve"> InputsTS!IKR$184</f>
        <v>0</v>
      </c>
      <c r="IKS77" s="223">
        <f xml:space="preserve"> InputsTS!IKS$184</f>
        <v>0</v>
      </c>
      <c r="IKT77" s="223">
        <f xml:space="preserve"> InputsTS!IKT$184</f>
        <v>0</v>
      </c>
      <c r="IKU77" s="223">
        <f xml:space="preserve"> InputsTS!IKU$184</f>
        <v>0</v>
      </c>
      <c r="IKV77" s="223">
        <f xml:space="preserve"> InputsTS!IKV$184</f>
        <v>0</v>
      </c>
      <c r="IKW77" s="223">
        <f xml:space="preserve"> InputsTS!IKW$184</f>
        <v>0</v>
      </c>
      <c r="IKX77" s="223">
        <f xml:space="preserve"> InputsTS!IKX$184</f>
        <v>0</v>
      </c>
      <c r="IKY77" s="223">
        <f xml:space="preserve"> InputsTS!IKY$184</f>
        <v>0</v>
      </c>
      <c r="IKZ77" s="223">
        <f xml:space="preserve"> InputsTS!IKZ$184</f>
        <v>0</v>
      </c>
      <c r="ILA77" s="223">
        <f xml:space="preserve"> InputsTS!ILA$184</f>
        <v>0</v>
      </c>
      <c r="ILB77" s="223">
        <f xml:space="preserve"> InputsTS!ILB$184</f>
        <v>0</v>
      </c>
      <c r="ILC77" s="223">
        <f xml:space="preserve"> InputsTS!ILC$184</f>
        <v>0</v>
      </c>
      <c r="ILD77" s="223">
        <f xml:space="preserve"> InputsTS!ILD$184</f>
        <v>0</v>
      </c>
      <c r="ILE77" s="223">
        <f xml:space="preserve"> InputsTS!ILE$184</f>
        <v>0</v>
      </c>
      <c r="ILF77" s="223">
        <f xml:space="preserve"> InputsTS!ILF$184</f>
        <v>0</v>
      </c>
      <c r="ILG77" s="223">
        <f xml:space="preserve"> InputsTS!ILG$184</f>
        <v>0</v>
      </c>
      <c r="ILH77" s="223">
        <f xml:space="preserve"> InputsTS!ILH$184</f>
        <v>0</v>
      </c>
      <c r="ILI77" s="223">
        <f xml:space="preserve"> InputsTS!ILI$184</f>
        <v>0</v>
      </c>
      <c r="ILJ77" s="223">
        <f xml:space="preserve"> InputsTS!ILJ$184</f>
        <v>0</v>
      </c>
      <c r="ILK77" s="223">
        <f xml:space="preserve"> InputsTS!ILK$184</f>
        <v>0</v>
      </c>
      <c r="ILL77" s="223">
        <f xml:space="preserve"> InputsTS!ILL$184</f>
        <v>0</v>
      </c>
      <c r="ILM77" s="223">
        <f xml:space="preserve"> InputsTS!ILM$184</f>
        <v>0</v>
      </c>
      <c r="ILN77" s="223">
        <f xml:space="preserve"> InputsTS!ILN$184</f>
        <v>0</v>
      </c>
      <c r="ILO77" s="223">
        <f xml:space="preserve"> InputsTS!ILO$184</f>
        <v>0</v>
      </c>
      <c r="ILP77" s="223">
        <f xml:space="preserve"> InputsTS!ILP$184</f>
        <v>0</v>
      </c>
      <c r="ILQ77" s="223">
        <f xml:space="preserve"> InputsTS!ILQ$184</f>
        <v>0</v>
      </c>
      <c r="ILR77" s="223">
        <f xml:space="preserve"> InputsTS!ILR$184</f>
        <v>0</v>
      </c>
      <c r="ILS77" s="223">
        <f xml:space="preserve"> InputsTS!ILS$184</f>
        <v>0</v>
      </c>
      <c r="ILT77" s="223">
        <f xml:space="preserve"> InputsTS!ILT$184</f>
        <v>0</v>
      </c>
      <c r="ILU77" s="223">
        <f xml:space="preserve"> InputsTS!ILU$184</f>
        <v>0</v>
      </c>
      <c r="ILV77" s="223">
        <f xml:space="preserve"> InputsTS!ILV$184</f>
        <v>0</v>
      </c>
      <c r="ILW77" s="223">
        <f xml:space="preserve"> InputsTS!ILW$184</f>
        <v>0</v>
      </c>
      <c r="ILX77" s="223">
        <f xml:space="preserve"> InputsTS!ILX$184</f>
        <v>0</v>
      </c>
      <c r="ILY77" s="223">
        <f xml:space="preserve"> InputsTS!ILY$184</f>
        <v>0</v>
      </c>
      <c r="ILZ77" s="223">
        <f xml:space="preserve"> InputsTS!ILZ$184</f>
        <v>0</v>
      </c>
      <c r="IMA77" s="223">
        <f xml:space="preserve"> InputsTS!IMA$184</f>
        <v>0</v>
      </c>
      <c r="IMB77" s="223">
        <f xml:space="preserve"> InputsTS!IMB$184</f>
        <v>0</v>
      </c>
      <c r="IMC77" s="223">
        <f xml:space="preserve"> InputsTS!IMC$184</f>
        <v>0</v>
      </c>
      <c r="IMD77" s="223">
        <f xml:space="preserve"> InputsTS!IMD$184</f>
        <v>0</v>
      </c>
      <c r="IME77" s="223">
        <f xml:space="preserve"> InputsTS!IME$184</f>
        <v>0</v>
      </c>
      <c r="IMF77" s="223">
        <f xml:space="preserve"> InputsTS!IMF$184</f>
        <v>0</v>
      </c>
      <c r="IMG77" s="223">
        <f xml:space="preserve"> InputsTS!IMG$184</f>
        <v>0</v>
      </c>
      <c r="IMH77" s="223">
        <f xml:space="preserve"> InputsTS!IMH$184</f>
        <v>0</v>
      </c>
      <c r="IMI77" s="223">
        <f xml:space="preserve"> InputsTS!IMI$184</f>
        <v>0</v>
      </c>
      <c r="IMJ77" s="223">
        <f xml:space="preserve"> InputsTS!IMJ$184</f>
        <v>0</v>
      </c>
      <c r="IMK77" s="223">
        <f xml:space="preserve"> InputsTS!IMK$184</f>
        <v>0</v>
      </c>
      <c r="IML77" s="223">
        <f xml:space="preserve"> InputsTS!IML$184</f>
        <v>0</v>
      </c>
      <c r="IMM77" s="223">
        <f xml:space="preserve"> InputsTS!IMM$184</f>
        <v>0</v>
      </c>
      <c r="IMN77" s="223">
        <f xml:space="preserve"> InputsTS!IMN$184</f>
        <v>0</v>
      </c>
      <c r="IMO77" s="223">
        <f xml:space="preserve"> InputsTS!IMO$184</f>
        <v>0</v>
      </c>
      <c r="IMP77" s="223">
        <f xml:space="preserve"> InputsTS!IMP$184</f>
        <v>0</v>
      </c>
      <c r="IMQ77" s="223">
        <f xml:space="preserve"> InputsTS!IMQ$184</f>
        <v>0</v>
      </c>
      <c r="IMR77" s="223">
        <f xml:space="preserve"> InputsTS!IMR$184</f>
        <v>0</v>
      </c>
      <c r="IMS77" s="223">
        <f xml:space="preserve"> InputsTS!IMS$184</f>
        <v>0</v>
      </c>
      <c r="IMT77" s="223">
        <f xml:space="preserve"> InputsTS!IMT$184</f>
        <v>0</v>
      </c>
      <c r="IMU77" s="223">
        <f xml:space="preserve"> InputsTS!IMU$184</f>
        <v>0</v>
      </c>
      <c r="IMV77" s="223">
        <f xml:space="preserve"> InputsTS!IMV$184</f>
        <v>0</v>
      </c>
      <c r="IMW77" s="223">
        <f xml:space="preserve"> InputsTS!IMW$184</f>
        <v>0</v>
      </c>
      <c r="IMX77" s="223">
        <f xml:space="preserve"> InputsTS!IMX$184</f>
        <v>0</v>
      </c>
      <c r="IMY77" s="223">
        <f xml:space="preserve"> InputsTS!IMY$184</f>
        <v>0</v>
      </c>
      <c r="IMZ77" s="223">
        <f xml:space="preserve"> InputsTS!IMZ$184</f>
        <v>0</v>
      </c>
      <c r="INA77" s="223">
        <f xml:space="preserve"> InputsTS!INA$184</f>
        <v>0</v>
      </c>
      <c r="INB77" s="223">
        <f xml:space="preserve"> InputsTS!INB$184</f>
        <v>0</v>
      </c>
      <c r="INC77" s="223">
        <f xml:space="preserve"> InputsTS!INC$184</f>
        <v>0</v>
      </c>
      <c r="IND77" s="223">
        <f xml:space="preserve"> InputsTS!IND$184</f>
        <v>0</v>
      </c>
      <c r="INE77" s="223">
        <f xml:space="preserve"> InputsTS!INE$184</f>
        <v>0</v>
      </c>
      <c r="INF77" s="223">
        <f xml:space="preserve"> InputsTS!INF$184</f>
        <v>0</v>
      </c>
      <c r="ING77" s="223">
        <f xml:space="preserve"> InputsTS!ING$184</f>
        <v>0</v>
      </c>
      <c r="INH77" s="223">
        <f xml:space="preserve"> InputsTS!INH$184</f>
        <v>0</v>
      </c>
      <c r="INI77" s="223">
        <f xml:space="preserve"> InputsTS!INI$184</f>
        <v>0</v>
      </c>
      <c r="INJ77" s="223">
        <f xml:space="preserve"> InputsTS!INJ$184</f>
        <v>0</v>
      </c>
      <c r="INK77" s="223">
        <f xml:space="preserve"> InputsTS!INK$184</f>
        <v>0</v>
      </c>
      <c r="INL77" s="223">
        <f xml:space="preserve"> InputsTS!INL$184</f>
        <v>0</v>
      </c>
      <c r="INM77" s="223">
        <f xml:space="preserve"> InputsTS!INM$184</f>
        <v>0</v>
      </c>
      <c r="INN77" s="223">
        <f xml:space="preserve"> InputsTS!INN$184</f>
        <v>0</v>
      </c>
      <c r="INO77" s="223">
        <f xml:space="preserve"> InputsTS!INO$184</f>
        <v>0</v>
      </c>
      <c r="INP77" s="223">
        <f xml:space="preserve"> InputsTS!INP$184</f>
        <v>0</v>
      </c>
      <c r="INQ77" s="223">
        <f xml:space="preserve"> InputsTS!INQ$184</f>
        <v>0</v>
      </c>
      <c r="INR77" s="223">
        <f xml:space="preserve"> InputsTS!INR$184</f>
        <v>0</v>
      </c>
      <c r="INS77" s="223">
        <f xml:space="preserve"> InputsTS!INS$184</f>
        <v>0</v>
      </c>
      <c r="INT77" s="223">
        <f xml:space="preserve"> InputsTS!INT$184</f>
        <v>0</v>
      </c>
      <c r="INU77" s="223">
        <f xml:space="preserve"> InputsTS!INU$184</f>
        <v>0</v>
      </c>
      <c r="INV77" s="223">
        <f xml:space="preserve"> InputsTS!INV$184</f>
        <v>0</v>
      </c>
      <c r="INW77" s="223">
        <f xml:space="preserve"> InputsTS!INW$184</f>
        <v>0</v>
      </c>
      <c r="INX77" s="223">
        <f xml:space="preserve"> InputsTS!INX$184</f>
        <v>0</v>
      </c>
      <c r="INY77" s="223">
        <f xml:space="preserve"> InputsTS!INY$184</f>
        <v>0</v>
      </c>
      <c r="INZ77" s="223">
        <f xml:space="preserve"> InputsTS!INZ$184</f>
        <v>0</v>
      </c>
      <c r="IOA77" s="223">
        <f xml:space="preserve"> InputsTS!IOA$184</f>
        <v>0</v>
      </c>
      <c r="IOB77" s="223">
        <f xml:space="preserve"> InputsTS!IOB$184</f>
        <v>0</v>
      </c>
      <c r="IOC77" s="223">
        <f xml:space="preserve"> InputsTS!IOC$184</f>
        <v>0</v>
      </c>
      <c r="IOD77" s="223">
        <f xml:space="preserve"> InputsTS!IOD$184</f>
        <v>0</v>
      </c>
      <c r="IOE77" s="223">
        <f xml:space="preserve"> InputsTS!IOE$184</f>
        <v>0</v>
      </c>
      <c r="IOF77" s="223">
        <f xml:space="preserve"> InputsTS!IOF$184</f>
        <v>0</v>
      </c>
      <c r="IOG77" s="223">
        <f xml:space="preserve"> InputsTS!IOG$184</f>
        <v>0</v>
      </c>
      <c r="IOH77" s="223">
        <f xml:space="preserve"> InputsTS!IOH$184</f>
        <v>0</v>
      </c>
      <c r="IOI77" s="223">
        <f xml:space="preserve"> InputsTS!IOI$184</f>
        <v>0</v>
      </c>
      <c r="IOJ77" s="223">
        <f xml:space="preserve"> InputsTS!IOJ$184</f>
        <v>0</v>
      </c>
      <c r="IOK77" s="223">
        <f xml:space="preserve"> InputsTS!IOK$184</f>
        <v>0</v>
      </c>
      <c r="IOL77" s="223">
        <f xml:space="preserve"> InputsTS!IOL$184</f>
        <v>0</v>
      </c>
      <c r="IOM77" s="223">
        <f xml:space="preserve"> InputsTS!IOM$184</f>
        <v>0</v>
      </c>
      <c r="ION77" s="223">
        <f xml:space="preserve"> InputsTS!ION$184</f>
        <v>0</v>
      </c>
      <c r="IOO77" s="223">
        <f xml:space="preserve"> InputsTS!IOO$184</f>
        <v>0</v>
      </c>
      <c r="IOP77" s="223">
        <f xml:space="preserve"> InputsTS!IOP$184</f>
        <v>0</v>
      </c>
      <c r="IOQ77" s="223">
        <f xml:space="preserve"> InputsTS!IOQ$184</f>
        <v>0</v>
      </c>
      <c r="IOR77" s="223">
        <f xml:space="preserve"> InputsTS!IOR$184</f>
        <v>0</v>
      </c>
      <c r="IOS77" s="223">
        <f xml:space="preserve"> InputsTS!IOS$184</f>
        <v>0</v>
      </c>
      <c r="IOT77" s="223">
        <f xml:space="preserve"> InputsTS!IOT$184</f>
        <v>0</v>
      </c>
      <c r="IOU77" s="223">
        <f xml:space="preserve"> InputsTS!IOU$184</f>
        <v>0</v>
      </c>
      <c r="IOV77" s="223">
        <f xml:space="preserve"> InputsTS!IOV$184</f>
        <v>0</v>
      </c>
      <c r="IOW77" s="223">
        <f xml:space="preserve"> InputsTS!IOW$184</f>
        <v>0</v>
      </c>
      <c r="IOX77" s="223">
        <f xml:space="preserve"> InputsTS!IOX$184</f>
        <v>0</v>
      </c>
      <c r="IOY77" s="223">
        <f xml:space="preserve"> InputsTS!IOY$184</f>
        <v>0</v>
      </c>
      <c r="IOZ77" s="223">
        <f xml:space="preserve"> InputsTS!IOZ$184</f>
        <v>0</v>
      </c>
      <c r="IPA77" s="223">
        <f xml:space="preserve"> InputsTS!IPA$184</f>
        <v>0</v>
      </c>
      <c r="IPB77" s="223">
        <f xml:space="preserve"> InputsTS!IPB$184</f>
        <v>0</v>
      </c>
      <c r="IPC77" s="223">
        <f xml:space="preserve"> InputsTS!IPC$184</f>
        <v>0</v>
      </c>
      <c r="IPD77" s="223">
        <f xml:space="preserve"> InputsTS!IPD$184</f>
        <v>0</v>
      </c>
      <c r="IPE77" s="223">
        <f xml:space="preserve"> InputsTS!IPE$184</f>
        <v>0</v>
      </c>
      <c r="IPF77" s="223">
        <f xml:space="preserve"> InputsTS!IPF$184</f>
        <v>0</v>
      </c>
      <c r="IPG77" s="223">
        <f xml:space="preserve"> InputsTS!IPG$184</f>
        <v>0</v>
      </c>
      <c r="IPH77" s="223">
        <f xml:space="preserve"> InputsTS!IPH$184</f>
        <v>0</v>
      </c>
      <c r="IPI77" s="223">
        <f xml:space="preserve"> InputsTS!IPI$184</f>
        <v>0</v>
      </c>
      <c r="IPJ77" s="223">
        <f xml:space="preserve"> InputsTS!IPJ$184</f>
        <v>0</v>
      </c>
      <c r="IPK77" s="223">
        <f xml:space="preserve"> InputsTS!IPK$184</f>
        <v>0</v>
      </c>
      <c r="IPL77" s="223">
        <f xml:space="preserve"> InputsTS!IPL$184</f>
        <v>0</v>
      </c>
      <c r="IPM77" s="223">
        <f xml:space="preserve"> InputsTS!IPM$184</f>
        <v>0</v>
      </c>
      <c r="IPN77" s="223">
        <f xml:space="preserve"> InputsTS!IPN$184</f>
        <v>0</v>
      </c>
      <c r="IPO77" s="223">
        <f xml:space="preserve"> InputsTS!IPO$184</f>
        <v>0</v>
      </c>
      <c r="IPP77" s="223">
        <f xml:space="preserve"> InputsTS!IPP$184</f>
        <v>0</v>
      </c>
      <c r="IPQ77" s="223">
        <f xml:space="preserve"> InputsTS!IPQ$184</f>
        <v>0</v>
      </c>
      <c r="IPR77" s="223">
        <f xml:space="preserve"> InputsTS!IPR$184</f>
        <v>0</v>
      </c>
      <c r="IPS77" s="223">
        <f xml:space="preserve"> InputsTS!IPS$184</f>
        <v>0</v>
      </c>
      <c r="IPT77" s="223">
        <f xml:space="preserve"> InputsTS!IPT$184</f>
        <v>0</v>
      </c>
      <c r="IPU77" s="223">
        <f xml:space="preserve"> InputsTS!IPU$184</f>
        <v>0</v>
      </c>
      <c r="IPV77" s="223">
        <f xml:space="preserve"> InputsTS!IPV$184</f>
        <v>0</v>
      </c>
      <c r="IPW77" s="223">
        <f xml:space="preserve"> InputsTS!IPW$184</f>
        <v>0</v>
      </c>
      <c r="IPX77" s="223">
        <f xml:space="preserve"> InputsTS!IPX$184</f>
        <v>0</v>
      </c>
      <c r="IPY77" s="223">
        <f xml:space="preserve"> InputsTS!IPY$184</f>
        <v>0</v>
      </c>
      <c r="IPZ77" s="223">
        <f xml:space="preserve"> InputsTS!IPZ$184</f>
        <v>0</v>
      </c>
      <c r="IQA77" s="223">
        <f xml:space="preserve"> InputsTS!IQA$184</f>
        <v>0</v>
      </c>
      <c r="IQB77" s="223">
        <f xml:space="preserve"> InputsTS!IQB$184</f>
        <v>0</v>
      </c>
      <c r="IQC77" s="223">
        <f xml:space="preserve"> InputsTS!IQC$184</f>
        <v>0</v>
      </c>
      <c r="IQD77" s="223">
        <f xml:space="preserve"> InputsTS!IQD$184</f>
        <v>0</v>
      </c>
      <c r="IQE77" s="223">
        <f xml:space="preserve"> InputsTS!IQE$184</f>
        <v>0</v>
      </c>
      <c r="IQF77" s="223">
        <f xml:space="preserve"> InputsTS!IQF$184</f>
        <v>0</v>
      </c>
      <c r="IQG77" s="223">
        <f xml:space="preserve"> InputsTS!IQG$184</f>
        <v>0</v>
      </c>
      <c r="IQH77" s="223">
        <f xml:space="preserve"> InputsTS!IQH$184</f>
        <v>0</v>
      </c>
      <c r="IQI77" s="223">
        <f xml:space="preserve"> InputsTS!IQI$184</f>
        <v>0</v>
      </c>
      <c r="IQJ77" s="223">
        <f xml:space="preserve"> InputsTS!IQJ$184</f>
        <v>0</v>
      </c>
      <c r="IQK77" s="223">
        <f xml:space="preserve"> InputsTS!IQK$184</f>
        <v>0</v>
      </c>
      <c r="IQL77" s="223">
        <f xml:space="preserve"> InputsTS!IQL$184</f>
        <v>0</v>
      </c>
      <c r="IQM77" s="223">
        <f xml:space="preserve"> InputsTS!IQM$184</f>
        <v>0</v>
      </c>
      <c r="IQN77" s="223">
        <f xml:space="preserve"> InputsTS!IQN$184</f>
        <v>0</v>
      </c>
      <c r="IQO77" s="223">
        <f xml:space="preserve"> InputsTS!IQO$184</f>
        <v>0</v>
      </c>
      <c r="IQP77" s="223">
        <f xml:space="preserve"> InputsTS!IQP$184</f>
        <v>0</v>
      </c>
      <c r="IQQ77" s="223">
        <f xml:space="preserve"> InputsTS!IQQ$184</f>
        <v>0</v>
      </c>
      <c r="IQR77" s="223">
        <f xml:space="preserve"> InputsTS!IQR$184</f>
        <v>0</v>
      </c>
      <c r="IQS77" s="223">
        <f xml:space="preserve"> InputsTS!IQS$184</f>
        <v>0</v>
      </c>
      <c r="IQT77" s="223">
        <f xml:space="preserve"> InputsTS!IQT$184</f>
        <v>0</v>
      </c>
      <c r="IQU77" s="223">
        <f xml:space="preserve"> InputsTS!IQU$184</f>
        <v>0</v>
      </c>
      <c r="IQV77" s="223">
        <f xml:space="preserve"> InputsTS!IQV$184</f>
        <v>0</v>
      </c>
      <c r="IQW77" s="223">
        <f xml:space="preserve"> InputsTS!IQW$184</f>
        <v>0</v>
      </c>
      <c r="IQX77" s="223">
        <f xml:space="preserve"> InputsTS!IQX$184</f>
        <v>0</v>
      </c>
      <c r="IQY77" s="223">
        <f xml:space="preserve"> InputsTS!IQY$184</f>
        <v>0</v>
      </c>
      <c r="IQZ77" s="223">
        <f xml:space="preserve"> InputsTS!IQZ$184</f>
        <v>0</v>
      </c>
      <c r="IRA77" s="223">
        <f xml:space="preserve"> InputsTS!IRA$184</f>
        <v>0</v>
      </c>
      <c r="IRB77" s="223">
        <f xml:space="preserve"> InputsTS!IRB$184</f>
        <v>0</v>
      </c>
      <c r="IRC77" s="223">
        <f xml:space="preserve"> InputsTS!IRC$184</f>
        <v>0</v>
      </c>
      <c r="IRD77" s="223">
        <f xml:space="preserve"> InputsTS!IRD$184</f>
        <v>0</v>
      </c>
      <c r="IRE77" s="223">
        <f xml:space="preserve"> InputsTS!IRE$184</f>
        <v>0</v>
      </c>
      <c r="IRF77" s="223">
        <f xml:space="preserve"> InputsTS!IRF$184</f>
        <v>0</v>
      </c>
      <c r="IRG77" s="223">
        <f xml:space="preserve"> InputsTS!IRG$184</f>
        <v>0</v>
      </c>
      <c r="IRH77" s="223">
        <f xml:space="preserve"> InputsTS!IRH$184</f>
        <v>0</v>
      </c>
      <c r="IRI77" s="223">
        <f xml:space="preserve"> InputsTS!IRI$184</f>
        <v>0</v>
      </c>
      <c r="IRJ77" s="223">
        <f xml:space="preserve"> InputsTS!IRJ$184</f>
        <v>0</v>
      </c>
      <c r="IRK77" s="223">
        <f xml:space="preserve"> InputsTS!IRK$184</f>
        <v>0</v>
      </c>
      <c r="IRL77" s="223">
        <f xml:space="preserve"> InputsTS!IRL$184</f>
        <v>0</v>
      </c>
      <c r="IRM77" s="223">
        <f xml:space="preserve"> InputsTS!IRM$184</f>
        <v>0</v>
      </c>
      <c r="IRN77" s="223">
        <f xml:space="preserve"> InputsTS!IRN$184</f>
        <v>0</v>
      </c>
      <c r="IRO77" s="223">
        <f xml:space="preserve"> InputsTS!IRO$184</f>
        <v>0</v>
      </c>
      <c r="IRP77" s="223">
        <f xml:space="preserve"> InputsTS!IRP$184</f>
        <v>0</v>
      </c>
      <c r="IRQ77" s="223">
        <f xml:space="preserve"> InputsTS!IRQ$184</f>
        <v>0</v>
      </c>
      <c r="IRR77" s="223">
        <f xml:space="preserve"> InputsTS!IRR$184</f>
        <v>0</v>
      </c>
      <c r="IRS77" s="223">
        <f xml:space="preserve"> InputsTS!IRS$184</f>
        <v>0</v>
      </c>
      <c r="IRT77" s="223">
        <f xml:space="preserve"> InputsTS!IRT$184</f>
        <v>0</v>
      </c>
      <c r="IRU77" s="223">
        <f xml:space="preserve"> InputsTS!IRU$184</f>
        <v>0</v>
      </c>
      <c r="IRV77" s="223">
        <f xml:space="preserve"> InputsTS!IRV$184</f>
        <v>0</v>
      </c>
      <c r="IRW77" s="223">
        <f xml:space="preserve"> InputsTS!IRW$184</f>
        <v>0</v>
      </c>
      <c r="IRX77" s="223">
        <f xml:space="preserve"> InputsTS!IRX$184</f>
        <v>0</v>
      </c>
      <c r="IRY77" s="223">
        <f xml:space="preserve"> InputsTS!IRY$184</f>
        <v>0</v>
      </c>
      <c r="IRZ77" s="223">
        <f xml:space="preserve"> InputsTS!IRZ$184</f>
        <v>0</v>
      </c>
      <c r="ISA77" s="223">
        <f xml:space="preserve"> InputsTS!ISA$184</f>
        <v>0</v>
      </c>
      <c r="ISB77" s="223">
        <f xml:space="preserve"> InputsTS!ISB$184</f>
        <v>0</v>
      </c>
      <c r="ISC77" s="223">
        <f xml:space="preserve"> InputsTS!ISC$184</f>
        <v>0</v>
      </c>
      <c r="ISD77" s="223">
        <f xml:space="preserve"> InputsTS!ISD$184</f>
        <v>0</v>
      </c>
      <c r="ISE77" s="223">
        <f xml:space="preserve"> InputsTS!ISE$184</f>
        <v>0</v>
      </c>
      <c r="ISF77" s="223">
        <f xml:space="preserve"> InputsTS!ISF$184</f>
        <v>0</v>
      </c>
      <c r="ISG77" s="223">
        <f xml:space="preserve"> InputsTS!ISG$184</f>
        <v>0</v>
      </c>
      <c r="ISH77" s="223">
        <f xml:space="preserve"> InputsTS!ISH$184</f>
        <v>0</v>
      </c>
      <c r="ISI77" s="223">
        <f xml:space="preserve"> InputsTS!ISI$184</f>
        <v>0</v>
      </c>
      <c r="ISJ77" s="223">
        <f xml:space="preserve"> InputsTS!ISJ$184</f>
        <v>0</v>
      </c>
      <c r="ISK77" s="223">
        <f xml:space="preserve"> InputsTS!ISK$184</f>
        <v>0</v>
      </c>
      <c r="ISL77" s="223">
        <f xml:space="preserve"> InputsTS!ISL$184</f>
        <v>0</v>
      </c>
      <c r="ISM77" s="223">
        <f xml:space="preserve"> InputsTS!ISM$184</f>
        <v>0</v>
      </c>
      <c r="ISN77" s="223">
        <f xml:space="preserve"> InputsTS!ISN$184</f>
        <v>0</v>
      </c>
      <c r="ISO77" s="223">
        <f xml:space="preserve"> InputsTS!ISO$184</f>
        <v>0</v>
      </c>
      <c r="ISP77" s="223">
        <f xml:space="preserve"> InputsTS!ISP$184</f>
        <v>0</v>
      </c>
      <c r="ISQ77" s="223">
        <f xml:space="preserve"> InputsTS!ISQ$184</f>
        <v>0</v>
      </c>
      <c r="ISR77" s="223">
        <f xml:space="preserve"> InputsTS!ISR$184</f>
        <v>0</v>
      </c>
      <c r="ISS77" s="223">
        <f xml:space="preserve"> InputsTS!ISS$184</f>
        <v>0</v>
      </c>
      <c r="IST77" s="223">
        <f xml:space="preserve"> InputsTS!IST$184</f>
        <v>0</v>
      </c>
      <c r="ISU77" s="223">
        <f xml:space="preserve"> InputsTS!ISU$184</f>
        <v>0</v>
      </c>
      <c r="ISV77" s="223">
        <f xml:space="preserve"> InputsTS!ISV$184</f>
        <v>0</v>
      </c>
      <c r="ISW77" s="223">
        <f xml:space="preserve"> InputsTS!ISW$184</f>
        <v>0</v>
      </c>
      <c r="ISX77" s="223">
        <f xml:space="preserve"> InputsTS!ISX$184</f>
        <v>0</v>
      </c>
      <c r="ISY77" s="223">
        <f xml:space="preserve"> InputsTS!ISY$184</f>
        <v>0</v>
      </c>
      <c r="ISZ77" s="223">
        <f xml:space="preserve"> InputsTS!ISZ$184</f>
        <v>0</v>
      </c>
      <c r="ITA77" s="223">
        <f xml:space="preserve"> InputsTS!ITA$184</f>
        <v>0</v>
      </c>
      <c r="ITB77" s="223">
        <f xml:space="preserve"> InputsTS!ITB$184</f>
        <v>0</v>
      </c>
      <c r="ITC77" s="223">
        <f xml:space="preserve"> InputsTS!ITC$184</f>
        <v>0</v>
      </c>
      <c r="ITD77" s="223">
        <f xml:space="preserve"> InputsTS!ITD$184</f>
        <v>0</v>
      </c>
      <c r="ITE77" s="223">
        <f xml:space="preserve"> InputsTS!ITE$184</f>
        <v>0</v>
      </c>
      <c r="ITF77" s="223">
        <f xml:space="preserve"> InputsTS!ITF$184</f>
        <v>0</v>
      </c>
      <c r="ITG77" s="223">
        <f xml:space="preserve"> InputsTS!ITG$184</f>
        <v>0</v>
      </c>
      <c r="ITH77" s="223">
        <f xml:space="preserve"> InputsTS!ITH$184</f>
        <v>0</v>
      </c>
      <c r="ITI77" s="223">
        <f xml:space="preserve"> InputsTS!ITI$184</f>
        <v>0</v>
      </c>
      <c r="ITJ77" s="223">
        <f xml:space="preserve"> InputsTS!ITJ$184</f>
        <v>0</v>
      </c>
      <c r="ITK77" s="223">
        <f xml:space="preserve"> InputsTS!ITK$184</f>
        <v>0</v>
      </c>
      <c r="ITL77" s="223">
        <f xml:space="preserve"> InputsTS!ITL$184</f>
        <v>0</v>
      </c>
      <c r="ITM77" s="223">
        <f xml:space="preserve"> InputsTS!ITM$184</f>
        <v>0</v>
      </c>
      <c r="ITN77" s="223">
        <f xml:space="preserve"> InputsTS!ITN$184</f>
        <v>0</v>
      </c>
      <c r="ITO77" s="223">
        <f xml:space="preserve"> InputsTS!ITO$184</f>
        <v>0</v>
      </c>
      <c r="ITP77" s="223">
        <f xml:space="preserve"> InputsTS!ITP$184</f>
        <v>0</v>
      </c>
      <c r="ITQ77" s="223">
        <f xml:space="preserve"> InputsTS!ITQ$184</f>
        <v>0</v>
      </c>
      <c r="ITR77" s="223">
        <f xml:space="preserve"> InputsTS!ITR$184</f>
        <v>0</v>
      </c>
      <c r="ITS77" s="223">
        <f xml:space="preserve"> InputsTS!ITS$184</f>
        <v>0</v>
      </c>
      <c r="ITT77" s="223">
        <f xml:space="preserve"> InputsTS!ITT$184</f>
        <v>0</v>
      </c>
      <c r="ITU77" s="223">
        <f xml:space="preserve"> InputsTS!ITU$184</f>
        <v>0</v>
      </c>
      <c r="ITV77" s="223">
        <f xml:space="preserve"> InputsTS!ITV$184</f>
        <v>0</v>
      </c>
      <c r="ITW77" s="223">
        <f xml:space="preserve"> InputsTS!ITW$184</f>
        <v>0</v>
      </c>
      <c r="ITX77" s="223">
        <f xml:space="preserve"> InputsTS!ITX$184</f>
        <v>0</v>
      </c>
      <c r="ITY77" s="223">
        <f xml:space="preserve"> InputsTS!ITY$184</f>
        <v>0</v>
      </c>
      <c r="ITZ77" s="223">
        <f xml:space="preserve"> InputsTS!ITZ$184</f>
        <v>0</v>
      </c>
      <c r="IUA77" s="223">
        <f xml:space="preserve"> InputsTS!IUA$184</f>
        <v>0</v>
      </c>
      <c r="IUB77" s="223">
        <f xml:space="preserve"> InputsTS!IUB$184</f>
        <v>0</v>
      </c>
      <c r="IUC77" s="223">
        <f xml:space="preserve"> InputsTS!IUC$184</f>
        <v>0</v>
      </c>
      <c r="IUD77" s="223">
        <f xml:space="preserve"> InputsTS!IUD$184</f>
        <v>0</v>
      </c>
      <c r="IUE77" s="223">
        <f xml:space="preserve"> InputsTS!IUE$184</f>
        <v>0</v>
      </c>
      <c r="IUF77" s="223">
        <f xml:space="preserve"> InputsTS!IUF$184</f>
        <v>0</v>
      </c>
      <c r="IUG77" s="223">
        <f xml:space="preserve"> InputsTS!IUG$184</f>
        <v>0</v>
      </c>
      <c r="IUH77" s="223">
        <f xml:space="preserve"> InputsTS!IUH$184</f>
        <v>0</v>
      </c>
      <c r="IUI77" s="223">
        <f xml:space="preserve"> InputsTS!IUI$184</f>
        <v>0</v>
      </c>
      <c r="IUJ77" s="223">
        <f xml:space="preserve"> InputsTS!IUJ$184</f>
        <v>0</v>
      </c>
      <c r="IUK77" s="223">
        <f xml:space="preserve"> InputsTS!IUK$184</f>
        <v>0</v>
      </c>
      <c r="IUL77" s="223">
        <f xml:space="preserve"> InputsTS!IUL$184</f>
        <v>0</v>
      </c>
      <c r="IUM77" s="223">
        <f xml:space="preserve"> InputsTS!IUM$184</f>
        <v>0</v>
      </c>
      <c r="IUN77" s="223">
        <f xml:space="preserve"> InputsTS!IUN$184</f>
        <v>0</v>
      </c>
      <c r="IUO77" s="223">
        <f xml:space="preserve"> InputsTS!IUO$184</f>
        <v>0</v>
      </c>
      <c r="IUP77" s="223">
        <f xml:space="preserve"> InputsTS!IUP$184</f>
        <v>0</v>
      </c>
      <c r="IUQ77" s="223">
        <f xml:space="preserve"> InputsTS!IUQ$184</f>
        <v>0</v>
      </c>
      <c r="IUR77" s="223">
        <f xml:space="preserve"> InputsTS!IUR$184</f>
        <v>0</v>
      </c>
      <c r="IUS77" s="223">
        <f xml:space="preserve"> InputsTS!IUS$184</f>
        <v>0</v>
      </c>
      <c r="IUT77" s="223">
        <f xml:space="preserve"> InputsTS!IUT$184</f>
        <v>0</v>
      </c>
      <c r="IUU77" s="223">
        <f xml:space="preserve"> InputsTS!IUU$184</f>
        <v>0</v>
      </c>
      <c r="IUV77" s="223">
        <f xml:space="preserve"> InputsTS!IUV$184</f>
        <v>0</v>
      </c>
      <c r="IUW77" s="223">
        <f xml:space="preserve"> InputsTS!IUW$184</f>
        <v>0</v>
      </c>
      <c r="IUX77" s="223">
        <f xml:space="preserve"> InputsTS!IUX$184</f>
        <v>0</v>
      </c>
      <c r="IUY77" s="223">
        <f xml:space="preserve"> InputsTS!IUY$184</f>
        <v>0</v>
      </c>
      <c r="IUZ77" s="223">
        <f xml:space="preserve"> InputsTS!IUZ$184</f>
        <v>0</v>
      </c>
      <c r="IVA77" s="223">
        <f xml:space="preserve"> InputsTS!IVA$184</f>
        <v>0</v>
      </c>
      <c r="IVB77" s="223">
        <f xml:space="preserve"> InputsTS!IVB$184</f>
        <v>0</v>
      </c>
      <c r="IVC77" s="223">
        <f xml:space="preserve"> InputsTS!IVC$184</f>
        <v>0</v>
      </c>
      <c r="IVD77" s="223">
        <f xml:space="preserve"> InputsTS!IVD$184</f>
        <v>0</v>
      </c>
      <c r="IVE77" s="223">
        <f xml:space="preserve"> InputsTS!IVE$184</f>
        <v>0</v>
      </c>
      <c r="IVF77" s="223">
        <f xml:space="preserve"> InputsTS!IVF$184</f>
        <v>0</v>
      </c>
      <c r="IVG77" s="223">
        <f xml:space="preserve"> InputsTS!IVG$184</f>
        <v>0</v>
      </c>
      <c r="IVH77" s="223">
        <f xml:space="preserve"> InputsTS!IVH$184</f>
        <v>0</v>
      </c>
      <c r="IVI77" s="223">
        <f xml:space="preserve"> InputsTS!IVI$184</f>
        <v>0</v>
      </c>
      <c r="IVJ77" s="223">
        <f xml:space="preserve"> InputsTS!IVJ$184</f>
        <v>0</v>
      </c>
      <c r="IVK77" s="223">
        <f xml:space="preserve"> InputsTS!IVK$184</f>
        <v>0</v>
      </c>
      <c r="IVL77" s="223">
        <f xml:space="preserve"> InputsTS!IVL$184</f>
        <v>0</v>
      </c>
      <c r="IVM77" s="223">
        <f xml:space="preserve"> InputsTS!IVM$184</f>
        <v>0</v>
      </c>
      <c r="IVN77" s="223">
        <f xml:space="preserve"> InputsTS!IVN$184</f>
        <v>0</v>
      </c>
      <c r="IVO77" s="223">
        <f xml:space="preserve"> InputsTS!IVO$184</f>
        <v>0</v>
      </c>
      <c r="IVP77" s="223">
        <f xml:space="preserve"> InputsTS!IVP$184</f>
        <v>0</v>
      </c>
      <c r="IVQ77" s="223">
        <f xml:space="preserve"> InputsTS!IVQ$184</f>
        <v>0</v>
      </c>
      <c r="IVR77" s="223">
        <f xml:space="preserve"> InputsTS!IVR$184</f>
        <v>0</v>
      </c>
      <c r="IVS77" s="223">
        <f xml:space="preserve"> InputsTS!IVS$184</f>
        <v>0</v>
      </c>
      <c r="IVT77" s="223">
        <f xml:space="preserve"> InputsTS!IVT$184</f>
        <v>0</v>
      </c>
      <c r="IVU77" s="223">
        <f xml:space="preserve"> InputsTS!IVU$184</f>
        <v>0</v>
      </c>
      <c r="IVV77" s="223">
        <f xml:space="preserve"> InputsTS!IVV$184</f>
        <v>0</v>
      </c>
      <c r="IVW77" s="223">
        <f xml:space="preserve"> InputsTS!IVW$184</f>
        <v>0</v>
      </c>
      <c r="IVX77" s="223">
        <f xml:space="preserve"> InputsTS!IVX$184</f>
        <v>0</v>
      </c>
      <c r="IVY77" s="223">
        <f xml:space="preserve"> InputsTS!IVY$184</f>
        <v>0</v>
      </c>
      <c r="IVZ77" s="223">
        <f xml:space="preserve"> InputsTS!IVZ$184</f>
        <v>0</v>
      </c>
      <c r="IWA77" s="223">
        <f xml:space="preserve"> InputsTS!IWA$184</f>
        <v>0</v>
      </c>
      <c r="IWB77" s="223">
        <f xml:space="preserve"> InputsTS!IWB$184</f>
        <v>0</v>
      </c>
      <c r="IWC77" s="223">
        <f xml:space="preserve"> InputsTS!IWC$184</f>
        <v>0</v>
      </c>
      <c r="IWD77" s="223">
        <f xml:space="preserve"> InputsTS!IWD$184</f>
        <v>0</v>
      </c>
      <c r="IWE77" s="223">
        <f xml:space="preserve"> InputsTS!IWE$184</f>
        <v>0</v>
      </c>
      <c r="IWF77" s="223">
        <f xml:space="preserve"> InputsTS!IWF$184</f>
        <v>0</v>
      </c>
      <c r="IWG77" s="223">
        <f xml:space="preserve"> InputsTS!IWG$184</f>
        <v>0</v>
      </c>
      <c r="IWH77" s="223">
        <f xml:space="preserve"> InputsTS!IWH$184</f>
        <v>0</v>
      </c>
      <c r="IWI77" s="223">
        <f xml:space="preserve"> InputsTS!IWI$184</f>
        <v>0</v>
      </c>
      <c r="IWJ77" s="223">
        <f xml:space="preserve"> InputsTS!IWJ$184</f>
        <v>0</v>
      </c>
      <c r="IWK77" s="223">
        <f xml:space="preserve"> InputsTS!IWK$184</f>
        <v>0</v>
      </c>
      <c r="IWL77" s="223">
        <f xml:space="preserve"> InputsTS!IWL$184</f>
        <v>0</v>
      </c>
      <c r="IWM77" s="223">
        <f xml:space="preserve"> InputsTS!IWM$184</f>
        <v>0</v>
      </c>
      <c r="IWN77" s="223">
        <f xml:space="preserve"> InputsTS!IWN$184</f>
        <v>0</v>
      </c>
      <c r="IWO77" s="223">
        <f xml:space="preserve"> InputsTS!IWO$184</f>
        <v>0</v>
      </c>
      <c r="IWP77" s="223">
        <f xml:space="preserve"> InputsTS!IWP$184</f>
        <v>0</v>
      </c>
      <c r="IWQ77" s="223">
        <f xml:space="preserve"> InputsTS!IWQ$184</f>
        <v>0</v>
      </c>
      <c r="IWR77" s="223">
        <f xml:space="preserve"> InputsTS!IWR$184</f>
        <v>0</v>
      </c>
      <c r="IWS77" s="223">
        <f xml:space="preserve"> InputsTS!IWS$184</f>
        <v>0</v>
      </c>
      <c r="IWT77" s="223">
        <f xml:space="preserve"> InputsTS!IWT$184</f>
        <v>0</v>
      </c>
      <c r="IWU77" s="223">
        <f xml:space="preserve"> InputsTS!IWU$184</f>
        <v>0</v>
      </c>
      <c r="IWV77" s="223">
        <f xml:space="preserve"> InputsTS!IWV$184</f>
        <v>0</v>
      </c>
      <c r="IWW77" s="223">
        <f xml:space="preserve"> InputsTS!IWW$184</f>
        <v>0</v>
      </c>
      <c r="IWX77" s="223">
        <f xml:space="preserve"> InputsTS!IWX$184</f>
        <v>0</v>
      </c>
      <c r="IWY77" s="223">
        <f xml:space="preserve"> InputsTS!IWY$184</f>
        <v>0</v>
      </c>
      <c r="IWZ77" s="223">
        <f xml:space="preserve"> InputsTS!IWZ$184</f>
        <v>0</v>
      </c>
      <c r="IXA77" s="223">
        <f xml:space="preserve"> InputsTS!IXA$184</f>
        <v>0</v>
      </c>
      <c r="IXB77" s="223">
        <f xml:space="preserve"> InputsTS!IXB$184</f>
        <v>0</v>
      </c>
      <c r="IXC77" s="223">
        <f xml:space="preserve"> InputsTS!IXC$184</f>
        <v>0</v>
      </c>
      <c r="IXD77" s="223">
        <f xml:space="preserve"> InputsTS!IXD$184</f>
        <v>0</v>
      </c>
      <c r="IXE77" s="223">
        <f xml:space="preserve"> InputsTS!IXE$184</f>
        <v>0</v>
      </c>
      <c r="IXF77" s="223">
        <f xml:space="preserve"> InputsTS!IXF$184</f>
        <v>0</v>
      </c>
      <c r="IXG77" s="223">
        <f xml:space="preserve"> InputsTS!IXG$184</f>
        <v>0</v>
      </c>
      <c r="IXH77" s="223">
        <f xml:space="preserve"> InputsTS!IXH$184</f>
        <v>0</v>
      </c>
      <c r="IXI77" s="223">
        <f xml:space="preserve"> InputsTS!IXI$184</f>
        <v>0</v>
      </c>
      <c r="IXJ77" s="223">
        <f xml:space="preserve"> InputsTS!IXJ$184</f>
        <v>0</v>
      </c>
      <c r="IXK77" s="223">
        <f xml:space="preserve"> InputsTS!IXK$184</f>
        <v>0</v>
      </c>
      <c r="IXL77" s="223">
        <f xml:space="preserve"> InputsTS!IXL$184</f>
        <v>0</v>
      </c>
      <c r="IXM77" s="223">
        <f xml:space="preserve"> InputsTS!IXM$184</f>
        <v>0</v>
      </c>
      <c r="IXN77" s="223">
        <f xml:space="preserve"> InputsTS!IXN$184</f>
        <v>0</v>
      </c>
      <c r="IXO77" s="223">
        <f xml:space="preserve"> InputsTS!IXO$184</f>
        <v>0</v>
      </c>
      <c r="IXP77" s="223">
        <f xml:space="preserve"> InputsTS!IXP$184</f>
        <v>0</v>
      </c>
      <c r="IXQ77" s="223">
        <f xml:space="preserve"> InputsTS!IXQ$184</f>
        <v>0</v>
      </c>
      <c r="IXR77" s="223">
        <f xml:space="preserve"> InputsTS!IXR$184</f>
        <v>0</v>
      </c>
      <c r="IXS77" s="223">
        <f xml:space="preserve"> InputsTS!IXS$184</f>
        <v>0</v>
      </c>
      <c r="IXT77" s="223">
        <f xml:space="preserve"> InputsTS!IXT$184</f>
        <v>0</v>
      </c>
      <c r="IXU77" s="223">
        <f xml:space="preserve"> InputsTS!IXU$184</f>
        <v>0</v>
      </c>
      <c r="IXV77" s="223">
        <f xml:space="preserve"> InputsTS!IXV$184</f>
        <v>0</v>
      </c>
      <c r="IXW77" s="223">
        <f xml:space="preserve"> InputsTS!IXW$184</f>
        <v>0</v>
      </c>
      <c r="IXX77" s="223">
        <f xml:space="preserve"> InputsTS!IXX$184</f>
        <v>0</v>
      </c>
      <c r="IXY77" s="223">
        <f xml:space="preserve"> InputsTS!IXY$184</f>
        <v>0</v>
      </c>
      <c r="IXZ77" s="223">
        <f xml:space="preserve"> InputsTS!IXZ$184</f>
        <v>0</v>
      </c>
      <c r="IYA77" s="223">
        <f xml:space="preserve"> InputsTS!IYA$184</f>
        <v>0</v>
      </c>
      <c r="IYB77" s="223">
        <f xml:space="preserve"> InputsTS!IYB$184</f>
        <v>0</v>
      </c>
      <c r="IYC77" s="223">
        <f xml:space="preserve"> InputsTS!IYC$184</f>
        <v>0</v>
      </c>
      <c r="IYD77" s="223">
        <f xml:space="preserve"> InputsTS!IYD$184</f>
        <v>0</v>
      </c>
      <c r="IYE77" s="223">
        <f xml:space="preserve"> InputsTS!IYE$184</f>
        <v>0</v>
      </c>
      <c r="IYF77" s="223">
        <f xml:space="preserve"> InputsTS!IYF$184</f>
        <v>0</v>
      </c>
      <c r="IYG77" s="223">
        <f xml:space="preserve"> InputsTS!IYG$184</f>
        <v>0</v>
      </c>
      <c r="IYH77" s="223">
        <f xml:space="preserve"> InputsTS!IYH$184</f>
        <v>0</v>
      </c>
      <c r="IYI77" s="223">
        <f xml:space="preserve"> InputsTS!IYI$184</f>
        <v>0</v>
      </c>
      <c r="IYJ77" s="223">
        <f xml:space="preserve"> InputsTS!IYJ$184</f>
        <v>0</v>
      </c>
      <c r="IYK77" s="223">
        <f xml:space="preserve"> InputsTS!IYK$184</f>
        <v>0</v>
      </c>
      <c r="IYL77" s="223">
        <f xml:space="preserve"> InputsTS!IYL$184</f>
        <v>0</v>
      </c>
      <c r="IYM77" s="223">
        <f xml:space="preserve"> InputsTS!IYM$184</f>
        <v>0</v>
      </c>
      <c r="IYN77" s="223">
        <f xml:space="preserve"> InputsTS!IYN$184</f>
        <v>0</v>
      </c>
      <c r="IYO77" s="223">
        <f xml:space="preserve"> InputsTS!IYO$184</f>
        <v>0</v>
      </c>
      <c r="IYP77" s="223">
        <f xml:space="preserve"> InputsTS!IYP$184</f>
        <v>0</v>
      </c>
      <c r="IYQ77" s="223">
        <f xml:space="preserve"> InputsTS!IYQ$184</f>
        <v>0</v>
      </c>
      <c r="IYR77" s="223">
        <f xml:space="preserve"> InputsTS!IYR$184</f>
        <v>0</v>
      </c>
      <c r="IYS77" s="223">
        <f xml:space="preserve"> InputsTS!IYS$184</f>
        <v>0</v>
      </c>
      <c r="IYT77" s="223">
        <f xml:space="preserve"> InputsTS!IYT$184</f>
        <v>0</v>
      </c>
      <c r="IYU77" s="223">
        <f xml:space="preserve"> InputsTS!IYU$184</f>
        <v>0</v>
      </c>
      <c r="IYV77" s="223">
        <f xml:space="preserve"> InputsTS!IYV$184</f>
        <v>0</v>
      </c>
      <c r="IYW77" s="223">
        <f xml:space="preserve"> InputsTS!IYW$184</f>
        <v>0</v>
      </c>
      <c r="IYX77" s="223">
        <f xml:space="preserve"> InputsTS!IYX$184</f>
        <v>0</v>
      </c>
      <c r="IYY77" s="223">
        <f xml:space="preserve"> InputsTS!IYY$184</f>
        <v>0</v>
      </c>
      <c r="IYZ77" s="223">
        <f xml:space="preserve"> InputsTS!IYZ$184</f>
        <v>0</v>
      </c>
      <c r="IZA77" s="223">
        <f xml:space="preserve"> InputsTS!IZA$184</f>
        <v>0</v>
      </c>
      <c r="IZB77" s="223">
        <f xml:space="preserve"> InputsTS!IZB$184</f>
        <v>0</v>
      </c>
      <c r="IZC77" s="223">
        <f xml:space="preserve"> InputsTS!IZC$184</f>
        <v>0</v>
      </c>
      <c r="IZD77" s="223">
        <f xml:space="preserve"> InputsTS!IZD$184</f>
        <v>0</v>
      </c>
      <c r="IZE77" s="223">
        <f xml:space="preserve"> InputsTS!IZE$184</f>
        <v>0</v>
      </c>
      <c r="IZF77" s="223">
        <f xml:space="preserve"> InputsTS!IZF$184</f>
        <v>0</v>
      </c>
      <c r="IZG77" s="223">
        <f xml:space="preserve"> InputsTS!IZG$184</f>
        <v>0</v>
      </c>
      <c r="IZH77" s="223">
        <f xml:space="preserve"> InputsTS!IZH$184</f>
        <v>0</v>
      </c>
      <c r="IZI77" s="223">
        <f xml:space="preserve"> InputsTS!IZI$184</f>
        <v>0</v>
      </c>
      <c r="IZJ77" s="223">
        <f xml:space="preserve"> InputsTS!IZJ$184</f>
        <v>0</v>
      </c>
      <c r="IZK77" s="223">
        <f xml:space="preserve"> InputsTS!IZK$184</f>
        <v>0</v>
      </c>
      <c r="IZL77" s="223">
        <f xml:space="preserve"> InputsTS!IZL$184</f>
        <v>0</v>
      </c>
      <c r="IZM77" s="223">
        <f xml:space="preserve"> InputsTS!IZM$184</f>
        <v>0</v>
      </c>
      <c r="IZN77" s="223">
        <f xml:space="preserve"> InputsTS!IZN$184</f>
        <v>0</v>
      </c>
      <c r="IZO77" s="223">
        <f xml:space="preserve"> InputsTS!IZO$184</f>
        <v>0</v>
      </c>
      <c r="IZP77" s="223">
        <f xml:space="preserve"> InputsTS!IZP$184</f>
        <v>0</v>
      </c>
      <c r="IZQ77" s="223">
        <f xml:space="preserve"> InputsTS!IZQ$184</f>
        <v>0</v>
      </c>
      <c r="IZR77" s="223">
        <f xml:space="preserve"> InputsTS!IZR$184</f>
        <v>0</v>
      </c>
      <c r="IZS77" s="223">
        <f xml:space="preserve"> InputsTS!IZS$184</f>
        <v>0</v>
      </c>
      <c r="IZT77" s="223">
        <f xml:space="preserve"> InputsTS!IZT$184</f>
        <v>0</v>
      </c>
      <c r="IZU77" s="223">
        <f xml:space="preserve"> InputsTS!IZU$184</f>
        <v>0</v>
      </c>
      <c r="IZV77" s="223">
        <f xml:space="preserve"> InputsTS!IZV$184</f>
        <v>0</v>
      </c>
      <c r="IZW77" s="223">
        <f xml:space="preserve"> InputsTS!IZW$184</f>
        <v>0</v>
      </c>
      <c r="IZX77" s="223">
        <f xml:space="preserve"> InputsTS!IZX$184</f>
        <v>0</v>
      </c>
      <c r="IZY77" s="223">
        <f xml:space="preserve"> InputsTS!IZY$184</f>
        <v>0</v>
      </c>
      <c r="IZZ77" s="223">
        <f xml:space="preserve"> InputsTS!IZZ$184</f>
        <v>0</v>
      </c>
      <c r="JAA77" s="223">
        <f xml:space="preserve"> InputsTS!JAA$184</f>
        <v>0</v>
      </c>
      <c r="JAB77" s="223">
        <f xml:space="preserve"> InputsTS!JAB$184</f>
        <v>0</v>
      </c>
      <c r="JAC77" s="223">
        <f xml:space="preserve"> InputsTS!JAC$184</f>
        <v>0</v>
      </c>
      <c r="JAD77" s="223">
        <f xml:space="preserve"> InputsTS!JAD$184</f>
        <v>0</v>
      </c>
      <c r="JAE77" s="223">
        <f xml:space="preserve"> InputsTS!JAE$184</f>
        <v>0</v>
      </c>
      <c r="JAF77" s="223">
        <f xml:space="preserve"> InputsTS!JAF$184</f>
        <v>0</v>
      </c>
      <c r="JAG77" s="223">
        <f xml:space="preserve"> InputsTS!JAG$184</f>
        <v>0</v>
      </c>
      <c r="JAH77" s="223">
        <f xml:space="preserve"> InputsTS!JAH$184</f>
        <v>0</v>
      </c>
      <c r="JAI77" s="223">
        <f xml:space="preserve"> InputsTS!JAI$184</f>
        <v>0</v>
      </c>
      <c r="JAJ77" s="223">
        <f xml:space="preserve"> InputsTS!JAJ$184</f>
        <v>0</v>
      </c>
      <c r="JAK77" s="223">
        <f xml:space="preserve"> InputsTS!JAK$184</f>
        <v>0</v>
      </c>
      <c r="JAL77" s="223">
        <f xml:space="preserve"> InputsTS!JAL$184</f>
        <v>0</v>
      </c>
      <c r="JAM77" s="223">
        <f xml:space="preserve"> InputsTS!JAM$184</f>
        <v>0</v>
      </c>
      <c r="JAN77" s="223">
        <f xml:space="preserve"> InputsTS!JAN$184</f>
        <v>0</v>
      </c>
      <c r="JAO77" s="223">
        <f xml:space="preserve"> InputsTS!JAO$184</f>
        <v>0</v>
      </c>
      <c r="JAP77" s="223">
        <f xml:space="preserve"> InputsTS!JAP$184</f>
        <v>0</v>
      </c>
      <c r="JAQ77" s="223">
        <f xml:space="preserve"> InputsTS!JAQ$184</f>
        <v>0</v>
      </c>
      <c r="JAR77" s="223">
        <f xml:space="preserve"> InputsTS!JAR$184</f>
        <v>0</v>
      </c>
      <c r="JAS77" s="223">
        <f xml:space="preserve"> InputsTS!JAS$184</f>
        <v>0</v>
      </c>
      <c r="JAT77" s="223">
        <f xml:space="preserve"> InputsTS!JAT$184</f>
        <v>0</v>
      </c>
      <c r="JAU77" s="223">
        <f xml:space="preserve"> InputsTS!JAU$184</f>
        <v>0</v>
      </c>
      <c r="JAV77" s="223">
        <f xml:space="preserve"> InputsTS!JAV$184</f>
        <v>0</v>
      </c>
      <c r="JAW77" s="223">
        <f xml:space="preserve"> InputsTS!JAW$184</f>
        <v>0</v>
      </c>
      <c r="JAX77" s="223">
        <f xml:space="preserve"> InputsTS!JAX$184</f>
        <v>0</v>
      </c>
      <c r="JAY77" s="223">
        <f xml:space="preserve"> InputsTS!JAY$184</f>
        <v>0</v>
      </c>
      <c r="JAZ77" s="223">
        <f xml:space="preserve"> InputsTS!JAZ$184</f>
        <v>0</v>
      </c>
      <c r="JBA77" s="223">
        <f xml:space="preserve"> InputsTS!JBA$184</f>
        <v>0</v>
      </c>
      <c r="JBB77" s="223">
        <f xml:space="preserve"> InputsTS!JBB$184</f>
        <v>0</v>
      </c>
      <c r="JBC77" s="223">
        <f xml:space="preserve"> InputsTS!JBC$184</f>
        <v>0</v>
      </c>
      <c r="JBD77" s="223">
        <f xml:space="preserve"> InputsTS!JBD$184</f>
        <v>0</v>
      </c>
      <c r="JBE77" s="223">
        <f xml:space="preserve"> InputsTS!JBE$184</f>
        <v>0</v>
      </c>
      <c r="JBF77" s="223">
        <f xml:space="preserve"> InputsTS!JBF$184</f>
        <v>0</v>
      </c>
      <c r="JBG77" s="223">
        <f xml:space="preserve"> InputsTS!JBG$184</f>
        <v>0</v>
      </c>
      <c r="JBH77" s="223">
        <f xml:space="preserve"> InputsTS!JBH$184</f>
        <v>0</v>
      </c>
      <c r="JBI77" s="223">
        <f xml:space="preserve"> InputsTS!JBI$184</f>
        <v>0</v>
      </c>
      <c r="JBJ77" s="223">
        <f xml:space="preserve"> InputsTS!JBJ$184</f>
        <v>0</v>
      </c>
      <c r="JBK77" s="223">
        <f xml:space="preserve"> InputsTS!JBK$184</f>
        <v>0</v>
      </c>
      <c r="JBL77" s="223">
        <f xml:space="preserve"> InputsTS!JBL$184</f>
        <v>0</v>
      </c>
      <c r="JBM77" s="223">
        <f xml:space="preserve"> InputsTS!JBM$184</f>
        <v>0</v>
      </c>
      <c r="JBN77" s="223">
        <f xml:space="preserve"> InputsTS!JBN$184</f>
        <v>0</v>
      </c>
      <c r="JBO77" s="223">
        <f xml:space="preserve"> InputsTS!JBO$184</f>
        <v>0</v>
      </c>
      <c r="JBP77" s="223">
        <f xml:space="preserve"> InputsTS!JBP$184</f>
        <v>0</v>
      </c>
      <c r="JBQ77" s="223">
        <f xml:space="preserve"> InputsTS!JBQ$184</f>
        <v>0</v>
      </c>
      <c r="JBR77" s="223">
        <f xml:space="preserve"> InputsTS!JBR$184</f>
        <v>0</v>
      </c>
      <c r="JBS77" s="223">
        <f xml:space="preserve"> InputsTS!JBS$184</f>
        <v>0</v>
      </c>
      <c r="JBT77" s="223">
        <f xml:space="preserve"> InputsTS!JBT$184</f>
        <v>0</v>
      </c>
      <c r="JBU77" s="223">
        <f xml:space="preserve"> InputsTS!JBU$184</f>
        <v>0</v>
      </c>
      <c r="JBV77" s="223">
        <f xml:space="preserve"> InputsTS!JBV$184</f>
        <v>0</v>
      </c>
      <c r="JBW77" s="223">
        <f xml:space="preserve"> InputsTS!JBW$184</f>
        <v>0</v>
      </c>
      <c r="JBX77" s="223">
        <f xml:space="preserve"> InputsTS!JBX$184</f>
        <v>0</v>
      </c>
      <c r="JBY77" s="223">
        <f xml:space="preserve"> InputsTS!JBY$184</f>
        <v>0</v>
      </c>
      <c r="JBZ77" s="223">
        <f xml:space="preserve"> InputsTS!JBZ$184</f>
        <v>0</v>
      </c>
      <c r="JCA77" s="223">
        <f xml:space="preserve"> InputsTS!JCA$184</f>
        <v>0</v>
      </c>
      <c r="JCB77" s="223">
        <f xml:space="preserve"> InputsTS!JCB$184</f>
        <v>0</v>
      </c>
      <c r="JCC77" s="223">
        <f xml:space="preserve"> InputsTS!JCC$184</f>
        <v>0</v>
      </c>
      <c r="JCD77" s="223">
        <f xml:space="preserve"> InputsTS!JCD$184</f>
        <v>0</v>
      </c>
      <c r="JCE77" s="223">
        <f xml:space="preserve"> InputsTS!JCE$184</f>
        <v>0</v>
      </c>
      <c r="JCF77" s="223">
        <f xml:space="preserve"> InputsTS!JCF$184</f>
        <v>0</v>
      </c>
      <c r="JCG77" s="223">
        <f xml:space="preserve"> InputsTS!JCG$184</f>
        <v>0</v>
      </c>
      <c r="JCH77" s="223">
        <f xml:space="preserve"> InputsTS!JCH$184</f>
        <v>0</v>
      </c>
      <c r="JCI77" s="223">
        <f xml:space="preserve"> InputsTS!JCI$184</f>
        <v>0</v>
      </c>
      <c r="JCJ77" s="223">
        <f xml:space="preserve"> InputsTS!JCJ$184</f>
        <v>0</v>
      </c>
      <c r="JCK77" s="223">
        <f xml:space="preserve"> InputsTS!JCK$184</f>
        <v>0</v>
      </c>
      <c r="JCL77" s="223">
        <f xml:space="preserve"> InputsTS!JCL$184</f>
        <v>0</v>
      </c>
      <c r="JCM77" s="223">
        <f xml:space="preserve"> InputsTS!JCM$184</f>
        <v>0</v>
      </c>
      <c r="JCN77" s="223">
        <f xml:space="preserve"> InputsTS!JCN$184</f>
        <v>0</v>
      </c>
      <c r="JCO77" s="223">
        <f xml:space="preserve"> InputsTS!JCO$184</f>
        <v>0</v>
      </c>
      <c r="JCP77" s="223">
        <f xml:space="preserve"> InputsTS!JCP$184</f>
        <v>0</v>
      </c>
      <c r="JCQ77" s="223">
        <f xml:space="preserve"> InputsTS!JCQ$184</f>
        <v>0</v>
      </c>
      <c r="JCR77" s="223">
        <f xml:space="preserve"> InputsTS!JCR$184</f>
        <v>0</v>
      </c>
      <c r="JCS77" s="223">
        <f xml:space="preserve"> InputsTS!JCS$184</f>
        <v>0</v>
      </c>
      <c r="JCT77" s="223">
        <f xml:space="preserve"> InputsTS!JCT$184</f>
        <v>0</v>
      </c>
      <c r="JCU77" s="223">
        <f xml:space="preserve"> InputsTS!JCU$184</f>
        <v>0</v>
      </c>
      <c r="JCV77" s="223">
        <f xml:space="preserve"> InputsTS!JCV$184</f>
        <v>0</v>
      </c>
      <c r="JCW77" s="223">
        <f xml:space="preserve"> InputsTS!JCW$184</f>
        <v>0</v>
      </c>
      <c r="JCX77" s="223">
        <f xml:space="preserve"> InputsTS!JCX$184</f>
        <v>0</v>
      </c>
      <c r="JCY77" s="223">
        <f xml:space="preserve"> InputsTS!JCY$184</f>
        <v>0</v>
      </c>
      <c r="JCZ77" s="223">
        <f xml:space="preserve"> InputsTS!JCZ$184</f>
        <v>0</v>
      </c>
      <c r="JDA77" s="223">
        <f xml:space="preserve"> InputsTS!JDA$184</f>
        <v>0</v>
      </c>
      <c r="JDB77" s="223">
        <f xml:space="preserve"> InputsTS!JDB$184</f>
        <v>0</v>
      </c>
      <c r="JDC77" s="223">
        <f xml:space="preserve"> InputsTS!JDC$184</f>
        <v>0</v>
      </c>
      <c r="JDD77" s="223">
        <f xml:space="preserve"> InputsTS!JDD$184</f>
        <v>0</v>
      </c>
      <c r="JDE77" s="223">
        <f xml:space="preserve"> InputsTS!JDE$184</f>
        <v>0</v>
      </c>
      <c r="JDF77" s="223">
        <f xml:space="preserve"> InputsTS!JDF$184</f>
        <v>0</v>
      </c>
      <c r="JDG77" s="223">
        <f xml:space="preserve"> InputsTS!JDG$184</f>
        <v>0</v>
      </c>
      <c r="JDH77" s="223">
        <f xml:space="preserve"> InputsTS!JDH$184</f>
        <v>0</v>
      </c>
      <c r="JDI77" s="223">
        <f xml:space="preserve"> InputsTS!JDI$184</f>
        <v>0</v>
      </c>
      <c r="JDJ77" s="223">
        <f xml:space="preserve"> InputsTS!JDJ$184</f>
        <v>0</v>
      </c>
      <c r="JDK77" s="223">
        <f xml:space="preserve"> InputsTS!JDK$184</f>
        <v>0</v>
      </c>
      <c r="JDL77" s="223">
        <f xml:space="preserve"> InputsTS!JDL$184</f>
        <v>0</v>
      </c>
      <c r="JDM77" s="223">
        <f xml:space="preserve"> InputsTS!JDM$184</f>
        <v>0</v>
      </c>
      <c r="JDN77" s="223">
        <f xml:space="preserve"> InputsTS!JDN$184</f>
        <v>0</v>
      </c>
      <c r="JDO77" s="223">
        <f xml:space="preserve"> InputsTS!JDO$184</f>
        <v>0</v>
      </c>
      <c r="JDP77" s="223">
        <f xml:space="preserve"> InputsTS!JDP$184</f>
        <v>0</v>
      </c>
      <c r="JDQ77" s="223">
        <f xml:space="preserve"> InputsTS!JDQ$184</f>
        <v>0</v>
      </c>
      <c r="JDR77" s="223">
        <f xml:space="preserve"> InputsTS!JDR$184</f>
        <v>0</v>
      </c>
      <c r="JDS77" s="223">
        <f xml:space="preserve"> InputsTS!JDS$184</f>
        <v>0</v>
      </c>
      <c r="JDT77" s="223">
        <f xml:space="preserve"> InputsTS!JDT$184</f>
        <v>0</v>
      </c>
      <c r="JDU77" s="223">
        <f xml:space="preserve"> InputsTS!JDU$184</f>
        <v>0</v>
      </c>
      <c r="JDV77" s="223">
        <f xml:space="preserve"> InputsTS!JDV$184</f>
        <v>0</v>
      </c>
      <c r="JDW77" s="223">
        <f xml:space="preserve"> InputsTS!JDW$184</f>
        <v>0</v>
      </c>
      <c r="JDX77" s="223">
        <f xml:space="preserve"> InputsTS!JDX$184</f>
        <v>0</v>
      </c>
      <c r="JDY77" s="223">
        <f xml:space="preserve"> InputsTS!JDY$184</f>
        <v>0</v>
      </c>
      <c r="JDZ77" s="223">
        <f xml:space="preserve"> InputsTS!JDZ$184</f>
        <v>0</v>
      </c>
      <c r="JEA77" s="223">
        <f xml:space="preserve"> InputsTS!JEA$184</f>
        <v>0</v>
      </c>
      <c r="JEB77" s="223">
        <f xml:space="preserve"> InputsTS!JEB$184</f>
        <v>0</v>
      </c>
      <c r="JEC77" s="223">
        <f xml:space="preserve"> InputsTS!JEC$184</f>
        <v>0</v>
      </c>
      <c r="JED77" s="223">
        <f xml:space="preserve"> InputsTS!JED$184</f>
        <v>0</v>
      </c>
      <c r="JEE77" s="223">
        <f xml:space="preserve"> InputsTS!JEE$184</f>
        <v>0</v>
      </c>
      <c r="JEF77" s="223">
        <f xml:space="preserve"> InputsTS!JEF$184</f>
        <v>0</v>
      </c>
      <c r="JEG77" s="223">
        <f xml:space="preserve"> InputsTS!JEG$184</f>
        <v>0</v>
      </c>
      <c r="JEH77" s="223">
        <f xml:space="preserve"> InputsTS!JEH$184</f>
        <v>0</v>
      </c>
      <c r="JEI77" s="223">
        <f xml:space="preserve"> InputsTS!JEI$184</f>
        <v>0</v>
      </c>
      <c r="JEJ77" s="223">
        <f xml:space="preserve"> InputsTS!JEJ$184</f>
        <v>0</v>
      </c>
      <c r="JEK77" s="223">
        <f xml:space="preserve"> InputsTS!JEK$184</f>
        <v>0</v>
      </c>
      <c r="JEL77" s="223">
        <f xml:space="preserve"> InputsTS!JEL$184</f>
        <v>0</v>
      </c>
      <c r="JEM77" s="223">
        <f xml:space="preserve"> InputsTS!JEM$184</f>
        <v>0</v>
      </c>
      <c r="JEN77" s="223">
        <f xml:space="preserve"> InputsTS!JEN$184</f>
        <v>0</v>
      </c>
      <c r="JEO77" s="223">
        <f xml:space="preserve"> InputsTS!JEO$184</f>
        <v>0</v>
      </c>
      <c r="JEP77" s="223">
        <f xml:space="preserve"> InputsTS!JEP$184</f>
        <v>0</v>
      </c>
      <c r="JEQ77" s="223">
        <f xml:space="preserve"> InputsTS!JEQ$184</f>
        <v>0</v>
      </c>
      <c r="JER77" s="223">
        <f xml:space="preserve"> InputsTS!JER$184</f>
        <v>0</v>
      </c>
      <c r="JES77" s="223">
        <f xml:space="preserve"> InputsTS!JES$184</f>
        <v>0</v>
      </c>
      <c r="JET77" s="223">
        <f xml:space="preserve"> InputsTS!JET$184</f>
        <v>0</v>
      </c>
      <c r="JEU77" s="223">
        <f xml:space="preserve"> InputsTS!JEU$184</f>
        <v>0</v>
      </c>
      <c r="JEV77" s="223">
        <f xml:space="preserve"> InputsTS!JEV$184</f>
        <v>0</v>
      </c>
      <c r="JEW77" s="223">
        <f xml:space="preserve"> InputsTS!JEW$184</f>
        <v>0</v>
      </c>
      <c r="JEX77" s="223">
        <f xml:space="preserve"> InputsTS!JEX$184</f>
        <v>0</v>
      </c>
      <c r="JEY77" s="223">
        <f xml:space="preserve"> InputsTS!JEY$184</f>
        <v>0</v>
      </c>
      <c r="JEZ77" s="223">
        <f xml:space="preserve"> InputsTS!JEZ$184</f>
        <v>0</v>
      </c>
      <c r="JFA77" s="223">
        <f xml:space="preserve"> InputsTS!JFA$184</f>
        <v>0</v>
      </c>
      <c r="JFB77" s="223">
        <f xml:space="preserve"> InputsTS!JFB$184</f>
        <v>0</v>
      </c>
      <c r="JFC77" s="223">
        <f xml:space="preserve"> InputsTS!JFC$184</f>
        <v>0</v>
      </c>
      <c r="JFD77" s="223">
        <f xml:space="preserve"> InputsTS!JFD$184</f>
        <v>0</v>
      </c>
      <c r="JFE77" s="223">
        <f xml:space="preserve"> InputsTS!JFE$184</f>
        <v>0</v>
      </c>
      <c r="JFF77" s="223">
        <f xml:space="preserve"> InputsTS!JFF$184</f>
        <v>0</v>
      </c>
      <c r="JFG77" s="223">
        <f xml:space="preserve"> InputsTS!JFG$184</f>
        <v>0</v>
      </c>
      <c r="JFH77" s="223">
        <f xml:space="preserve"> InputsTS!JFH$184</f>
        <v>0</v>
      </c>
      <c r="JFI77" s="223">
        <f xml:space="preserve"> InputsTS!JFI$184</f>
        <v>0</v>
      </c>
      <c r="JFJ77" s="223">
        <f xml:space="preserve"> InputsTS!JFJ$184</f>
        <v>0</v>
      </c>
      <c r="JFK77" s="223">
        <f xml:space="preserve"> InputsTS!JFK$184</f>
        <v>0</v>
      </c>
      <c r="JFL77" s="223">
        <f xml:space="preserve"> InputsTS!JFL$184</f>
        <v>0</v>
      </c>
      <c r="JFM77" s="223">
        <f xml:space="preserve"> InputsTS!JFM$184</f>
        <v>0</v>
      </c>
      <c r="JFN77" s="223">
        <f xml:space="preserve"> InputsTS!JFN$184</f>
        <v>0</v>
      </c>
      <c r="JFO77" s="223">
        <f xml:space="preserve"> InputsTS!JFO$184</f>
        <v>0</v>
      </c>
      <c r="JFP77" s="223">
        <f xml:space="preserve"> InputsTS!JFP$184</f>
        <v>0</v>
      </c>
      <c r="JFQ77" s="223">
        <f xml:space="preserve"> InputsTS!JFQ$184</f>
        <v>0</v>
      </c>
      <c r="JFR77" s="223">
        <f xml:space="preserve"> InputsTS!JFR$184</f>
        <v>0</v>
      </c>
      <c r="JFS77" s="223">
        <f xml:space="preserve"> InputsTS!JFS$184</f>
        <v>0</v>
      </c>
      <c r="JFT77" s="223">
        <f xml:space="preserve"> InputsTS!JFT$184</f>
        <v>0</v>
      </c>
      <c r="JFU77" s="223">
        <f xml:space="preserve"> InputsTS!JFU$184</f>
        <v>0</v>
      </c>
      <c r="JFV77" s="223">
        <f xml:space="preserve"> InputsTS!JFV$184</f>
        <v>0</v>
      </c>
      <c r="JFW77" s="223">
        <f xml:space="preserve"> InputsTS!JFW$184</f>
        <v>0</v>
      </c>
      <c r="JFX77" s="223">
        <f xml:space="preserve"> InputsTS!JFX$184</f>
        <v>0</v>
      </c>
      <c r="JFY77" s="223">
        <f xml:space="preserve"> InputsTS!JFY$184</f>
        <v>0</v>
      </c>
      <c r="JFZ77" s="223">
        <f xml:space="preserve"> InputsTS!JFZ$184</f>
        <v>0</v>
      </c>
      <c r="JGA77" s="223">
        <f xml:space="preserve"> InputsTS!JGA$184</f>
        <v>0</v>
      </c>
      <c r="JGB77" s="223">
        <f xml:space="preserve"> InputsTS!JGB$184</f>
        <v>0</v>
      </c>
      <c r="JGC77" s="223">
        <f xml:space="preserve"> InputsTS!JGC$184</f>
        <v>0</v>
      </c>
      <c r="JGD77" s="223">
        <f xml:space="preserve"> InputsTS!JGD$184</f>
        <v>0</v>
      </c>
      <c r="JGE77" s="223">
        <f xml:space="preserve"> InputsTS!JGE$184</f>
        <v>0</v>
      </c>
      <c r="JGF77" s="223">
        <f xml:space="preserve"> InputsTS!JGF$184</f>
        <v>0</v>
      </c>
      <c r="JGG77" s="223">
        <f xml:space="preserve"> InputsTS!JGG$184</f>
        <v>0</v>
      </c>
      <c r="JGH77" s="223">
        <f xml:space="preserve"> InputsTS!JGH$184</f>
        <v>0</v>
      </c>
      <c r="JGI77" s="223">
        <f xml:space="preserve"> InputsTS!JGI$184</f>
        <v>0</v>
      </c>
      <c r="JGJ77" s="223">
        <f xml:space="preserve"> InputsTS!JGJ$184</f>
        <v>0</v>
      </c>
      <c r="JGK77" s="223">
        <f xml:space="preserve"> InputsTS!JGK$184</f>
        <v>0</v>
      </c>
      <c r="JGL77" s="223">
        <f xml:space="preserve"> InputsTS!JGL$184</f>
        <v>0</v>
      </c>
      <c r="JGM77" s="223">
        <f xml:space="preserve"> InputsTS!JGM$184</f>
        <v>0</v>
      </c>
      <c r="JGN77" s="223">
        <f xml:space="preserve"> InputsTS!JGN$184</f>
        <v>0</v>
      </c>
      <c r="JGO77" s="223">
        <f xml:space="preserve"> InputsTS!JGO$184</f>
        <v>0</v>
      </c>
      <c r="JGP77" s="223">
        <f xml:space="preserve"> InputsTS!JGP$184</f>
        <v>0</v>
      </c>
      <c r="JGQ77" s="223">
        <f xml:space="preserve"> InputsTS!JGQ$184</f>
        <v>0</v>
      </c>
      <c r="JGR77" s="223">
        <f xml:space="preserve"> InputsTS!JGR$184</f>
        <v>0</v>
      </c>
      <c r="JGS77" s="223">
        <f xml:space="preserve"> InputsTS!JGS$184</f>
        <v>0</v>
      </c>
      <c r="JGT77" s="223">
        <f xml:space="preserve"> InputsTS!JGT$184</f>
        <v>0</v>
      </c>
      <c r="JGU77" s="223">
        <f xml:space="preserve"> InputsTS!JGU$184</f>
        <v>0</v>
      </c>
      <c r="JGV77" s="223">
        <f xml:space="preserve"> InputsTS!JGV$184</f>
        <v>0</v>
      </c>
      <c r="JGW77" s="223">
        <f xml:space="preserve"> InputsTS!JGW$184</f>
        <v>0</v>
      </c>
      <c r="JGX77" s="223">
        <f xml:space="preserve"> InputsTS!JGX$184</f>
        <v>0</v>
      </c>
      <c r="JGY77" s="223">
        <f xml:space="preserve"> InputsTS!JGY$184</f>
        <v>0</v>
      </c>
      <c r="JGZ77" s="223">
        <f xml:space="preserve"> InputsTS!JGZ$184</f>
        <v>0</v>
      </c>
      <c r="JHA77" s="223">
        <f xml:space="preserve"> InputsTS!JHA$184</f>
        <v>0</v>
      </c>
      <c r="JHB77" s="223">
        <f xml:space="preserve"> InputsTS!JHB$184</f>
        <v>0</v>
      </c>
      <c r="JHC77" s="223">
        <f xml:space="preserve"> InputsTS!JHC$184</f>
        <v>0</v>
      </c>
      <c r="JHD77" s="223">
        <f xml:space="preserve"> InputsTS!JHD$184</f>
        <v>0</v>
      </c>
      <c r="JHE77" s="223">
        <f xml:space="preserve"> InputsTS!JHE$184</f>
        <v>0</v>
      </c>
      <c r="JHF77" s="223">
        <f xml:space="preserve"> InputsTS!JHF$184</f>
        <v>0</v>
      </c>
      <c r="JHG77" s="223">
        <f xml:space="preserve"> InputsTS!JHG$184</f>
        <v>0</v>
      </c>
      <c r="JHH77" s="223">
        <f xml:space="preserve"> InputsTS!JHH$184</f>
        <v>0</v>
      </c>
      <c r="JHI77" s="223">
        <f xml:space="preserve"> InputsTS!JHI$184</f>
        <v>0</v>
      </c>
      <c r="JHJ77" s="223">
        <f xml:space="preserve"> InputsTS!JHJ$184</f>
        <v>0</v>
      </c>
      <c r="JHK77" s="223">
        <f xml:space="preserve"> InputsTS!JHK$184</f>
        <v>0</v>
      </c>
      <c r="JHL77" s="223">
        <f xml:space="preserve"> InputsTS!JHL$184</f>
        <v>0</v>
      </c>
      <c r="JHM77" s="223">
        <f xml:space="preserve"> InputsTS!JHM$184</f>
        <v>0</v>
      </c>
      <c r="JHN77" s="223">
        <f xml:space="preserve"> InputsTS!JHN$184</f>
        <v>0</v>
      </c>
      <c r="JHO77" s="223">
        <f xml:space="preserve"> InputsTS!JHO$184</f>
        <v>0</v>
      </c>
      <c r="JHP77" s="223">
        <f xml:space="preserve"> InputsTS!JHP$184</f>
        <v>0</v>
      </c>
      <c r="JHQ77" s="223">
        <f xml:space="preserve"> InputsTS!JHQ$184</f>
        <v>0</v>
      </c>
      <c r="JHR77" s="223">
        <f xml:space="preserve"> InputsTS!JHR$184</f>
        <v>0</v>
      </c>
      <c r="JHS77" s="223">
        <f xml:space="preserve"> InputsTS!JHS$184</f>
        <v>0</v>
      </c>
      <c r="JHT77" s="223">
        <f xml:space="preserve"> InputsTS!JHT$184</f>
        <v>0</v>
      </c>
      <c r="JHU77" s="223">
        <f xml:space="preserve"> InputsTS!JHU$184</f>
        <v>0</v>
      </c>
      <c r="JHV77" s="223">
        <f xml:space="preserve"> InputsTS!JHV$184</f>
        <v>0</v>
      </c>
      <c r="JHW77" s="223">
        <f xml:space="preserve"> InputsTS!JHW$184</f>
        <v>0</v>
      </c>
      <c r="JHX77" s="223">
        <f xml:space="preserve"> InputsTS!JHX$184</f>
        <v>0</v>
      </c>
      <c r="JHY77" s="223">
        <f xml:space="preserve"> InputsTS!JHY$184</f>
        <v>0</v>
      </c>
      <c r="JHZ77" s="223">
        <f xml:space="preserve"> InputsTS!JHZ$184</f>
        <v>0</v>
      </c>
      <c r="JIA77" s="223">
        <f xml:space="preserve"> InputsTS!JIA$184</f>
        <v>0</v>
      </c>
      <c r="JIB77" s="223">
        <f xml:space="preserve"> InputsTS!JIB$184</f>
        <v>0</v>
      </c>
      <c r="JIC77" s="223">
        <f xml:space="preserve"> InputsTS!JIC$184</f>
        <v>0</v>
      </c>
      <c r="JID77" s="223">
        <f xml:space="preserve"> InputsTS!JID$184</f>
        <v>0</v>
      </c>
      <c r="JIE77" s="223">
        <f xml:space="preserve"> InputsTS!JIE$184</f>
        <v>0</v>
      </c>
      <c r="JIF77" s="223">
        <f xml:space="preserve"> InputsTS!JIF$184</f>
        <v>0</v>
      </c>
      <c r="JIG77" s="223">
        <f xml:space="preserve"> InputsTS!JIG$184</f>
        <v>0</v>
      </c>
      <c r="JIH77" s="223">
        <f xml:space="preserve"> InputsTS!JIH$184</f>
        <v>0</v>
      </c>
      <c r="JII77" s="223">
        <f xml:space="preserve"> InputsTS!JII$184</f>
        <v>0</v>
      </c>
      <c r="JIJ77" s="223">
        <f xml:space="preserve"> InputsTS!JIJ$184</f>
        <v>0</v>
      </c>
      <c r="JIK77" s="223">
        <f xml:space="preserve"> InputsTS!JIK$184</f>
        <v>0</v>
      </c>
      <c r="JIL77" s="223">
        <f xml:space="preserve"> InputsTS!JIL$184</f>
        <v>0</v>
      </c>
      <c r="JIM77" s="223">
        <f xml:space="preserve"> InputsTS!JIM$184</f>
        <v>0</v>
      </c>
      <c r="JIN77" s="223">
        <f xml:space="preserve"> InputsTS!JIN$184</f>
        <v>0</v>
      </c>
      <c r="JIO77" s="223">
        <f xml:space="preserve"> InputsTS!JIO$184</f>
        <v>0</v>
      </c>
      <c r="JIP77" s="223">
        <f xml:space="preserve"> InputsTS!JIP$184</f>
        <v>0</v>
      </c>
      <c r="JIQ77" s="223">
        <f xml:space="preserve"> InputsTS!JIQ$184</f>
        <v>0</v>
      </c>
      <c r="JIR77" s="223">
        <f xml:space="preserve"> InputsTS!JIR$184</f>
        <v>0</v>
      </c>
      <c r="JIS77" s="223">
        <f xml:space="preserve"> InputsTS!JIS$184</f>
        <v>0</v>
      </c>
      <c r="JIT77" s="223">
        <f xml:space="preserve"> InputsTS!JIT$184</f>
        <v>0</v>
      </c>
      <c r="JIU77" s="223">
        <f xml:space="preserve"> InputsTS!JIU$184</f>
        <v>0</v>
      </c>
      <c r="JIV77" s="223">
        <f xml:space="preserve"> InputsTS!JIV$184</f>
        <v>0</v>
      </c>
      <c r="JIW77" s="223">
        <f xml:space="preserve"> InputsTS!JIW$184</f>
        <v>0</v>
      </c>
      <c r="JIX77" s="223">
        <f xml:space="preserve"> InputsTS!JIX$184</f>
        <v>0</v>
      </c>
      <c r="JIY77" s="223">
        <f xml:space="preserve"> InputsTS!JIY$184</f>
        <v>0</v>
      </c>
      <c r="JIZ77" s="223">
        <f xml:space="preserve"> InputsTS!JIZ$184</f>
        <v>0</v>
      </c>
      <c r="JJA77" s="223">
        <f xml:space="preserve"> InputsTS!JJA$184</f>
        <v>0</v>
      </c>
      <c r="JJB77" s="223">
        <f xml:space="preserve"> InputsTS!JJB$184</f>
        <v>0</v>
      </c>
      <c r="JJC77" s="223">
        <f xml:space="preserve"> InputsTS!JJC$184</f>
        <v>0</v>
      </c>
      <c r="JJD77" s="223">
        <f xml:space="preserve"> InputsTS!JJD$184</f>
        <v>0</v>
      </c>
      <c r="JJE77" s="223">
        <f xml:space="preserve"> InputsTS!JJE$184</f>
        <v>0</v>
      </c>
      <c r="JJF77" s="223">
        <f xml:space="preserve"> InputsTS!JJF$184</f>
        <v>0</v>
      </c>
      <c r="JJG77" s="223">
        <f xml:space="preserve"> InputsTS!JJG$184</f>
        <v>0</v>
      </c>
      <c r="JJH77" s="223">
        <f xml:space="preserve"> InputsTS!JJH$184</f>
        <v>0</v>
      </c>
      <c r="JJI77" s="223">
        <f xml:space="preserve"> InputsTS!JJI$184</f>
        <v>0</v>
      </c>
      <c r="JJJ77" s="223">
        <f xml:space="preserve"> InputsTS!JJJ$184</f>
        <v>0</v>
      </c>
      <c r="JJK77" s="223">
        <f xml:space="preserve"> InputsTS!JJK$184</f>
        <v>0</v>
      </c>
      <c r="JJL77" s="223">
        <f xml:space="preserve"> InputsTS!JJL$184</f>
        <v>0</v>
      </c>
      <c r="JJM77" s="223">
        <f xml:space="preserve"> InputsTS!JJM$184</f>
        <v>0</v>
      </c>
      <c r="JJN77" s="223">
        <f xml:space="preserve"> InputsTS!JJN$184</f>
        <v>0</v>
      </c>
      <c r="JJO77" s="223">
        <f xml:space="preserve"> InputsTS!JJO$184</f>
        <v>0</v>
      </c>
      <c r="JJP77" s="223">
        <f xml:space="preserve"> InputsTS!JJP$184</f>
        <v>0</v>
      </c>
      <c r="JJQ77" s="223">
        <f xml:space="preserve"> InputsTS!JJQ$184</f>
        <v>0</v>
      </c>
      <c r="JJR77" s="223">
        <f xml:space="preserve"> InputsTS!JJR$184</f>
        <v>0</v>
      </c>
      <c r="JJS77" s="223">
        <f xml:space="preserve"> InputsTS!JJS$184</f>
        <v>0</v>
      </c>
      <c r="JJT77" s="223">
        <f xml:space="preserve"> InputsTS!JJT$184</f>
        <v>0</v>
      </c>
      <c r="JJU77" s="223">
        <f xml:space="preserve"> InputsTS!JJU$184</f>
        <v>0</v>
      </c>
      <c r="JJV77" s="223">
        <f xml:space="preserve"> InputsTS!JJV$184</f>
        <v>0</v>
      </c>
      <c r="JJW77" s="223">
        <f xml:space="preserve"> InputsTS!JJW$184</f>
        <v>0</v>
      </c>
      <c r="JJX77" s="223">
        <f xml:space="preserve"> InputsTS!JJX$184</f>
        <v>0</v>
      </c>
      <c r="JJY77" s="223">
        <f xml:space="preserve"> InputsTS!JJY$184</f>
        <v>0</v>
      </c>
      <c r="JJZ77" s="223">
        <f xml:space="preserve"> InputsTS!JJZ$184</f>
        <v>0</v>
      </c>
      <c r="JKA77" s="223">
        <f xml:space="preserve"> InputsTS!JKA$184</f>
        <v>0</v>
      </c>
      <c r="JKB77" s="223">
        <f xml:space="preserve"> InputsTS!JKB$184</f>
        <v>0</v>
      </c>
      <c r="JKC77" s="223">
        <f xml:space="preserve"> InputsTS!JKC$184</f>
        <v>0</v>
      </c>
      <c r="JKD77" s="223">
        <f xml:space="preserve"> InputsTS!JKD$184</f>
        <v>0</v>
      </c>
      <c r="JKE77" s="223">
        <f xml:space="preserve"> InputsTS!JKE$184</f>
        <v>0</v>
      </c>
      <c r="JKF77" s="223">
        <f xml:space="preserve"> InputsTS!JKF$184</f>
        <v>0</v>
      </c>
      <c r="JKG77" s="223">
        <f xml:space="preserve"> InputsTS!JKG$184</f>
        <v>0</v>
      </c>
      <c r="JKH77" s="223">
        <f xml:space="preserve"> InputsTS!JKH$184</f>
        <v>0</v>
      </c>
      <c r="JKI77" s="223">
        <f xml:space="preserve"> InputsTS!JKI$184</f>
        <v>0</v>
      </c>
      <c r="JKJ77" s="223">
        <f xml:space="preserve"> InputsTS!JKJ$184</f>
        <v>0</v>
      </c>
      <c r="JKK77" s="223">
        <f xml:space="preserve"> InputsTS!JKK$184</f>
        <v>0</v>
      </c>
      <c r="JKL77" s="223">
        <f xml:space="preserve"> InputsTS!JKL$184</f>
        <v>0</v>
      </c>
      <c r="JKM77" s="223">
        <f xml:space="preserve"> InputsTS!JKM$184</f>
        <v>0</v>
      </c>
      <c r="JKN77" s="223">
        <f xml:space="preserve"> InputsTS!JKN$184</f>
        <v>0</v>
      </c>
      <c r="JKO77" s="223">
        <f xml:space="preserve"> InputsTS!JKO$184</f>
        <v>0</v>
      </c>
      <c r="JKP77" s="223">
        <f xml:space="preserve"> InputsTS!JKP$184</f>
        <v>0</v>
      </c>
      <c r="JKQ77" s="223">
        <f xml:space="preserve"> InputsTS!JKQ$184</f>
        <v>0</v>
      </c>
      <c r="JKR77" s="223">
        <f xml:space="preserve"> InputsTS!JKR$184</f>
        <v>0</v>
      </c>
      <c r="JKS77" s="223">
        <f xml:space="preserve"> InputsTS!JKS$184</f>
        <v>0</v>
      </c>
      <c r="JKT77" s="223">
        <f xml:space="preserve"> InputsTS!JKT$184</f>
        <v>0</v>
      </c>
      <c r="JKU77" s="223">
        <f xml:space="preserve"> InputsTS!JKU$184</f>
        <v>0</v>
      </c>
      <c r="JKV77" s="223">
        <f xml:space="preserve"> InputsTS!JKV$184</f>
        <v>0</v>
      </c>
      <c r="JKW77" s="223">
        <f xml:space="preserve"> InputsTS!JKW$184</f>
        <v>0</v>
      </c>
      <c r="JKX77" s="223">
        <f xml:space="preserve"> InputsTS!JKX$184</f>
        <v>0</v>
      </c>
      <c r="JKY77" s="223">
        <f xml:space="preserve"> InputsTS!JKY$184</f>
        <v>0</v>
      </c>
      <c r="JKZ77" s="223">
        <f xml:space="preserve"> InputsTS!JKZ$184</f>
        <v>0</v>
      </c>
      <c r="JLA77" s="223">
        <f xml:space="preserve"> InputsTS!JLA$184</f>
        <v>0</v>
      </c>
      <c r="JLB77" s="223">
        <f xml:space="preserve"> InputsTS!JLB$184</f>
        <v>0</v>
      </c>
      <c r="JLC77" s="223">
        <f xml:space="preserve"> InputsTS!JLC$184</f>
        <v>0</v>
      </c>
      <c r="JLD77" s="223">
        <f xml:space="preserve"> InputsTS!JLD$184</f>
        <v>0</v>
      </c>
      <c r="JLE77" s="223">
        <f xml:space="preserve"> InputsTS!JLE$184</f>
        <v>0</v>
      </c>
      <c r="JLF77" s="223">
        <f xml:space="preserve"> InputsTS!JLF$184</f>
        <v>0</v>
      </c>
      <c r="JLG77" s="223">
        <f xml:space="preserve"> InputsTS!JLG$184</f>
        <v>0</v>
      </c>
      <c r="JLH77" s="223">
        <f xml:space="preserve"> InputsTS!JLH$184</f>
        <v>0</v>
      </c>
      <c r="JLI77" s="223">
        <f xml:space="preserve"> InputsTS!JLI$184</f>
        <v>0</v>
      </c>
      <c r="JLJ77" s="223">
        <f xml:space="preserve"> InputsTS!JLJ$184</f>
        <v>0</v>
      </c>
      <c r="JLK77" s="223">
        <f xml:space="preserve"> InputsTS!JLK$184</f>
        <v>0</v>
      </c>
      <c r="JLL77" s="223">
        <f xml:space="preserve"> InputsTS!JLL$184</f>
        <v>0</v>
      </c>
      <c r="JLM77" s="223">
        <f xml:space="preserve"> InputsTS!JLM$184</f>
        <v>0</v>
      </c>
      <c r="JLN77" s="223">
        <f xml:space="preserve"> InputsTS!JLN$184</f>
        <v>0</v>
      </c>
      <c r="JLO77" s="223">
        <f xml:space="preserve"> InputsTS!JLO$184</f>
        <v>0</v>
      </c>
      <c r="JLP77" s="223">
        <f xml:space="preserve"> InputsTS!JLP$184</f>
        <v>0</v>
      </c>
      <c r="JLQ77" s="223">
        <f xml:space="preserve"> InputsTS!JLQ$184</f>
        <v>0</v>
      </c>
      <c r="JLR77" s="223">
        <f xml:space="preserve"> InputsTS!JLR$184</f>
        <v>0</v>
      </c>
      <c r="JLS77" s="223">
        <f xml:space="preserve"> InputsTS!JLS$184</f>
        <v>0</v>
      </c>
      <c r="JLT77" s="223">
        <f xml:space="preserve"> InputsTS!JLT$184</f>
        <v>0</v>
      </c>
      <c r="JLU77" s="223">
        <f xml:space="preserve"> InputsTS!JLU$184</f>
        <v>0</v>
      </c>
      <c r="JLV77" s="223">
        <f xml:space="preserve"> InputsTS!JLV$184</f>
        <v>0</v>
      </c>
      <c r="JLW77" s="223">
        <f xml:space="preserve"> InputsTS!JLW$184</f>
        <v>0</v>
      </c>
      <c r="JLX77" s="223">
        <f xml:space="preserve"> InputsTS!JLX$184</f>
        <v>0</v>
      </c>
      <c r="JLY77" s="223">
        <f xml:space="preserve"> InputsTS!JLY$184</f>
        <v>0</v>
      </c>
      <c r="JLZ77" s="223">
        <f xml:space="preserve"> InputsTS!JLZ$184</f>
        <v>0</v>
      </c>
      <c r="JMA77" s="223">
        <f xml:space="preserve"> InputsTS!JMA$184</f>
        <v>0</v>
      </c>
      <c r="JMB77" s="223">
        <f xml:space="preserve"> InputsTS!JMB$184</f>
        <v>0</v>
      </c>
      <c r="JMC77" s="223">
        <f xml:space="preserve"> InputsTS!JMC$184</f>
        <v>0</v>
      </c>
      <c r="JMD77" s="223">
        <f xml:space="preserve"> InputsTS!JMD$184</f>
        <v>0</v>
      </c>
      <c r="JME77" s="223">
        <f xml:space="preserve"> InputsTS!JME$184</f>
        <v>0</v>
      </c>
      <c r="JMF77" s="223">
        <f xml:space="preserve"> InputsTS!JMF$184</f>
        <v>0</v>
      </c>
      <c r="JMG77" s="223">
        <f xml:space="preserve"> InputsTS!JMG$184</f>
        <v>0</v>
      </c>
      <c r="JMH77" s="223">
        <f xml:space="preserve"> InputsTS!JMH$184</f>
        <v>0</v>
      </c>
      <c r="JMI77" s="223">
        <f xml:space="preserve"> InputsTS!JMI$184</f>
        <v>0</v>
      </c>
      <c r="JMJ77" s="223">
        <f xml:space="preserve"> InputsTS!JMJ$184</f>
        <v>0</v>
      </c>
      <c r="JMK77" s="223">
        <f xml:space="preserve"> InputsTS!JMK$184</f>
        <v>0</v>
      </c>
      <c r="JML77" s="223">
        <f xml:space="preserve"> InputsTS!JML$184</f>
        <v>0</v>
      </c>
      <c r="JMM77" s="223">
        <f xml:space="preserve"> InputsTS!JMM$184</f>
        <v>0</v>
      </c>
      <c r="JMN77" s="223">
        <f xml:space="preserve"> InputsTS!JMN$184</f>
        <v>0</v>
      </c>
      <c r="JMO77" s="223">
        <f xml:space="preserve"> InputsTS!JMO$184</f>
        <v>0</v>
      </c>
      <c r="JMP77" s="223">
        <f xml:space="preserve"> InputsTS!JMP$184</f>
        <v>0</v>
      </c>
      <c r="JMQ77" s="223">
        <f xml:space="preserve"> InputsTS!JMQ$184</f>
        <v>0</v>
      </c>
      <c r="JMR77" s="223">
        <f xml:space="preserve"> InputsTS!JMR$184</f>
        <v>0</v>
      </c>
      <c r="JMS77" s="223">
        <f xml:space="preserve"> InputsTS!JMS$184</f>
        <v>0</v>
      </c>
      <c r="JMT77" s="223">
        <f xml:space="preserve"> InputsTS!JMT$184</f>
        <v>0</v>
      </c>
      <c r="JMU77" s="223">
        <f xml:space="preserve"> InputsTS!JMU$184</f>
        <v>0</v>
      </c>
      <c r="JMV77" s="223">
        <f xml:space="preserve"> InputsTS!JMV$184</f>
        <v>0</v>
      </c>
      <c r="JMW77" s="223">
        <f xml:space="preserve"> InputsTS!JMW$184</f>
        <v>0</v>
      </c>
      <c r="JMX77" s="223">
        <f xml:space="preserve"> InputsTS!JMX$184</f>
        <v>0</v>
      </c>
      <c r="JMY77" s="223">
        <f xml:space="preserve"> InputsTS!JMY$184</f>
        <v>0</v>
      </c>
      <c r="JMZ77" s="223">
        <f xml:space="preserve"> InputsTS!JMZ$184</f>
        <v>0</v>
      </c>
      <c r="JNA77" s="223">
        <f xml:space="preserve"> InputsTS!JNA$184</f>
        <v>0</v>
      </c>
      <c r="JNB77" s="223">
        <f xml:space="preserve"> InputsTS!JNB$184</f>
        <v>0</v>
      </c>
      <c r="JNC77" s="223">
        <f xml:space="preserve"> InputsTS!JNC$184</f>
        <v>0</v>
      </c>
      <c r="JND77" s="223">
        <f xml:space="preserve"> InputsTS!JND$184</f>
        <v>0</v>
      </c>
      <c r="JNE77" s="223">
        <f xml:space="preserve"> InputsTS!JNE$184</f>
        <v>0</v>
      </c>
      <c r="JNF77" s="223">
        <f xml:space="preserve"> InputsTS!JNF$184</f>
        <v>0</v>
      </c>
      <c r="JNG77" s="223">
        <f xml:space="preserve"> InputsTS!JNG$184</f>
        <v>0</v>
      </c>
      <c r="JNH77" s="223">
        <f xml:space="preserve"> InputsTS!JNH$184</f>
        <v>0</v>
      </c>
      <c r="JNI77" s="223">
        <f xml:space="preserve"> InputsTS!JNI$184</f>
        <v>0</v>
      </c>
      <c r="JNJ77" s="223">
        <f xml:space="preserve"> InputsTS!JNJ$184</f>
        <v>0</v>
      </c>
      <c r="JNK77" s="223">
        <f xml:space="preserve"> InputsTS!JNK$184</f>
        <v>0</v>
      </c>
      <c r="JNL77" s="223">
        <f xml:space="preserve"> InputsTS!JNL$184</f>
        <v>0</v>
      </c>
      <c r="JNM77" s="223">
        <f xml:space="preserve"> InputsTS!JNM$184</f>
        <v>0</v>
      </c>
      <c r="JNN77" s="223">
        <f xml:space="preserve"> InputsTS!JNN$184</f>
        <v>0</v>
      </c>
      <c r="JNO77" s="223">
        <f xml:space="preserve"> InputsTS!JNO$184</f>
        <v>0</v>
      </c>
      <c r="JNP77" s="223">
        <f xml:space="preserve"> InputsTS!JNP$184</f>
        <v>0</v>
      </c>
      <c r="JNQ77" s="223">
        <f xml:space="preserve"> InputsTS!JNQ$184</f>
        <v>0</v>
      </c>
      <c r="JNR77" s="223">
        <f xml:space="preserve"> InputsTS!JNR$184</f>
        <v>0</v>
      </c>
      <c r="JNS77" s="223">
        <f xml:space="preserve"> InputsTS!JNS$184</f>
        <v>0</v>
      </c>
      <c r="JNT77" s="223">
        <f xml:space="preserve"> InputsTS!JNT$184</f>
        <v>0</v>
      </c>
      <c r="JNU77" s="223">
        <f xml:space="preserve"> InputsTS!JNU$184</f>
        <v>0</v>
      </c>
      <c r="JNV77" s="223">
        <f xml:space="preserve"> InputsTS!JNV$184</f>
        <v>0</v>
      </c>
      <c r="JNW77" s="223">
        <f xml:space="preserve"> InputsTS!JNW$184</f>
        <v>0</v>
      </c>
      <c r="JNX77" s="223">
        <f xml:space="preserve"> InputsTS!JNX$184</f>
        <v>0</v>
      </c>
      <c r="JNY77" s="223">
        <f xml:space="preserve"> InputsTS!JNY$184</f>
        <v>0</v>
      </c>
      <c r="JNZ77" s="223">
        <f xml:space="preserve"> InputsTS!JNZ$184</f>
        <v>0</v>
      </c>
      <c r="JOA77" s="223">
        <f xml:space="preserve"> InputsTS!JOA$184</f>
        <v>0</v>
      </c>
      <c r="JOB77" s="223">
        <f xml:space="preserve"> InputsTS!JOB$184</f>
        <v>0</v>
      </c>
      <c r="JOC77" s="223">
        <f xml:space="preserve"> InputsTS!JOC$184</f>
        <v>0</v>
      </c>
      <c r="JOD77" s="223">
        <f xml:space="preserve"> InputsTS!JOD$184</f>
        <v>0</v>
      </c>
      <c r="JOE77" s="223">
        <f xml:space="preserve"> InputsTS!JOE$184</f>
        <v>0</v>
      </c>
      <c r="JOF77" s="223">
        <f xml:space="preserve"> InputsTS!JOF$184</f>
        <v>0</v>
      </c>
      <c r="JOG77" s="223">
        <f xml:space="preserve"> InputsTS!JOG$184</f>
        <v>0</v>
      </c>
      <c r="JOH77" s="223">
        <f xml:space="preserve"> InputsTS!JOH$184</f>
        <v>0</v>
      </c>
      <c r="JOI77" s="223">
        <f xml:space="preserve"> InputsTS!JOI$184</f>
        <v>0</v>
      </c>
      <c r="JOJ77" s="223">
        <f xml:space="preserve"> InputsTS!JOJ$184</f>
        <v>0</v>
      </c>
      <c r="JOK77" s="223">
        <f xml:space="preserve"> InputsTS!JOK$184</f>
        <v>0</v>
      </c>
      <c r="JOL77" s="223">
        <f xml:space="preserve"> InputsTS!JOL$184</f>
        <v>0</v>
      </c>
      <c r="JOM77" s="223">
        <f xml:space="preserve"> InputsTS!JOM$184</f>
        <v>0</v>
      </c>
      <c r="JON77" s="223">
        <f xml:space="preserve"> InputsTS!JON$184</f>
        <v>0</v>
      </c>
      <c r="JOO77" s="223">
        <f xml:space="preserve"> InputsTS!JOO$184</f>
        <v>0</v>
      </c>
      <c r="JOP77" s="223">
        <f xml:space="preserve"> InputsTS!JOP$184</f>
        <v>0</v>
      </c>
      <c r="JOQ77" s="223">
        <f xml:space="preserve"> InputsTS!JOQ$184</f>
        <v>0</v>
      </c>
      <c r="JOR77" s="223">
        <f xml:space="preserve"> InputsTS!JOR$184</f>
        <v>0</v>
      </c>
      <c r="JOS77" s="223">
        <f xml:space="preserve"> InputsTS!JOS$184</f>
        <v>0</v>
      </c>
      <c r="JOT77" s="223">
        <f xml:space="preserve"> InputsTS!JOT$184</f>
        <v>0</v>
      </c>
      <c r="JOU77" s="223">
        <f xml:space="preserve"> InputsTS!JOU$184</f>
        <v>0</v>
      </c>
      <c r="JOV77" s="223">
        <f xml:space="preserve"> InputsTS!JOV$184</f>
        <v>0</v>
      </c>
      <c r="JOW77" s="223">
        <f xml:space="preserve"> InputsTS!JOW$184</f>
        <v>0</v>
      </c>
      <c r="JOX77" s="223">
        <f xml:space="preserve"> InputsTS!JOX$184</f>
        <v>0</v>
      </c>
      <c r="JOY77" s="223">
        <f xml:space="preserve"> InputsTS!JOY$184</f>
        <v>0</v>
      </c>
      <c r="JOZ77" s="223">
        <f xml:space="preserve"> InputsTS!JOZ$184</f>
        <v>0</v>
      </c>
      <c r="JPA77" s="223">
        <f xml:space="preserve"> InputsTS!JPA$184</f>
        <v>0</v>
      </c>
      <c r="JPB77" s="223">
        <f xml:space="preserve"> InputsTS!JPB$184</f>
        <v>0</v>
      </c>
      <c r="JPC77" s="223">
        <f xml:space="preserve"> InputsTS!JPC$184</f>
        <v>0</v>
      </c>
      <c r="JPD77" s="223">
        <f xml:space="preserve"> InputsTS!JPD$184</f>
        <v>0</v>
      </c>
      <c r="JPE77" s="223">
        <f xml:space="preserve"> InputsTS!JPE$184</f>
        <v>0</v>
      </c>
      <c r="JPF77" s="223">
        <f xml:space="preserve"> InputsTS!JPF$184</f>
        <v>0</v>
      </c>
      <c r="JPG77" s="223">
        <f xml:space="preserve"> InputsTS!JPG$184</f>
        <v>0</v>
      </c>
      <c r="JPH77" s="223">
        <f xml:space="preserve"> InputsTS!JPH$184</f>
        <v>0</v>
      </c>
      <c r="JPI77" s="223">
        <f xml:space="preserve"> InputsTS!JPI$184</f>
        <v>0</v>
      </c>
      <c r="JPJ77" s="223">
        <f xml:space="preserve"> InputsTS!JPJ$184</f>
        <v>0</v>
      </c>
      <c r="JPK77" s="223">
        <f xml:space="preserve"> InputsTS!JPK$184</f>
        <v>0</v>
      </c>
      <c r="JPL77" s="223">
        <f xml:space="preserve"> InputsTS!JPL$184</f>
        <v>0</v>
      </c>
      <c r="JPM77" s="223">
        <f xml:space="preserve"> InputsTS!JPM$184</f>
        <v>0</v>
      </c>
      <c r="JPN77" s="223">
        <f xml:space="preserve"> InputsTS!JPN$184</f>
        <v>0</v>
      </c>
      <c r="JPO77" s="223">
        <f xml:space="preserve"> InputsTS!JPO$184</f>
        <v>0</v>
      </c>
      <c r="JPP77" s="223">
        <f xml:space="preserve"> InputsTS!JPP$184</f>
        <v>0</v>
      </c>
      <c r="JPQ77" s="223">
        <f xml:space="preserve"> InputsTS!JPQ$184</f>
        <v>0</v>
      </c>
      <c r="JPR77" s="223">
        <f xml:space="preserve"> InputsTS!JPR$184</f>
        <v>0</v>
      </c>
      <c r="JPS77" s="223">
        <f xml:space="preserve"> InputsTS!JPS$184</f>
        <v>0</v>
      </c>
      <c r="JPT77" s="223">
        <f xml:space="preserve"> InputsTS!JPT$184</f>
        <v>0</v>
      </c>
      <c r="JPU77" s="223">
        <f xml:space="preserve"> InputsTS!JPU$184</f>
        <v>0</v>
      </c>
      <c r="JPV77" s="223">
        <f xml:space="preserve"> InputsTS!JPV$184</f>
        <v>0</v>
      </c>
      <c r="JPW77" s="223">
        <f xml:space="preserve"> InputsTS!JPW$184</f>
        <v>0</v>
      </c>
      <c r="JPX77" s="223">
        <f xml:space="preserve"> InputsTS!JPX$184</f>
        <v>0</v>
      </c>
      <c r="JPY77" s="223">
        <f xml:space="preserve"> InputsTS!JPY$184</f>
        <v>0</v>
      </c>
      <c r="JPZ77" s="223">
        <f xml:space="preserve"> InputsTS!JPZ$184</f>
        <v>0</v>
      </c>
      <c r="JQA77" s="223">
        <f xml:space="preserve"> InputsTS!JQA$184</f>
        <v>0</v>
      </c>
      <c r="JQB77" s="223">
        <f xml:space="preserve"> InputsTS!JQB$184</f>
        <v>0</v>
      </c>
      <c r="JQC77" s="223">
        <f xml:space="preserve"> InputsTS!JQC$184</f>
        <v>0</v>
      </c>
      <c r="JQD77" s="223">
        <f xml:space="preserve"> InputsTS!JQD$184</f>
        <v>0</v>
      </c>
      <c r="JQE77" s="223">
        <f xml:space="preserve"> InputsTS!JQE$184</f>
        <v>0</v>
      </c>
      <c r="JQF77" s="223">
        <f xml:space="preserve"> InputsTS!JQF$184</f>
        <v>0</v>
      </c>
      <c r="JQG77" s="223">
        <f xml:space="preserve"> InputsTS!JQG$184</f>
        <v>0</v>
      </c>
      <c r="JQH77" s="223">
        <f xml:space="preserve"> InputsTS!JQH$184</f>
        <v>0</v>
      </c>
      <c r="JQI77" s="223">
        <f xml:space="preserve"> InputsTS!JQI$184</f>
        <v>0</v>
      </c>
      <c r="JQJ77" s="223">
        <f xml:space="preserve"> InputsTS!JQJ$184</f>
        <v>0</v>
      </c>
      <c r="JQK77" s="223">
        <f xml:space="preserve"> InputsTS!JQK$184</f>
        <v>0</v>
      </c>
      <c r="JQL77" s="223">
        <f xml:space="preserve"> InputsTS!JQL$184</f>
        <v>0</v>
      </c>
      <c r="JQM77" s="223">
        <f xml:space="preserve"> InputsTS!JQM$184</f>
        <v>0</v>
      </c>
      <c r="JQN77" s="223">
        <f xml:space="preserve"> InputsTS!JQN$184</f>
        <v>0</v>
      </c>
      <c r="JQO77" s="223">
        <f xml:space="preserve"> InputsTS!JQO$184</f>
        <v>0</v>
      </c>
      <c r="JQP77" s="223">
        <f xml:space="preserve"> InputsTS!JQP$184</f>
        <v>0</v>
      </c>
      <c r="JQQ77" s="223">
        <f xml:space="preserve"> InputsTS!JQQ$184</f>
        <v>0</v>
      </c>
      <c r="JQR77" s="223">
        <f xml:space="preserve"> InputsTS!JQR$184</f>
        <v>0</v>
      </c>
      <c r="JQS77" s="223">
        <f xml:space="preserve"> InputsTS!JQS$184</f>
        <v>0</v>
      </c>
      <c r="JQT77" s="223">
        <f xml:space="preserve"> InputsTS!JQT$184</f>
        <v>0</v>
      </c>
      <c r="JQU77" s="223">
        <f xml:space="preserve"> InputsTS!JQU$184</f>
        <v>0</v>
      </c>
      <c r="JQV77" s="223">
        <f xml:space="preserve"> InputsTS!JQV$184</f>
        <v>0</v>
      </c>
      <c r="JQW77" s="223">
        <f xml:space="preserve"> InputsTS!JQW$184</f>
        <v>0</v>
      </c>
      <c r="JQX77" s="223">
        <f xml:space="preserve"> InputsTS!JQX$184</f>
        <v>0</v>
      </c>
      <c r="JQY77" s="223">
        <f xml:space="preserve"> InputsTS!JQY$184</f>
        <v>0</v>
      </c>
      <c r="JQZ77" s="223">
        <f xml:space="preserve"> InputsTS!JQZ$184</f>
        <v>0</v>
      </c>
      <c r="JRA77" s="223">
        <f xml:space="preserve"> InputsTS!JRA$184</f>
        <v>0</v>
      </c>
      <c r="JRB77" s="223">
        <f xml:space="preserve"> InputsTS!JRB$184</f>
        <v>0</v>
      </c>
      <c r="JRC77" s="223">
        <f xml:space="preserve"> InputsTS!JRC$184</f>
        <v>0</v>
      </c>
      <c r="JRD77" s="223">
        <f xml:space="preserve"> InputsTS!JRD$184</f>
        <v>0</v>
      </c>
      <c r="JRE77" s="223">
        <f xml:space="preserve"> InputsTS!JRE$184</f>
        <v>0</v>
      </c>
      <c r="JRF77" s="223">
        <f xml:space="preserve"> InputsTS!JRF$184</f>
        <v>0</v>
      </c>
      <c r="JRG77" s="223">
        <f xml:space="preserve"> InputsTS!JRG$184</f>
        <v>0</v>
      </c>
      <c r="JRH77" s="223">
        <f xml:space="preserve"> InputsTS!JRH$184</f>
        <v>0</v>
      </c>
      <c r="JRI77" s="223">
        <f xml:space="preserve"> InputsTS!JRI$184</f>
        <v>0</v>
      </c>
      <c r="JRJ77" s="223">
        <f xml:space="preserve"> InputsTS!JRJ$184</f>
        <v>0</v>
      </c>
      <c r="JRK77" s="223">
        <f xml:space="preserve"> InputsTS!JRK$184</f>
        <v>0</v>
      </c>
      <c r="JRL77" s="223">
        <f xml:space="preserve"> InputsTS!JRL$184</f>
        <v>0</v>
      </c>
      <c r="JRM77" s="223">
        <f xml:space="preserve"> InputsTS!JRM$184</f>
        <v>0</v>
      </c>
      <c r="JRN77" s="223">
        <f xml:space="preserve"> InputsTS!JRN$184</f>
        <v>0</v>
      </c>
      <c r="JRO77" s="223">
        <f xml:space="preserve"> InputsTS!JRO$184</f>
        <v>0</v>
      </c>
      <c r="JRP77" s="223">
        <f xml:space="preserve"> InputsTS!JRP$184</f>
        <v>0</v>
      </c>
      <c r="JRQ77" s="223">
        <f xml:space="preserve"> InputsTS!JRQ$184</f>
        <v>0</v>
      </c>
      <c r="JRR77" s="223">
        <f xml:space="preserve"> InputsTS!JRR$184</f>
        <v>0</v>
      </c>
      <c r="JRS77" s="223">
        <f xml:space="preserve"> InputsTS!JRS$184</f>
        <v>0</v>
      </c>
      <c r="JRT77" s="223">
        <f xml:space="preserve"> InputsTS!JRT$184</f>
        <v>0</v>
      </c>
      <c r="JRU77" s="223">
        <f xml:space="preserve"> InputsTS!JRU$184</f>
        <v>0</v>
      </c>
      <c r="JRV77" s="223">
        <f xml:space="preserve"> InputsTS!JRV$184</f>
        <v>0</v>
      </c>
      <c r="JRW77" s="223">
        <f xml:space="preserve"> InputsTS!JRW$184</f>
        <v>0</v>
      </c>
      <c r="JRX77" s="223">
        <f xml:space="preserve"> InputsTS!JRX$184</f>
        <v>0</v>
      </c>
      <c r="JRY77" s="223">
        <f xml:space="preserve"> InputsTS!JRY$184</f>
        <v>0</v>
      </c>
      <c r="JRZ77" s="223">
        <f xml:space="preserve"> InputsTS!JRZ$184</f>
        <v>0</v>
      </c>
      <c r="JSA77" s="223">
        <f xml:space="preserve"> InputsTS!JSA$184</f>
        <v>0</v>
      </c>
      <c r="JSB77" s="223">
        <f xml:space="preserve"> InputsTS!JSB$184</f>
        <v>0</v>
      </c>
      <c r="JSC77" s="223">
        <f xml:space="preserve"> InputsTS!JSC$184</f>
        <v>0</v>
      </c>
      <c r="JSD77" s="223">
        <f xml:space="preserve"> InputsTS!JSD$184</f>
        <v>0</v>
      </c>
      <c r="JSE77" s="223">
        <f xml:space="preserve"> InputsTS!JSE$184</f>
        <v>0</v>
      </c>
      <c r="JSF77" s="223">
        <f xml:space="preserve"> InputsTS!JSF$184</f>
        <v>0</v>
      </c>
      <c r="JSG77" s="223">
        <f xml:space="preserve"> InputsTS!JSG$184</f>
        <v>0</v>
      </c>
      <c r="JSH77" s="223">
        <f xml:space="preserve"> InputsTS!JSH$184</f>
        <v>0</v>
      </c>
      <c r="JSI77" s="223">
        <f xml:space="preserve"> InputsTS!JSI$184</f>
        <v>0</v>
      </c>
      <c r="JSJ77" s="223">
        <f xml:space="preserve"> InputsTS!JSJ$184</f>
        <v>0</v>
      </c>
      <c r="JSK77" s="223">
        <f xml:space="preserve"> InputsTS!JSK$184</f>
        <v>0</v>
      </c>
      <c r="JSL77" s="223">
        <f xml:space="preserve"> InputsTS!JSL$184</f>
        <v>0</v>
      </c>
      <c r="JSM77" s="223">
        <f xml:space="preserve"> InputsTS!JSM$184</f>
        <v>0</v>
      </c>
      <c r="JSN77" s="223">
        <f xml:space="preserve"> InputsTS!JSN$184</f>
        <v>0</v>
      </c>
      <c r="JSO77" s="223">
        <f xml:space="preserve"> InputsTS!JSO$184</f>
        <v>0</v>
      </c>
      <c r="JSP77" s="223">
        <f xml:space="preserve"> InputsTS!JSP$184</f>
        <v>0</v>
      </c>
      <c r="JSQ77" s="223">
        <f xml:space="preserve"> InputsTS!JSQ$184</f>
        <v>0</v>
      </c>
      <c r="JSR77" s="223">
        <f xml:space="preserve"> InputsTS!JSR$184</f>
        <v>0</v>
      </c>
      <c r="JSS77" s="223">
        <f xml:space="preserve"> InputsTS!JSS$184</f>
        <v>0</v>
      </c>
      <c r="JST77" s="223">
        <f xml:space="preserve"> InputsTS!JST$184</f>
        <v>0</v>
      </c>
      <c r="JSU77" s="223">
        <f xml:space="preserve"> InputsTS!JSU$184</f>
        <v>0</v>
      </c>
      <c r="JSV77" s="223">
        <f xml:space="preserve"> InputsTS!JSV$184</f>
        <v>0</v>
      </c>
      <c r="JSW77" s="223">
        <f xml:space="preserve"> InputsTS!JSW$184</f>
        <v>0</v>
      </c>
      <c r="JSX77" s="223">
        <f xml:space="preserve"> InputsTS!JSX$184</f>
        <v>0</v>
      </c>
      <c r="JSY77" s="223">
        <f xml:space="preserve"> InputsTS!JSY$184</f>
        <v>0</v>
      </c>
      <c r="JSZ77" s="223">
        <f xml:space="preserve"> InputsTS!JSZ$184</f>
        <v>0</v>
      </c>
      <c r="JTA77" s="223">
        <f xml:space="preserve"> InputsTS!JTA$184</f>
        <v>0</v>
      </c>
      <c r="JTB77" s="223">
        <f xml:space="preserve"> InputsTS!JTB$184</f>
        <v>0</v>
      </c>
      <c r="JTC77" s="223">
        <f xml:space="preserve"> InputsTS!JTC$184</f>
        <v>0</v>
      </c>
      <c r="JTD77" s="223">
        <f xml:space="preserve"> InputsTS!JTD$184</f>
        <v>0</v>
      </c>
      <c r="JTE77" s="223">
        <f xml:space="preserve"> InputsTS!JTE$184</f>
        <v>0</v>
      </c>
      <c r="JTF77" s="223">
        <f xml:space="preserve"> InputsTS!JTF$184</f>
        <v>0</v>
      </c>
      <c r="JTG77" s="223">
        <f xml:space="preserve"> InputsTS!JTG$184</f>
        <v>0</v>
      </c>
      <c r="JTH77" s="223">
        <f xml:space="preserve"> InputsTS!JTH$184</f>
        <v>0</v>
      </c>
      <c r="JTI77" s="223">
        <f xml:space="preserve"> InputsTS!JTI$184</f>
        <v>0</v>
      </c>
      <c r="JTJ77" s="223">
        <f xml:space="preserve"> InputsTS!JTJ$184</f>
        <v>0</v>
      </c>
      <c r="JTK77" s="223">
        <f xml:space="preserve"> InputsTS!JTK$184</f>
        <v>0</v>
      </c>
      <c r="JTL77" s="223">
        <f xml:space="preserve"> InputsTS!JTL$184</f>
        <v>0</v>
      </c>
      <c r="JTM77" s="223">
        <f xml:space="preserve"> InputsTS!JTM$184</f>
        <v>0</v>
      </c>
      <c r="JTN77" s="223">
        <f xml:space="preserve"> InputsTS!JTN$184</f>
        <v>0</v>
      </c>
      <c r="JTO77" s="223">
        <f xml:space="preserve"> InputsTS!JTO$184</f>
        <v>0</v>
      </c>
      <c r="JTP77" s="223">
        <f xml:space="preserve"> InputsTS!JTP$184</f>
        <v>0</v>
      </c>
      <c r="JTQ77" s="223">
        <f xml:space="preserve"> InputsTS!JTQ$184</f>
        <v>0</v>
      </c>
      <c r="JTR77" s="223">
        <f xml:space="preserve"> InputsTS!JTR$184</f>
        <v>0</v>
      </c>
      <c r="JTS77" s="223">
        <f xml:space="preserve"> InputsTS!JTS$184</f>
        <v>0</v>
      </c>
      <c r="JTT77" s="223">
        <f xml:space="preserve"> InputsTS!JTT$184</f>
        <v>0</v>
      </c>
      <c r="JTU77" s="223">
        <f xml:space="preserve"> InputsTS!JTU$184</f>
        <v>0</v>
      </c>
      <c r="JTV77" s="223">
        <f xml:space="preserve"> InputsTS!JTV$184</f>
        <v>0</v>
      </c>
      <c r="JTW77" s="223">
        <f xml:space="preserve"> InputsTS!JTW$184</f>
        <v>0</v>
      </c>
      <c r="JTX77" s="223">
        <f xml:space="preserve"> InputsTS!JTX$184</f>
        <v>0</v>
      </c>
      <c r="JTY77" s="223">
        <f xml:space="preserve"> InputsTS!JTY$184</f>
        <v>0</v>
      </c>
      <c r="JTZ77" s="223">
        <f xml:space="preserve"> InputsTS!JTZ$184</f>
        <v>0</v>
      </c>
      <c r="JUA77" s="223">
        <f xml:space="preserve"> InputsTS!JUA$184</f>
        <v>0</v>
      </c>
      <c r="JUB77" s="223">
        <f xml:space="preserve"> InputsTS!JUB$184</f>
        <v>0</v>
      </c>
      <c r="JUC77" s="223">
        <f xml:space="preserve"> InputsTS!JUC$184</f>
        <v>0</v>
      </c>
      <c r="JUD77" s="223">
        <f xml:space="preserve"> InputsTS!JUD$184</f>
        <v>0</v>
      </c>
      <c r="JUE77" s="223">
        <f xml:space="preserve"> InputsTS!JUE$184</f>
        <v>0</v>
      </c>
      <c r="JUF77" s="223">
        <f xml:space="preserve"> InputsTS!JUF$184</f>
        <v>0</v>
      </c>
      <c r="JUG77" s="223">
        <f xml:space="preserve"> InputsTS!JUG$184</f>
        <v>0</v>
      </c>
      <c r="JUH77" s="223">
        <f xml:space="preserve"> InputsTS!JUH$184</f>
        <v>0</v>
      </c>
      <c r="JUI77" s="223">
        <f xml:space="preserve"> InputsTS!JUI$184</f>
        <v>0</v>
      </c>
      <c r="JUJ77" s="223">
        <f xml:space="preserve"> InputsTS!JUJ$184</f>
        <v>0</v>
      </c>
      <c r="JUK77" s="223">
        <f xml:space="preserve"> InputsTS!JUK$184</f>
        <v>0</v>
      </c>
      <c r="JUL77" s="223">
        <f xml:space="preserve"> InputsTS!JUL$184</f>
        <v>0</v>
      </c>
      <c r="JUM77" s="223">
        <f xml:space="preserve"> InputsTS!JUM$184</f>
        <v>0</v>
      </c>
      <c r="JUN77" s="223">
        <f xml:space="preserve"> InputsTS!JUN$184</f>
        <v>0</v>
      </c>
      <c r="JUO77" s="223">
        <f xml:space="preserve"> InputsTS!JUO$184</f>
        <v>0</v>
      </c>
      <c r="JUP77" s="223">
        <f xml:space="preserve"> InputsTS!JUP$184</f>
        <v>0</v>
      </c>
      <c r="JUQ77" s="223">
        <f xml:space="preserve"> InputsTS!JUQ$184</f>
        <v>0</v>
      </c>
      <c r="JUR77" s="223">
        <f xml:space="preserve"> InputsTS!JUR$184</f>
        <v>0</v>
      </c>
      <c r="JUS77" s="223">
        <f xml:space="preserve"> InputsTS!JUS$184</f>
        <v>0</v>
      </c>
      <c r="JUT77" s="223">
        <f xml:space="preserve"> InputsTS!JUT$184</f>
        <v>0</v>
      </c>
      <c r="JUU77" s="223">
        <f xml:space="preserve"> InputsTS!JUU$184</f>
        <v>0</v>
      </c>
      <c r="JUV77" s="223">
        <f xml:space="preserve"> InputsTS!JUV$184</f>
        <v>0</v>
      </c>
      <c r="JUW77" s="223">
        <f xml:space="preserve"> InputsTS!JUW$184</f>
        <v>0</v>
      </c>
      <c r="JUX77" s="223">
        <f xml:space="preserve"> InputsTS!JUX$184</f>
        <v>0</v>
      </c>
      <c r="JUY77" s="223">
        <f xml:space="preserve"> InputsTS!JUY$184</f>
        <v>0</v>
      </c>
      <c r="JUZ77" s="223">
        <f xml:space="preserve"> InputsTS!JUZ$184</f>
        <v>0</v>
      </c>
      <c r="JVA77" s="223">
        <f xml:space="preserve"> InputsTS!JVA$184</f>
        <v>0</v>
      </c>
      <c r="JVB77" s="223">
        <f xml:space="preserve"> InputsTS!JVB$184</f>
        <v>0</v>
      </c>
      <c r="JVC77" s="223">
        <f xml:space="preserve"> InputsTS!JVC$184</f>
        <v>0</v>
      </c>
      <c r="JVD77" s="223">
        <f xml:space="preserve"> InputsTS!JVD$184</f>
        <v>0</v>
      </c>
      <c r="JVE77" s="223">
        <f xml:space="preserve"> InputsTS!JVE$184</f>
        <v>0</v>
      </c>
      <c r="JVF77" s="223">
        <f xml:space="preserve"> InputsTS!JVF$184</f>
        <v>0</v>
      </c>
      <c r="JVG77" s="223">
        <f xml:space="preserve"> InputsTS!JVG$184</f>
        <v>0</v>
      </c>
      <c r="JVH77" s="223">
        <f xml:space="preserve"> InputsTS!JVH$184</f>
        <v>0</v>
      </c>
      <c r="JVI77" s="223">
        <f xml:space="preserve"> InputsTS!JVI$184</f>
        <v>0</v>
      </c>
      <c r="JVJ77" s="223">
        <f xml:space="preserve"> InputsTS!JVJ$184</f>
        <v>0</v>
      </c>
      <c r="JVK77" s="223">
        <f xml:space="preserve"> InputsTS!JVK$184</f>
        <v>0</v>
      </c>
      <c r="JVL77" s="223">
        <f xml:space="preserve"> InputsTS!JVL$184</f>
        <v>0</v>
      </c>
      <c r="JVM77" s="223">
        <f xml:space="preserve"> InputsTS!JVM$184</f>
        <v>0</v>
      </c>
      <c r="JVN77" s="223">
        <f xml:space="preserve"> InputsTS!JVN$184</f>
        <v>0</v>
      </c>
      <c r="JVO77" s="223">
        <f xml:space="preserve"> InputsTS!JVO$184</f>
        <v>0</v>
      </c>
      <c r="JVP77" s="223">
        <f xml:space="preserve"> InputsTS!JVP$184</f>
        <v>0</v>
      </c>
      <c r="JVQ77" s="223">
        <f xml:space="preserve"> InputsTS!JVQ$184</f>
        <v>0</v>
      </c>
      <c r="JVR77" s="223">
        <f xml:space="preserve"> InputsTS!JVR$184</f>
        <v>0</v>
      </c>
      <c r="JVS77" s="223">
        <f xml:space="preserve"> InputsTS!JVS$184</f>
        <v>0</v>
      </c>
      <c r="JVT77" s="223">
        <f xml:space="preserve"> InputsTS!JVT$184</f>
        <v>0</v>
      </c>
      <c r="JVU77" s="223">
        <f xml:space="preserve"> InputsTS!JVU$184</f>
        <v>0</v>
      </c>
      <c r="JVV77" s="223">
        <f xml:space="preserve"> InputsTS!JVV$184</f>
        <v>0</v>
      </c>
      <c r="JVW77" s="223">
        <f xml:space="preserve"> InputsTS!JVW$184</f>
        <v>0</v>
      </c>
      <c r="JVX77" s="223">
        <f xml:space="preserve"> InputsTS!JVX$184</f>
        <v>0</v>
      </c>
      <c r="JVY77" s="223">
        <f xml:space="preserve"> InputsTS!JVY$184</f>
        <v>0</v>
      </c>
      <c r="JVZ77" s="223">
        <f xml:space="preserve"> InputsTS!JVZ$184</f>
        <v>0</v>
      </c>
      <c r="JWA77" s="223">
        <f xml:space="preserve"> InputsTS!JWA$184</f>
        <v>0</v>
      </c>
      <c r="JWB77" s="223">
        <f xml:space="preserve"> InputsTS!JWB$184</f>
        <v>0</v>
      </c>
      <c r="JWC77" s="223">
        <f xml:space="preserve"> InputsTS!JWC$184</f>
        <v>0</v>
      </c>
      <c r="JWD77" s="223">
        <f xml:space="preserve"> InputsTS!JWD$184</f>
        <v>0</v>
      </c>
      <c r="JWE77" s="223">
        <f xml:space="preserve"> InputsTS!JWE$184</f>
        <v>0</v>
      </c>
      <c r="JWF77" s="223">
        <f xml:space="preserve"> InputsTS!JWF$184</f>
        <v>0</v>
      </c>
      <c r="JWG77" s="223">
        <f xml:space="preserve"> InputsTS!JWG$184</f>
        <v>0</v>
      </c>
      <c r="JWH77" s="223">
        <f xml:space="preserve"> InputsTS!JWH$184</f>
        <v>0</v>
      </c>
      <c r="JWI77" s="223">
        <f xml:space="preserve"> InputsTS!JWI$184</f>
        <v>0</v>
      </c>
      <c r="JWJ77" s="223">
        <f xml:space="preserve"> InputsTS!JWJ$184</f>
        <v>0</v>
      </c>
      <c r="JWK77" s="223">
        <f xml:space="preserve"> InputsTS!JWK$184</f>
        <v>0</v>
      </c>
      <c r="JWL77" s="223">
        <f xml:space="preserve"> InputsTS!JWL$184</f>
        <v>0</v>
      </c>
      <c r="JWM77" s="223">
        <f xml:space="preserve"> InputsTS!JWM$184</f>
        <v>0</v>
      </c>
      <c r="JWN77" s="223">
        <f xml:space="preserve"> InputsTS!JWN$184</f>
        <v>0</v>
      </c>
      <c r="JWO77" s="223">
        <f xml:space="preserve"> InputsTS!JWO$184</f>
        <v>0</v>
      </c>
      <c r="JWP77" s="223">
        <f xml:space="preserve"> InputsTS!JWP$184</f>
        <v>0</v>
      </c>
      <c r="JWQ77" s="223">
        <f xml:space="preserve"> InputsTS!JWQ$184</f>
        <v>0</v>
      </c>
      <c r="JWR77" s="223">
        <f xml:space="preserve"> InputsTS!JWR$184</f>
        <v>0</v>
      </c>
      <c r="JWS77" s="223">
        <f xml:space="preserve"> InputsTS!JWS$184</f>
        <v>0</v>
      </c>
      <c r="JWT77" s="223">
        <f xml:space="preserve"> InputsTS!JWT$184</f>
        <v>0</v>
      </c>
      <c r="JWU77" s="223">
        <f xml:space="preserve"> InputsTS!JWU$184</f>
        <v>0</v>
      </c>
      <c r="JWV77" s="223">
        <f xml:space="preserve"> InputsTS!JWV$184</f>
        <v>0</v>
      </c>
      <c r="JWW77" s="223">
        <f xml:space="preserve"> InputsTS!JWW$184</f>
        <v>0</v>
      </c>
      <c r="JWX77" s="223">
        <f xml:space="preserve"> InputsTS!JWX$184</f>
        <v>0</v>
      </c>
      <c r="JWY77" s="223">
        <f xml:space="preserve"> InputsTS!JWY$184</f>
        <v>0</v>
      </c>
      <c r="JWZ77" s="223">
        <f xml:space="preserve"> InputsTS!JWZ$184</f>
        <v>0</v>
      </c>
      <c r="JXA77" s="223">
        <f xml:space="preserve"> InputsTS!JXA$184</f>
        <v>0</v>
      </c>
      <c r="JXB77" s="223">
        <f xml:space="preserve"> InputsTS!JXB$184</f>
        <v>0</v>
      </c>
      <c r="JXC77" s="223">
        <f xml:space="preserve"> InputsTS!JXC$184</f>
        <v>0</v>
      </c>
      <c r="JXD77" s="223">
        <f xml:space="preserve"> InputsTS!JXD$184</f>
        <v>0</v>
      </c>
      <c r="JXE77" s="223">
        <f xml:space="preserve"> InputsTS!JXE$184</f>
        <v>0</v>
      </c>
      <c r="JXF77" s="223">
        <f xml:space="preserve"> InputsTS!JXF$184</f>
        <v>0</v>
      </c>
      <c r="JXG77" s="223">
        <f xml:space="preserve"> InputsTS!JXG$184</f>
        <v>0</v>
      </c>
      <c r="JXH77" s="223">
        <f xml:space="preserve"> InputsTS!JXH$184</f>
        <v>0</v>
      </c>
      <c r="JXI77" s="223">
        <f xml:space="preserve"> InputsTS!JXI$184</f>
        <v>0</v>
      </c>
      <c r="JXJ77" s="223">
        <f xml:space="preserve"> InputsTS!JXJ$184</f>
        <v>0</v>
      </c>
      <c r="JXK77" s="223">
        <f xml:space="preserve"> InputsTS!JXK$184</f>
        <v>0</v>
      </c>
      <c r="JXL77" s="223">
        <f xml:space="preserve"> InputsTS!JXL$184</f>
        <v>0</v>
      </c>
      <c r="JXM77" s="223">
        <f xml:space="preserve"> InputsTS!JXM$184</f>
        <v>0</v>
      </c>
      <c r="JXN77" s="223">
        <f xml:space="preserve"> InputsTS!JXN$184</f>
        <v>0</v>
      </c>
      <c r="JXO77" s="223">
        <f xml:space="preserve"> InputsTS!JXO$184</f>
        <v>0</v>
      </c>
      <c r="JXP77" s="223">
        <f xml:space="preserve"> InputsTS!JXP$184</f>
        <v>0</v>
      </c>
      <c r="JXQ77" s="223">
        <f xml:space="preserve"> InputsTS!JXQ$184</f>
        <v>0</v>
      </c>
      <c r="JXR77" s="223">
        <f xml:space="preserve"> InputsTS!JXR$184</f>
        <v>0</v>
      </c>
      <c r="JXS77" s="223">
        <f xml:space="preserve"> InputsTS!JXS$184</f>
        <v>0</v>
      </c>
      <c r="JXT77" s="223">
        <f xml:space="preserve"> InputsTS!JXT$184</f>
        <v>0</v>
      </c>
      <c r="JXU77" s="223">
        <f xml:space="preserve"> InputsTS!JXU$184</f>
        <v>0</v>
      </c>
      <c r="JXV77" s="223">
        <f xml:space="preserve"> InputsTS!JXV$184</f>
        <v>0</v>
      </c>
      <c r="JXW77" s="223">
        <f xml:space="preserve"> InputsTS!JXW$184</f>
        <v>0</v>
      </c>
      <c r="JXX77" s="223">
        <f xml:space="preserve"> InputsTS!JXX$184</f>
        <v>0</v>
      </c>
      <c r="JXY77" s="223">
        <f xml:space="preserve"> InputsTS!JXY$184</f>
        <v>0</v>
      </c>
      <c r="JXZ77" s="223">
        <f xml:space="preserve"> InputsTS!JXZ$184</f>
        <v>0</v>
      </c>
      <c r="JYA77" s="223">
        <f xml:space="preserve"> InputsTS!JYA$184</f>
        <v>0</v>
      </c>
      <c r="JYB77" s="223">
        <f xml:space="preserve"> InputsTS!JYB$184</f>
        <v>0</v>
      </c>
      <c r="JYC77" s="223">
        <f xml:space="preserve"> InputsTS!JYC$184</f>
        <v>0</v>
      </c>
      <c r="JYD77" s="223">
        <f xml:space="preserve"> InputsTS!JYD$184</f>
        <v>0</v>
      </c>
      <c r="JYE77" s="223">
        <f xml:space="preserve"> InputsTS!JYE$184</f>
        <v>0</v>
      </c>
      <c r="JYF77" s="223">
        <f xml:space="preserve"> InputsTS!JYF$184</f>
        <v>0</v>
      </c>
      <c r="JYG77" s="223">
        <f xml:space="preserve"> InputsTS!JYG$184</f>
        <v>0</v>
      </c>
      <c r="JYH77" s="223">
        <f xml:space="preserve"> InputsTS!JYH$184</f>
        <v>0</v>
      </c>
      <c r="JYI77" s="223">
        <f xml:space="preserve"> InputsTS!JYI$184</f>
        <v>0</v>
      </c>
      <c r="JYJ77" s="223">
        <f xml:space="preserve"> InputsTS!JYJ$184</f>
        <v>0</v>
      </c>
      <c r="JYK77" s="223">
        <f xml:space="preserve"> InputsTS!JYK$184</f>
        <v>0</v>
      </c>
      <c r="JYL77" s="223">
        <f xml:space="preserve"> InputsTS!JYL$184</f>
        <v>0</v>
      </c>
      <c r="JYM77" s="223">
        <f xml:space="preserve"> InputsTS!JYM$184</f>
        <v>0</v>
      </c>
      <c r="JYN77" s="223">
        <f xml:space="preserve"> InputsTS!JYN$184</f>
        <v>0</v>
      </c>
      <c r="JYO77" s="223">
        <f xml:space="preserve"> InputsTS!JYO$184</f>
        <v>0</v>
      </c>
      <c r="JYP77" s="223">
        <f xml:space="preserve"> InputsTS!JYP$184</f>
        <v>0</v>
      </c>
      <c r="JYQ77" s="223">
        <f xml:space="preserve"> InputsTS!JYQ$184</f>
        <v>0</v>
      </c>
      <c r="JYR77" s="223">
        <f xml:space="preserve"> InputsTS!JYR$184</f>
        <v>0</v>
      </c>
      <c r="JYS77" s="223">
        <f xml:space="preserve"> InputsTS!JYS$184</f>
        <v>0</v>
      </c>
      <c r="JYT77" s="223">
        <f xml:space="preserve"> InputsTS!JYT$184</f>
        <v>0</v>
      </c>
      <c r="JYU77" s="223">
        <f xml:space="preserve"> InputsTS!JYU$184</f>
        <v>0</v>
      </c>
      <c r="JYV77" s="223">
        <f xml:space="preserve"> InputsTS!JYV$184</f>
        <v>0</v>
      </c>
      <c r="JYW77" s="223">
        <f xml:space="preserve"> InputsTS!JYW$184</f>
        <v>0</v>
      </c>
      <c r="JYX77" s="223">
        <f xml:space="preserve"> InputsTS!JYX$184</f>
        <v>0</v>
      </c>
      <c r="JYY77" s="223">
        <f xml:space="preserve"> InputsTS!JYY$184</f>
        <v>0</v>
      </c>
      <c r="JYZ77" s="223">
        <f xml:space="preserve"> InputsTS!JYZ$184</f>
        <v>0</v>
      </c>
      <c r="JZA77" s="223">
        <f xml:space="preserve"> InputsTS!JZA$184</f>
        <v>0</v>
      </c>
      <c r="JZB77" s="223">
        <f xml:space="preserve"> InputsTS!JZB$184</f>
        <v>0</v>
      </c>
      <c r="JZC77" s="223">
        <f xml:space="preserve"> InputsTS!JZC$184</f>
        <v>0</v>
      </c>
      <c r="JZD77" s="223">
        <f xml:space="preserve"> InputsTS!JZD$184</f>
        <v>0</v>
      </c>
      <c r="JZE77" s="223">
        <f xml:space="preserve"> InputsTS!JZE$184</f>
        <v>0</v>
      </c>
      <c r="JZF77" s="223">
        <f xml:space="preserve"> InputsTS!JZF$184</f>
        <v>0</v>
      </c>
      <c r="JZG77" s="223">
        <f xml:space="preserve"> InputsTS!JZG$184</f>
        <v>0</v>
      </c>
      <c r="JZH77" s="223">
        <f xml:space="preserve"> InputsTS!JZH$184</f>
        <v>0</v>
      </c>
      <c r="JZI77" s="223">
        <f xml:space="preserve"> InputsTS!JZI$184</f>
        <v>0</v>
      </c>
      <c r="JZJ77" s="223">
        <f xml:space="preserve"> InputsTS!JZJ$184</f>
        <v>0</v>
      </c>
      <c r="JZK77" s="223">
        <f xml:space="preserve"> InputsTS!JZK$184</f>
        <v>0</v>
      </c>
      <c r="JZL77" s="223">
        <f xml:space="preserve"> InputsTS!JZL$184</f>
        <v>0</v>
      </c>
      <c r="JZM77" s="223">
        <f xml:space="preserve"> InputsTS!JZM$184</f>
        <v>0</v>
      </c>
      <c r="JZN77" s="223">
        <f xml:space="preserve"> InputsTS!JZN$184</f>
        <v>0</v>
      </c>
      <c r="JZO77" s="223">
        <f xml:space="preserve"> InputsTS!JZO$184</f>
        <v>0</v>
      </c>
      <c r="JZP77" s="223">
        <f xml:space="preserve"> InputsTS!JZP$184</f>
        <v>0</v>
      </c>
      <c r="JZQ77" s="223">
        <f xml:space="preserve"> InputsTS!JZQ$184</f>
        <v>0</v>
      </c>
      <c r="JZR77" s="223">
        <f xml:space="preserve"> InputsTS!JZR$184</f>
        <v>0</v>
      </c>
      <c r="JZS77" s="223">
        <f xml:space="preserve"> InputsTS!JZS$184</f>
        <v>0</v>
      </c>
      <c r="JZT77" s="223">
        <f xml:space="preserve"> InputsTS!JZT$184</f>
        <v>0</v>
      </c>
      <c r="JZU77" s="223">
        <f xml:space="preserve"> InputsTS!JZU$184</f>
        <v>0</v>
      </c>
      <c r="JZV77" s="223">
        <f xml:space="preserve"> InputsTS!JZV$184</f>
        <v>0</v>
      </c>
      <c r="JZW77" s="223">
        <f xml:space="preserve"> InputsTS!JZW$184</f>
        <v>0</v>
      </c>
      <c r="JZX77" s="223">
        <f xml:space="preserve"> InputsTS!JZX$184</f>
        <v>0</v>
      </c>
      <c r="JZY77" s="223">
        <f xml:space="preserve"> InputsTS!JZY$184</f>
        <v>0</v>
      </c>
      <c r="JZZ77" s="223">
        <f xml:space="preserve"> InputsTS!JZZ$184</f>
        <v>0</v>
      </c>
      <c r="KAA77" s="223">
        <f xml:space="preserve"> InputsTS!KAA$184</f>
        <v>0</v>
      </c>
      <c r="KAB77" s="223">
        <f xml:space="preserve"> InputsTS!KAB$184</f>
        <v>0</v>
      </c>
      <c r="KAC77" s="223">
        <f xml:space="preserve"> InputsTS!KAC$184</f>
        <v>0</v>
      </c>
      <c r="KAD77" s="223">
        <f xml:space="preserve"> InputsTS!KAD$184</f>
        <v>0</v>
      </c>
      <c r="KAE77" s="223">
        <f xml:space="preserve"> InputsTS!KAE$184</f>
        <v>0</v>
      </c>
      <c r="KAF77" s="223">
        <f xml:space="preserve"> InputsTS!KAF$184</f>
        <v>0</v>
      </c>
      <c r="KAG77" s="223">
        <f xml:space="preserve"> InputsTS!KAG$184</f>
        <v>0</v>
      </c>
      <c r="KAH77" s="223">
        <f xml:space="preserve"> InputsTS!KAH$184</f>
        <v>0</v>
      </c>
      <c r="KAI77" s="223">
        <f xml:space="preserve"> InputsTS!KAI$184</f>
        <v>0</v>
      </c>
      <c r="KAJ77" s="223">
        <f xml:space="preserve"> InputsTS!KAJ$184</f>
        <v>0</v>
      </c>
      <c r="KAK77" s="223">
        <f xml:space="preserve"> InputsTS!KAK$184</f>
        <v>0</v>
      </c>
      <c r="KAL77" s="223">
        <f xml:space="preserve"> InputsTS!KAL$184</f>
        <v>0</v>
      </c>
      <c r="KAM77" s="223">
        <f xml:space="preserve"> InputsTS!KAM$184</f>
        <v>0</v>
      </c>
      <c r="KAN77" s="223">
        <f xml:space="preserve"> InputsTS!KAN$184</f>
        <v>0</v>
      </c>
      <c r="KAO77" s="223">
        <f xml:space="preserve"> InputsTS!KAO$184</f>
        <v>0</v>
      </c>
      <c r="KAP77" s="223">
        <f xml:space="preserve"> InputsTS!KAP$184</f>
        <v>0</v>
      </c>
      <c r="KAQ77" s="223">
        <f xml:space="preserve"> InputsTS!KAQ$184</f>
        <v>0</v>
      </c>
      <c r="KAR77" s="223">
        <f xml:space="preserve"> InputsTS!KAR$184</f>
        <v>0</v>
      </c>
      <c r="KAS77" s="223">
        <f xml:space="preserve"> InputsTS!KAS$184</f>
        <v>0</v>
      </c>
      <c r="KAT77" s="223">
        <f xml:space="preserve"> InputsTS!KAT$184</f>
        <v>0</v>
      </c>
      <c r="KAU77" s="223">
        <f xml:space="preserve"> InputsTS!KAU$184</f>
        <v>0</v>
      </c>
      <c r="KAV77" s="223">
        <f xml:space="preserve"> InputsTS!KAV$184</f>
        <v>0</v>
      </c>
      <c r="KAW77" s="223">
        <f xml:space="preserve"> InputsTS!KAW$184</f>
        <v>0</v>
      </c>
      <c r="KAX77" s="223">
        <f xml:space="preserve"> InputsTS!KAX$184</f>
        <v>0</v>
      </c>
      <c r="KAY77" s="223">
        <f xml:space="preserve"> InputsTS!KAY$184</f>
        <v>0</v>
      </c>
      <c r="KAZ77" s="223">
        <f xml:space="preserve"> InputsTS!KAZ$184</f>
        <v>0</v>
      </c>
      <c r="KBA77" s="223">
        <f xml:space="preserve"> InputsTS!KBA$184</f>
        <v>0</v>
      </c>
      <c r="KBB77" s="223">
        <f xml:space="preserve"> InputsTS!KBB$184</f>
        <v>0</v>
      </c>
      <c r="KBC77" s="223">
        <f xml:space="preserve"> InputsTS!KBC$184</f>
        <v>0</v>
      </c>
      <c r="KBD77" s="223">
        <f xml:space="preserve"> InputsTS!KBD$184</f>
        <v>0</v>
      </c>
      <c r="KBE77" s="223">
        <f xml:space="preserve"> InputsTS!KBE$184</f>
        <v>0</v>
      </c>
      <c r="KBF77" s="223">
        <f xml:space="preserve"> InputsTS!KBF$184</f>
        <v>0</v>
      </c>
      <c r="KBG77" s="223">
        <f xml:space="preserve"> InputsTS!KBG$184</f>
        <v>0</v>
      </c>
      <c r="KBH77" s="223">
        <f xml:space="preserve"> InputsTS!KBH$184</f>
        <v>0</v>
      </c>
      <c r="KBI77" s="223">
        <f xml:space="preserve"> InputsTS!KBI$184</f>
        <v>0</v>
      </c>
      <c r="KBJ77" s="223">
        <f xml:space="preserve"> InputsTS!KBJ$184</f>
        <v>0</v>
      </c>
      <c r="KBK77" s="223">
        <f xml:space="preserve"> InputsTS!KBK$184</f>
        <v>0</v>
      </c>
      <c r="KBL77" s="223">
        <f xml:space="preserve"> InputsTS!KBL$184</f>
        <v>0</v>
      </c>
      <c r="KBM77" s="223">
        <f xml:space="preserve"> InputsTS!KBM$184</f>
        <v>0</v>
      </c>
      <c r="KBN77" s="223">
        <f xml:space="preserve"> InputsTS!KBN$184</f>
        <v>0</v>
      </c>
      <c r="KBO77" s="223">
        <f xml:space="preserve"> InputsTS!KBO$184</f>
        <v>0</v>
      </c>
      <c r="KBP77" s="223">
        <f xml:space="preserve"> InputsTS!KBP$184</f>
        <v>0</v>
      </c>
      <c r="KBQ77" s="223">
        <f xml:space="preserve"> InputsTS!KBQ$184</f>
        <v>0</v>
      </c>
      <c r="KBR77" s="223">
        <f xml:space="preserve"> InputsTS!KBR$184</f>
        <v>0</v>
      </c>
      <c r="KBS77" s="223">
        <f xml:space="preserve"> InputsTS!KBS$184</f>
        <v>0</v>
      </c>
      <c r="KBT77" s="223">
        <f xml:space="preserve"> InputsTS!KBT$184</f>
        <v>0</v>
      </c>
      <c r="KBU77" s="223">
        <f xml:space="preserve"> InputsTS!KBU$184</f>
        <v>0</v>
      </c>
      <c r="KBV77" s="223">
        <f xml:space="preserve"> InputsTS!KBV$184</f>
        <v>0</v>
      </c>
      <c r="KBW77" s="223">
        <f xml:space="preserve"> InputsTS!KBW$184</f>
        <v>0</v>
      </c>
      <c r="KBX77" s="223">
        <f xml:space="preserve"> InputsTS!KBX$184</f>
        <v>0</v>
      </c>
      <c r="KBY77" s="223">
        <f xml:space="preserve"> InputsTS!KBY$184</f>
        <v>0</v>
      </c>
      <c r="KBZ77" s="223">
        <f xml:space="preserve"> InputsTS!KBZ$184</f>
        <v>0</v>
      </c>
      <c r="KCA77" s="223">
        <f xml:space="preserve"> InputsTS!KCA$184</f>
        <v>0</v>
      </c>
      <c r="KCB77" s="223">
        <f xml:space="preserve"> InputsTS!KCB$184</f>
        <v>0</v>
      </c>
      <c r="KCC77" s="223">
        <f xml:space="preserve"> InputsTS!KCC$184</f>
        <v>0</v>
      </c>
      <c r="KCD77" s="223">
        <f xml:space="preserve"> InputsTS!KCD$184</f>
        <v>0</v>
      </c>
      <c r="KCE77" s="223">
        <f xml:space="preserve"> InputsTS!KCE$184</f>
        <v>0</v>
      </c>
      <c r="KCF77" s="223">
        <f xml:space="preserve"> InputsTS!KCF$184</f>
        <v>0</v>
      </c>
      <c r="KCG77" s="223">
        <f xml:space="preserve"> InputsTS!KCG$184</f>
        <v>0</v>
      </c>
      <c r="KCH77" s="223">
        <f xml:space="preserve"> InputsTS!KCH$184</f>
        <v>0</v>
      </c>
      <c r="KCI77" s="223">
        <f xml:space="preserve"> InputsTS!KCI$184</f>
        <v>0</v>
      </c>
      <c r="KCJ77" s="223">
        <f xml:space="preserve"> InputsTS!KCJ$184</f>
        <v>0</v>
      </c>
      <c r="KCK77" s="223">
        <f xml:space="preserve"> InputsTS!KCK$184</f>
        <v>0</v>
      </c>
      <c r="KCL77" s="223">
        <f xml:space="preserve"> InputsTS!KCL$184</f>
        <v>0</v>
      </c>
      <c r="KCM77" s="223">
        <f xml:space="preserve"> InputsTS!KCM$184</f>
        <v>0</v>
      </c>
      <c r="KCN77" s="223">
        <f xml:space="preserve"> InputsTS!KCN$184</f>
        <v>0</v>
      </c>
      <c r="KCO77" s="223">
        <f xml:space="preserve"> InputsTS!KCO$184</f>
        <v>0</v>
      </c>
      <c r="KCP77" s="223">
        <f xml:space="preserve"> InputsTS!KCP$184</f>
        <v>0</v>
      </c>
      <c r="KCQ77" s="223">
        <f xml:space="preserve"> InputsTS!KCQ$184</f>
        <v>0</v>
      </c>
      <c r="KCR77" s="223">
        <f xml:space="preserve"> InputsTS!KCR$184</f>
        <v>0</v>
      </c>
      <c r="KCS77" s="223">
        <f xml:space="preserve"> InputsTS!KCS$184</f>
        <v>0</v>
      </c>
      <c r="KCT77" s="223">
        <f xml:space="preserve"> InputsTS!KCT$184</f>
        <v>0</v>
      </c>
      <c r="KCU77" s="223">
        <f xml:space="preserve"> InputsTS!KCU$184</f>
        <v>0</v>
      </c>
      <c r="KCV77" s="223">
        <f xml:space="preserve"> InputsTS!KCV$184</f>
        <v>0</v>
      </c>
      <c r="KCW77" s="223">
        <f xml:space="preserve"> InputsTS!KCW$184</f>
        <v>0</v>
      </c>
      <c r="KCX77" s="223">
        <f xml:space="preserve"> InputsTS!KCX$184</f>
        <v>0</v>
      </c>
      <c r="KCY77" s="223">
        <f xml:space="preserve"> InputsTS!KCY$184</f>
        <v>0</v>
      </c>
      <c r="KCZ77" s="223">
        <f xml:space="preserve"> InputsTS!KCZ$184</f>
        <v>0</v>
      </c>
      <c r="KDA77" s="223">
        <f xml:space="preserve"> InputsTS!KDA$184</f>
        <v>0</v>
      </c>
      <c r="KDB77" s="223">
        <f xml:space="preserve"> InputsTS!KDB$184</f>
        <v>0</v>
      </c>
      <c r="KDC77" s="223">
        <f xml:space="preserve"> InputsTS!KDC$184</f>
        <v>0</v>
      </c>
      <c r="KDD77" s="223">
        <f xml:space="preserve"> InputsTS!KDD$184</f>
        <v>0</v>
      </c>
      <c r="KDE77" s="223">
        <f xml:space="preserve"> InputsTS!KDE$184</f>
        <v>0</v>
      </c>
      <c r="KDF77" s="223">
        <f xml:space="preserve"> InputsTS!KDF$184</f>
        <v>0</v>
      </c>
      <c r="KDG77" s="223">
        <f xml:space="preserve"> InputsTS!KDG$184</f>
        <v>0</v>
      </c>
      <c r="KDH77" s="223">
        <f xml:space="preserve"> InputsTS!KDH$184</f>
        <v>0</v>
      </c>
      <c r="KDI77" s="223">
        <f xml:space="preserve"> InputsTS!KDI$184</f>
        <v>0</v>
      </c>
      <c r="KDJ77" s="223">
        <f xml:space="preserve"> InputsTS!KDJ$184</f>
        <v>0</v>
      </c>
      <c r="KDK77" s="223">
        <f xml:space="preserve"> InputsTS!KDK$184</f>
        <v>0</v>
      </c>
      <c r="KDL77" s="223">
        <f xml:space="preserve"> InputsTS!KDL$184</f>
        <v>0</v>
      </c>
      <c r="KDM77" s="223">
        <f xml:space="preserve"> InputsTS!KDM$184</f>
        <v>0</v>
      </c>
      <c r="KDN77" s="223">
        <f xml:space="preserve"> InputsTS!KDN$184</f>
        <v>0</v>
      </c>
      <c r="KDO77" s="223">
        <f xml:space="preserve"> InputsTS!KDO$184</f>
        <v>0</v>
      </c>
      <c r="KDP77" s="223">
        <f xml:space="preserve"> InputsTS!KDP$184</f>
        <v>0</v>
      </c>
      <c r="KDQ77" s="223">
        <f xml:space="preserve"> InputsTS!KDQ$184</f>
        <v>0</v>
      </c>
      <c r="KDR77" s="223">
        <f xml:space="preserve"> InputsTS!KDR$184</f>
        <v>0</v>
      </c>
      <c r="KDS77" s="223">
        <f xml:space="preserve"> InputsTS!KDS$184</f>
        <v>0</v>
      </c>
      <c r="KDT77" s="223">
        <f xml:space="preserve"> InputsTS!KDT$184</f>
        <v>0</v>
      </c>
      <c r="KDU77" s="223">
        <f xml:space="preserve"> InputsTS!KDU$184</f>
        <v>0</v>
      </c>
      <c r="KDV77" s="223">
        <f xml:space="preserve"> InputsTS!KDV$184</f>
        <v>0</v>
      </c>
      <c r="KDW77" s="223">
        <f xml:space="preserve"> InputsTS!KDW$184</f>
        <v>0</v>
      </c>
      <c r="KDX77" s="223">
        <f xml:space="preserve"> InputsTS!KDX$184</f>
        <v>0</v>
      </c>
      <c r="KDY77" s="223">
        <f xml:space="preserve"> InputsTS!KDY$184</f>
        <v>0</v>
      </c>
      <c r="KDZ77" s="223">
        <f xml:space="preserve"> InputsTS!KDZ$184</f>
        <v>0</v>
      </c>
      <c r="KEA77" s="223">
        <f xml:space="preserve"> InputsTS!KEA$184</f>
        <v>0</v>
      </c>
      <c r="KEB77" s="223">
        <f xml:space="preserve"> InputsTS!KEB$184</f>
        <v>0</v>
      </c>
      <c r="KEC77" s="223">
        <f xml:space="preserve"> InputsTS!KEC$184</f>
        <v>0</v>
      </c>
      <c r="KED77" s="223">
        <f xml:space="preserve"> InputsTS!KED$184</f>
        <v>0</v>
      </c>
      <c r="KEE77" s="223">
        <f xml:space="preserve"> InputsTS!KEE$184</f>
        <v>0</v>
      </c>
      <c r="KEF77" s="223">
        <f xml:space="preserve"> InputsTS!KEF$184</f>
        <v>0</v>
      </c>
      <c r="KEG77" s="223">
        <f xml:space="preserve"> InputsTS!KEG$184</f>
        <v>0</v>
      </c>
      <c r="KEH77" s="223">
        <f xml:space="preserve"> InputsTS!KEH$184</f>
        <v>0</v>
      </c>
      <c r="KEI77" s="223">
        <f xml:space="preserve"> InputsTS!KEI$184</f>
        <v>0</v>
      </c>
      <c r="KEJ77" s="223">
        <f xml:space="preserve"> InputsTS!KEJ$184</f>
        <v>0</v>
      </c>
      <c r="KEK77" s="223">
        <f xml:space="preserve"> InputsTS!KEK$184</f>
        <v>0</v>
      </c>
      <c r="KEL77" s="223">
        <f xml:space="preserve"> InputsTS!KEL$184</f>
        <v>0</v>
      </c>
      <c r="KEM77" s="223">
        <f xml:space="preserve"> InputsTS!KEM$184</f>
        <v>0</v>
      </c>
      <c r="KEN77" s="223">
        <f xml:space="preserve"> InputsTS!KEN$184</f>
        <v>0</v>
      </c>
      <c r="KEO77" s="223">
        <f xml:space="preserve"> InputsTS!KEO$184</f>
        <v>0</v>
      </c>
      <c r="KEP77" s="223">
        <f xml:space="preserve"> InputsTS!KEP$184</f>
        <v>0</v>
      </c>
      <c r="KEQ77" s="223">
        <f xml:space="preserve"> InputsTS!KEQ$184</f>
        <v>0</v>
      </c>
      <c r="KER77" s="223">
        <f xml:space="preserve"> InputsTS!KER$184</f>
        <v>0</v>
      </c>
      <c r="KES77" s="223">
        <f xml:space="preserve"> InputsTS!KES$184</f>
        <v>0</v>
      </c>
      <c r="KET77" s="223">
        <f xml:space="preserve"> InputsTS!KET$184</f>
        <v>0</v>
      </c>
      <c r="KEU77" s="223">
        <f xml:space="preserve"> InputsTS!KEU$184</f>
        <v>0</v>
      </c>
      <c r="KEV77" s="223">
        <f xml:space="preserve"> InputsTS!KEV$184</f>
        <v>0</v>
      </c>
      <c r="KEW77" s="223">
        <f xml:space="preserve"> InputsTS!KEW$184</f>
        <v>0</v>
      </c>
      <c r="KEX77" s="223">
        <f xml:space="preserve"> InputsTS!KEX$184</f>
        <v>0</v>
      </c>
      <c r="KEY77" s="223">
        <f xml:space="preserve"> InputsTS!KEY$184</f>
        <v>0</v>
      </c>
      <c r="KEZ77" s="223">
        <f xml:space="preserve"> InputsTS!KEZ$184</f>
        <v>0</v>
      </c>
      <c r="KFA77" s="223">
        <f xml:space="preserve"> InputsTS!KFA$184</f>
        <v>0</v>
      </c>
      <c r="KFB77" s="223">
        <f xml:space="preserve"> InputsTS!KFB$184</f>
        <v>0</v>
      </c>
      <c r="KFC77" s="223">
        <f xml:space="preserve"> InputsTS!KFC$184</f>
        <v>0</v>
      </c>
      <c r="KFD77" s="223">
        <f xml:space="preserve"> InputsTS!KFD$184</f>
        <v>0</v>
      </c>
      <c r="KFE77" s="223">
        <f xml:space="preserve"> InputsTS!KFE$184</f>
        <v>0</v>
      </c>
      <c r="KFF77" s="223">
        <f xml:space="preserve"> InputsTS!KFF$184</f>
        <v>0</v>
      </c>
      <c r="KFG77" s="223">
        <f xml:space="preserve"> InputsTS!KFG$184</f>
        <v>0</v>
      </c>
      <c r="KFH77" s="223">
        <f xml:space="preserve"> InputsTS!KFH$184</f>
        <v>0</v>
      </c>
      <c r="KFI77" s="223">
        <f xml:space="preserve"> InputsTS!KFI$184</f>
        <v>0</v>
      </c>
      <c r="KFJ77" s="223">
        <f xml:space="preserve"> InputsTS!KFJ$184</f>
        <v>0</v>
      </c>
      <c r="KFK77" s="223">
        <f xml:space="preserve"> InputsTS!KFK$184</f>
        <v>0</v>
      </c>
      <c r="KFL77" s="223">
        <f xml:space="preserve"> InputsTS!KFL$184</f>
        <v>0</v>
      </c>
      <c r="KFM77" s="223">
        <f xml:space="preserve"> InputsTS!KFM$184</f>
        <v>0</v>
      </c>
      <c r="KFN77" s="223">
        <f xml:space="preserve"> InputsTS!KFN$184</f>
        <v>0</v>
      </c>
      <c r="KFO77" s="223">
        <f xml:space="preserve"> InputsTS!KFO$184</f>
        <v>0</v>
      </c>
      <c r="KFP77" s="223">
        <f xml:space="preserve"> InputsTS!KFP$184</f>
        <v>0</v>
      </c>
      <c r="KFQ77" s="223">
        <f xml:space="preserve"> InputsTS!KFQ$184</f>
        <v>0</v>
      </c>
      <c r="KFR77" s="223">
        <f xml:space="preserve"> InputsTS!KFR$184</f>
        <v>0</v>
      </c>
      <c r="KFS77" s="223">
        <f xml:space="preserve"> InputsTS!KFS$184</f>
        <v>0</v>
      </c>
      <c r="KFT77" s="223">
        <f xml:space="preserve"> InputsTS!KFT$184</f>
        <v>0</v>
      </c>
      <c r="KFU77" s="223">
        <f xml:space="preserve"> InputsTS!KFU$184</f>
        <v>0</v>
      </c>
      <c r="KFV77" s="223">
        <f xml:space="preserve"> InputsTS!KFV$184</f>
        <v>0</v>
      </c>
      <c r="KFW77" s="223">
        <f xml:space="preserve"> InputsTS!KFW$184</f>
        <v>0</v>
      </c>
      <c r="KFX77" s="223">
        <f xml:space="preserve"> InputsTS!KFX$184</f>
        <v>0</v>
      </c>
      <c r="KFY77" s="223">
        <f xml:space="preserve"> InputsTS!KFY$184</f>
        <v>0</v>
      </c>
      <c r="KFZ77" s="223">
        <f xml:space="preserve"> InputsTS!KFZ$184</f>
        <v>0</v>
      </c>
      <c r="KGA77" s="223">
        <f xml:space="preserve"> InputsTS!KGA$184</f>
        <v>0</v>
      </c>
      <c r="KGB77" s="223">
        <f xml:space="preserve"> InputsTS!KGB$184</f>
        <v>0</v>
      </c>
      <c r="KGC77" s="223">
        <f xml:space="preserve"> InputsTS!KGC$184</f>
        <v>0</v>
      </c>
      <c r="KGD77" s="223">
        <f xml:space="preserve"> InputsTS!KGD$184</f>
        <v>0</v>
      </c>
      <c r="KGE77" s="223">
        <f xml:space="preserve"> InputsTS!KGE$184</f>
        <v>0</v>
      </c>
      <c r="KGF77" s="223">
        <f xml:space="preserve"> InputsTS!KGF$184</f>
        <v>0</v>
      </c>
      <c r="KGG77" s="223">
        <f xml:space="preserve"> InputsTS!KGG$184</f>
        <v>0</v>
      </c>
      <c r="KGH77" s="223">
        <f xml:space="preserve"> InputsTS!KGH$184</f>
        <v>0</v>
      </c>
      <c r="KGI77" s="223">
        <f xml:space="preserve"> InputsTS!KGI$184</f>
        <v>0</v>
      </c>
      <c r="KGJ77" s="223">
        <f xml:space="preserve"> InputsTS!KGJ$184</f>
        <v>0</v>
      </c>
      <c r="KGK77" s="223">
        <f xml:space="preserve"> InputsTS!KGK$184</f>
        <v>0</v>
      </c>
      <c r="KGL77" s="223">
        <f xml:space="preserve"> InputsTS!KGL$184</f>
        <v>0</v>
      </c>
      <c r="KGM77" s="223">
        <f xml:space="preserve"> InputsTS!KGM$184</f>
        <v>0</v>
      </c>
      <c r="KGN77" s="223">
        <f xml:space="preserve"> InputsTS!KGN$184</f>
        <v>0</v>
      </c>
      <c r="KGO77" s="223">
        <f xml:space="preserve"> InputsTS!KGO$184</f>
        <v>0</v>
      </c>
      <c r="KGP77" s="223">
        <f xml:space="preserve"> InputsTS!KGP$184</f>
        <v>0</v>
      </c>
      <c r="KGQ77" s="223">
        <f xml:space="preserve"> InputsTS!KGQ$184</f>
        <v>0</v>
      </c>
      <c r="KGR77" s="223">
        <f xml:space="preserve"> InputsTS!KGR$184</f>
        <v>0</v>
      </c>
      <c r="KGS77" s="223">
        <f xml:space="preserve"> InputsTS!KGS$184</f>
        <v>0</v>
      </c>
      <c r="KGT77" s="223">
        <f xml:space="preserve"> InputsTS!KGT$184</f>
        <v>0</v>
      </c>
      <c r="KGU77" s="223">
        <f xml:space="preserve"> InputsTS!KGU$184</f>
        <v>0</v>
      </c>
      <c r="KGV77" s="223">
        <f xml:space="preserve"> InputsTS!KGV$184</f>
        <v>0</v>
      </c>
      <c r="KGW77" s="223">
        <f xml:space="preserve"> InputsTS!KGW$184</f>
        <v>0</v>
      </c>
      <c r="KGX77" s="223">
        <f xml:space="preserve"> InputsTS!KGX$184</f>
        <v>0</v>
      </c>
      <c r="KGY77" s="223">
        <f xml:space="preserve"> InputsTS!KGY$184</f>
        <v>0</v>
      </c>
      <c r="KGZ77" s="223">
        <f xml:space="preserve"> InputsTS!KGZ$184</f>
        <v>0</v>
      </c>
      <c r="KHA77" s="223">
        <f xml:space="preserve"> InputsTS!KHA$184</f>
        <v>0</v>
      </c>
      <c r="KHB77" s="223">
        <f xml:space="preserve"> InputsTS!KHB$184</f>
        <v>0</v>
      </c>
      <c r="KHC77" s="223">
        <f xml:space="preserve"> InputsTS!KHC$184</f>
        <v>0</v>
      </c>
      <c r="KHD77" s="223">
        <f xml:space="preserve"> InputsTS!KHD$184</f>
        <v>0</v>
      </c>
      <c r="KHE77" s="223">
        <f xml:space="preserve"> InputsTS!KHE$184</f>
        <v>0</v>
      </c>
      <c r="KHF77" s="223">
        <f xml:space="preserve"> InputsTS!KHF$184</f>
        <v>0</v>
      </c>
      <c r="KHG77" s="223">
        <f xml:space="preserve"> InputsTS!KHG$184</f>
        <v>0</v>
      </c>
      <c r="KHH77" s="223">
        <f xml:space="preserve"> InputsTS!KHH$184</f>
        <v>0</v>
      </c>
      <c r="KHI77" s="223">
        <f xml:space="preserve"> InputsTS!KHI$184</f>
        <v>0</v>
      </c>
      <c r="KHJ77" s="223">
        <f xml:space="preserve"> InputsTS!KHJ$184</f>
        <v>0</v>
      </c>
      <c r="KHK77" s="223">
        <f xml:space="preserve"> InputsTS!KHK$184</f>
        <v>0</v>
      </c>
      <c r="KHL77" s="223">
        <f xml:space="preserve"> InputsTS!KHL$184</f>
        <v>0</v>
      </c>
      <c r="KHM77" s="223">
        <f xml:space="preserve"> InputsTS!KHM$184</f>
        <v>0</v>
      </c>
      <c r="KHN77" s="223">
        <f xml:space="preserve"> InputsTS!KHN$184</f>
        <v>0</v>
      </c>
      <c r="KHO77" s="223">
        <f xml:space="preserve"> InputsTS!KHO$184</f>
        <v>0</v>
      </c>
      <c r="KHP77" s="223">
        <f xml:space="preserve"> InputsTS!KHP$184</f>
        <v>0</v>
      </c>
      <c r="KHQ77" s="223">
        <f xml:space="preserve"> InputsTS!KHQ$184</f>
        <v>0</v>
      </c>
      <c r="KHR77" s="223">
        <f xml:space="preserve"> InputsTS!KHR$184</f>
        <v>0</v>
      </c>
      <c r="KHS77" s="223">
        <f xml:space="preserve"> InputsTS!KHS$184</f>
        <v>0</v>
      </c>
      <c r="KHT77" s="223">
        <f xml:space="preserve"> InputsTS!KHT$184</f>
        <v>0</v>
      </c>
      <c r="KHU77" s="223">
        <f xml:space="preserve"> InputsTS!KHU$184</f>
        <v>0</v>
      </c>
      <c r="KHV77" s="223">
        <f xml:space="preserve"> InputsTS!KHV$184</f>
        <v>0</v>
      </c>
      <c r="KHW77" s="223">
        <f xml:space="preserve"> InputsTS!KHW$184</f>
        <v>0</v>
      </c>
      <c r="KHX77" s="223">
        <f xml:space="preserve"> InputsTS!KHX$184</f>
        <v>0</v>
      </c>
      <c r="KHY77" s="223">
        <f xml:space="preserve"> InputsTS!KHY$184</f>
        <v>0</v>
      </c>
      <c r="KHZ77" s="223">
        <f xml:space="preserve"> InputsTS!KHZ$184</f>
        <v>0</v>
      </c>
      <c r="KIA77" s="223">
        <f xml:space="preserve"> InputsTS!KIA$184</f>
        <v>0</v>
      </c>
      <c r="KIB77" s="223">
        <f xml:space="preserve"> InputsTS!KIB$184</f>
        <v>0</v>
      </c>
      <c r="KIC77" s="223">
        <f xml:space="preserve"> InputsTS!KIC$184</f>
        <v>0</v>
      </c>
      <c r="KID77" s="223">
        <f xml:space="preserve"> InputsTS!KID$184</f>
        <v>0</v>
      </c>
      <c r="KIE77" s="223">
        <f xml:space="preserve"> InputsTS!KIE$184</f>
        <v>0</v>
      </c>
      <c r="KIF77" s="223">
        <f xml:space="preserve"> InputsTS!KIF$184</f>
        <v>0</v>
      </c>
      <c r="KIG77" s="223">
        <f xml:space="preserve"> InputsTS!KIG$184</f>
        <v>0</v>
      </c>
      <c r="KIH77" s="223">
        <f xml:space="preserve"> InputsTS!KIH$184</f>
        <v>0</v>
      </c>
      <c r="KII77" s="223">
        <f xml:space="preserve"> InputsTS!KII$184</f>
        <v>0</v>
      </c>
      <c r="KIJ77" s="223">
        <f xml:space="preserve"> InputsTS!KIJ$184</f>
        <v>0</v>
      </c>
      <c r="KIK77" s="223">
        <f xml:space="preserve"> InputsTS!KIK$184</f>
        <v>0</v>
      </c>
      <c r="KIL77" s="223">
        <f xml:space="preserve"> InputsTS!KIL$184</f>
        <v>0</v>
      </c>
      <c r="KIM77" s="223">
        <f xml:space="preserve"> InputsTS!KIM$184</f>
        <v>0</v>
      </c>
      <c r="KIN77" s="223">
        <f xml:space="preserve"> InputsTS!KIN$184</f>
        <v>0</v>
      </c>
      <c r="KIO77" s="223">
        <f xml:space="preserve"> InputsTS!KIO$184</f>
        <v>0</v>
      </c>
      <c r="KIP77" s="223">
        <f xml:space="preserve"> InputsTS!KIP$184</f>
        <v>0</v>
      </c>
      <c r="KIQ77" s="223">
        <f xml:space="preserve"> InputsTS!KIQ$184</f>
        <v>0</v>
      </c>
      <c r="KIR77" s="223">
        <f xml:space="preserve"> InputsTS!KIR$184</f>
        <v>0</v>
      </c>
      <c r="KIS77" s="223">
        <f xml:space="preserve"> InputsTS!KIS$184</f>
        <v>0</v>
      </c>
      <c r="KIT77" s="223">
        <f xml:space="preserve"> InputsTS!KIT$184</f>
        <v>0</v>
      </c>
      <c r="KIU77" s="223">
        <f xml:space="preserve"> InputsTS!KIU$184</f>
        <v>0</v>
      </c>
      <c r="KIV77" s="223">
        <f xml:space="preserve"> InputsTS!KIV$184</f>
        <v>0</v>
      </c>
      <c r="KIW77" s="223">
        <f xml:space="preserve"> InputsTS!KIW$184</f>
        <v>0</v>
      </c>
      <c r="KIX77" s="223">
        <f xml:space="preserve"> InputsTS!KIX$184</f>
        <v>0</v>
      </c>
      <c r="KIY77" s="223">
        <f xml:space="preserve"> InputsTS!KIY$184</f>
        <v>0</v>
      </c>
      <c r="KIZ77" s="223">
        <f xml:space="preserve"> InputsTS!KIZ$184</f>
        <v>0</v>
      </c>
      <c r="KJA77" s="223">
        <f xml:space="preserve"> InputsTS!KJA$184</f>
        <v>0</v>
      </c>
      <c r="KJB77" s="223">
        <f xml:space="preserve"> InputsTS!KJB$184</f>
        <v>0</v>
      </c>
      <c r="KJC77" s="223">
        <f xml:space="preserve"> InputsTS!KJC$184</f>
        <v>0</v>
      </c>
      <c r="KJD77" s="223">
        <f xml:space="preserve"> InputsTS!KJD$184</f>
        <v>0</v>
      </c>
      <c r="KJE77" s="223">
        <f xml:space="preserve"> InputsTS!KJE$184</f>
        <v>0</v>
      </c>
      <c r="KJF77" s="223">
        <f xml:space="preserve"> InputsTS!KJF$184</f>
        <v>0</v>
      </c>
      <c r="KJG77" s="223">
        <f xml:space="preserve"> InputsTS!KJG$184</f>
        <v>0</v>
      </c>
      <c r="KJH77" s="223">
        <f xml:space="preserve"> InputsTS!KJH$184</f>
        <v>0</v>
      </c>
      <c r="KJI77" s="223">
        <f xml:space="preserve"> InputsTS!KJI$184</f>
        <v>0</v>
      </c>
      <c r="KJJ77" s="223">
        <f xml:space="preserve"> InputsTS!KJJ$184</f>
        <v>0</v>
      </c>
      <c r="KJK77" s="223">
        <f xml:space="preserve"> InputsTS!KJK$184</f>
        <v>0</v>
      </c>
      <c r="KJL77" s="223">
        <f xml:space="preserve"> InputsTS!KJL$184</f>
        <v>0</v>
      </c>
      <c r="KJM77" s="223">
        <f xml:space="preserve"> InputsTS!KJM$184</f>
        <v>0</v>
      </c>
      <c r="KJN77" s="223">
        <f xml:space="preserve"> InputsTS!KJN$184</f>
        <v>0</v>
      </c>
      <c r="KJO77" s="223">
        <f xml:space="preserve"> InputsTS!KJO$184</f>
        <v>0</v>
      </c>
      <c r="KJP77" s="223">
        <f xml:space="preserve"> InputsTS!KJP$184</f>
        <v>0</v>
      </c>
      <c r="KJQ77" s="223">
        <f xml:space="preserve"> InputsTS!KJQ$184</f>
        <v>0</v>
      </c>
      <c r="KJR77" s="223">
        <f xml:space="preserve"> InputsTS!KJR$184</f>
        <v>0</v>
      </c>
      <c r="KJS77" s="223">
        <f xml:space="preserve"> InputsTS!KJS$184</f>
        <v>0</v>
      </c>
      <c r="KJT77" s="223">
        <f xml:space="preserve"> InputsTS!KJT$184</f>
        <v>0</v>
      </c>
      <c r="KJU77" s="223">
        <f xml:space="preserve"> InputsTS!KJU$184</f>
        <v>0</v>
      </c>
      <c r="KJV77" s="223">
        <f xml:space="preserve"> InputsTS!KJV$184</f>
        <v>0</v>
      </c>
      <c r="KJW77" s="223">
        <f xml:space="preserve"> InputsTS!KJW$184</f>
        <v>0</v>
      </c>
      <c r="KJX77" s="223">
        <f xml:space="preserve"> InputsTS!KJX$184</f>
        <v>0</v>
      </c>
      <c r="KJY77" s="223">
        <f xml:space="preserve"> InputsTS!KJY$184</f>
        <v>0</v>
      </c>
      <c r="KJZ77" s="223">
        <f xml:space="preserve"> InputsTS!KJZ$184</f>
        <v>0</v>
      </c>
      <c r="KKA77" s="223">
        <f xml:space="preserve"> InputsTS!KKA$184</f>
        <v>0</v>
      </c>
      <c r="KKB77" s="223">
        <f xml:space="preserve"> InputsTS!KKB$184</f>
        <v>0</v>
      </c>
      <c r="KKC77" s="223">
        <f xml:space="preserve"> InputsTS!KKC$184</f>
        <v>0</v>
      </c>
      <c r="KKD77" s="223">
        <f xml:space="preserve"> InputsTS!KKD$184</f>
        <v>0</v>
      </c>
      <c r="KKE77" s="223">
        <f xml:space="preserve"> InputsTS!KKE$184</f>
        <v>0</v>
      </c>
      <c r="KKF77" s="223">
        <f xml:space="preserve"> InputsTS!KKF$184</f>
        <v>0</v>
      </c>
      <c r="KKG77" s="223">
        <f xml:space="preserve"> InputsTS!KKG$184</f>
        <v>0</v>
      </c>
      <c r="KKH77" s="223">
        <f xml:space="preserve"> InputsTS!KKH$184</f>
        <v>0</v>
      </c>
      <c r="KKI77" s="223">
        <f xml:space="preserve"> InputsTS!KKI$184</f>
        <v>0</v>
      </c>
      <c r="KKJ77" s="223">
        <f xml:space="preserve"> InputsTS!KKJ$184</f>
        <v>0</v>
      </c>
      <c r="KKK77" s="223">
        <f xml:space="preserve"> InputsTS!KKK$184</f>
        <v>0</v>
      </c>
      <c r="KKL77" s="223">
        <f xml:space="preserve"> InputsTS!KKL$184</f>
        <v>0</v>
      </c>
      <c r="KKM77" s="223">
        <f xml:space="preserve"> InputsTS!KKM$184</f>
        <v>0</v>
      </c>
      <c r="KKN77" s="223">
        <f xml:space="preserve"> InputsTS!KKN$184</f>
        <v>0</v>
      </c>
      <c r="KKO77" s="223">
        <f xml:space="preserve"> InputsTS!KKO$184</f>
        <v>0</v>
      </c>
      <c r="KKP77" s="223">
        <f xml:space="preserve"> InputsTS!KKP$184</f>
        <v>0</v>
      </c>
      <c r="KKQ77" s="223">
        <f xml:space="preserve"> InputsTS!KKQ$184</f>
        <v>0</v>
      </c>
      <c r="KKR77" s="223">
        <f xml:space="preserve"> InputsTS!KKR$184</f>
        <v>0</v>
      </c>
      <c r="KKS77" s="223">
        <f xml:space="preserve"> InputsTS!KKS$184</f>
        <v>0</v>
      </c>
      <c r="KKT77" s="223">
        <f xml:space="preserve"> InputsTS!KKT$184</f>
        <v>0</v>
      </c>
      <c r="KKU77" s="223">
        <f xml:space="preserve"> InputsTS!KKU$184</f>
        <v>0</v>
      </c>
      <c r="KKV77" s="223">
        <f xml:space="preserve"> InputsTS!KKV$184</f>
        <v>0</v>
      </c>
      <c r="KKW77" s="223">
        <f xml:space="preserve"> InputsTS!KKW$184</f>
        <v>0</v>
      </c>
      <c r="KKX77" s="223">
        <f xml:space="preserve"> InputsTS!KKX$184</f>
        <v>0</v>
      </c>
      <c r="KKY77" s="223">
        <f xml:space="preserve"> InputsTS!KKY$184</f>
        <v>0</v>
      </c>
      <c r="KKZ77" s="223">
        <f xml:space="preserve"> InputsTS!KKZ$184</f>
        <v>0</v>
      </c>
      <c r="KLA77" s="223">
        <f xml:space="preserve"> InputsTS!KLA$184</f>
        <v>0</v>
      </c>
      <c r="KLB77" s="223">
        <f xml:space="preserve"> InputsTS!KLB$184</f>
        <v>0</v>
      </c>
      <c r="KLC77" s="223">
        <f xml:space="preserve"> InputsTS!KLC$184</f>
        <v>0</v>
      </c>
      <c r="KLD77" s="223">
        <f xml:space="preserve"> InputsTS!KLD$184</f>
        <v>0</v>
      </c>
      <c r="KLE77" s="223">
        <f xml:space="preserve"> InputsTS!KLE$184</f>
        <v>0</v>
      </c>
      <c r="KLF77" s="223">
        <f xml:space="preserve"> InputsTS!KLF$184</f>
        <v>0</v>
      </c>
      <c r="KLG77" s="223">
        <f xml:space="preserve"> InputsTS!KLG$184</f>
        <v>0</v>
      </c>
      <c r="KLH77" s="223">
        <f xml:space="preserve"> InputsTS!KLH$184</f>
        <v>0</v>
      </c>
      <c r="KLI77" s="223">
        <f xml:space="preserve"> InputsTS!KLI$184</f>
        <v>0</v>
      </c>
      <c r="KLJ77" s="223">
        <f xml:space="preserve"> InputsTS!KLJ$184</f>
        <v>0</v>
      </c>
      <c r="KLK77" s="223">
        <f xml:space="preserve"> InputsTS!KLK$184</f>
        <v>0</v>
      </c>
      <c r="KLL77" s="223">
        <f xml:space="preserve"> InputsTS!KLL$184</f>
        <v>0</v>
      </c>
      <c r="KLM77" s="223">
        <f xml:space="preserve"> InputsTS!KLM$184</f>
        <v>0</v>
      </c>
      <c r="KLN77" s="223">
        <f xml:space="preserve"> InputsTS!KLN$184</f>
        <v>0</v>
      </c>
      <c r="KLO77" s="223">
        <f xml:space="preserve"> InputsTS!KLO$184</f>
        <v>0</v>
      </c>
      <c r="KLP77" s="223">
        <f xml:space="preserve"> InputsTS!KLP$184</f>
        <v>0</v>
      </c>
      <c r="KLQ77" s="223">
        <f xml:space="preserve"> InputsTS!KLQ$184</f>
        <v>0</v>
      </c>
      <c r="KLR77" s="223">
        <f xml:space="preserve"> InputsTS!KLR$184</f>
        <v>0</v>
      </c>
      <c r="KLS77" s="223">
        <f xml:space="preserve"> InputsTS!KLS$184</f>
        <v>0</v>
      </c>
      <c r="KLT77" s="223">
        <f xml:space="preserve"> InputsTS!KLT$184</f>
        <v>0</v>
      </c>
      <c r="KLU77" s="223">
        <f xml:space="preserve"> InputsTS!KLU$184</f>
        <v>0</v>
      </c>
      <c r="KLV77" s="223">
        <f xml:space="preserve"> InputsTS!KLV$184</f>
        <v>0</v>
      </c>
      <c r="KLW77" s="223">
        <f xml:space="preserve"> InputsTS!KLW$184</f>
        <v>0</v>
      </c>
      <c r="KLX77" s="223">
        <f xml:space="preserve"> InputsTS!KLX$184</f>
        <v>0</v>
      </c>
      <c r="KLY77" s="223">
        <f xml:space="preserve"> InputsTS!KLY$184</f>
        <v>0</v>
      </c>
      <c r="KLZ77" s="223">
        <f xml:space="preserve"> InputsTS!KLZ$184</f>
        <v>0</v>
      </c>
      <c r="KMA77" s="223">
        <f xml:space="preserve"> InputsTS!KMA$184</f>
        <v>0</v>
      </c>
      <c r="KMB77" s="223">
        <f xml:space="preserve"> InputsTS!KMB$184</f>
        <v>0</v>
      </c>
      <c r="KMC77" s="223">
        <f xml:space="preserve"> InputsTS!KMC$184</f>
        <v>0</v>
      </c>
      <c r="KMD77" s="223">
        <f xml:space="preserve"> InputsTS!KMD$184</f>
        <v>0</v>
      </c>
      <c r="KME77" s="223">
        <f xml:space="preserve"> InputsTS!KME$184</f>
        <v>0</v>
      </c>
      <c r="KMF77" s="223">
        <f xml:space="preserve"> InputsTS!KMF$184</f>
        <v>0</v>
      </c>
      <c r="KMG77" s="223">
        <f xml:space="preserve"> InputsTS!KMG$184</f>
        <v>0</v>
      </c>
      <c r="KMH77" s="223">
        <f xml:space="preserve"> InputsTS!KMH$184</f>
        <v>0</v>
      </c>
      <c r="KMI77" s="223">
        <f xml:space="preserve"> InputsTS!KMI$184</f>
        <v>0</v>
      </c>
      <c r="KMJ77" s="223">
        <f xml:space="preserve"> InputsTS!KMJ$184</f>
        <v>0</v>
      </c>
      <c r="KMK77" s="223">
        <f xml:space="preserve"> InputsTS!KMK$184</f>
        <v>0</v>
      </c>
      <c r="KML77" s="223">
        <f xml:space="preserve"> InputsTS!KML$184</f>
        <v>0</v>
      </c>
      <c r="KMM77" s="223">
        <f xml:space="preserve"> InputsTS!KMM$184</f>
        <v>0</v>
      </c>
      <c r="KMN77" s="223">
        <f xml:space="preserve"> InputsTS!KMN$184</f>
        <v>0</v>
      </c>
      <c r="KMO77" s="223">
        <f xml:space="preserve"> InputsTS!KMO$184</f>
        <v>0</v>
      </c>
      <c r="KMP77" s="223">
        <f xml:space="preserve"> InputsTS!KMP$184</f>
        <v>0</v>
      </c>
      <c r="KMQ77" s="223">
        <f xml:space="preserve"> InputsTS!KMQ$184</f>
        <v>0</v>
      </c>
      <c r="KMR77" s="223">
        <f xml:space="preserve"> InputsTS!KMR$184</f>
        <v>0</v>
      </c>
      <c r="KMS77" s="223">
        <f xml:space="preserve"> InputsTS!KMS$184</f>
        <v>0</v>
      </c>
      <c r="KMT77" s="223">
        <f xml:space="preserve"> InputsTS!KMT$184</f>
        <v>0</v>
      </c>
      <c r="KMU77" s="223">
        <f xml:space="preserve"> InputsTS!KMU$184</f>
        <v>0</v>
      </c>
      <c r="KMV77" s="223">
        <f xml:space="preserve"> InputsTS!KMV$184</f>
        <v>0</v>
      </c>
      <c r="KMW77" s="223">
        <f xml:space="preserve"> InputsTS!KMW$184</f>
        <v>0</v>
      </c>
      <c r="KMX77" s="223">
        <f xml:space="preserve"> InputsTS!KMX$184</f>
        <v>0</v>
      </c>
      <c r="KMY77" s="223">
        <f xml:space="preserve"> InputsTS!KMY$184</f>
        <v>0</v>
      </c>
      <c r="KMZ77" s="223">
        <f xml:space="preserve"> InputsTS!KMZ$184</f>
        <v>0</v>
      </c>
      <c r="KNA77" s="223">
        <f xml:space="preserve"> InputsTS!KNA$184</f>
        <v>0</v>
      </c>
      <c r="KNB77" s="223">
        <f xml:space="preserve"> InputsTS!KNB$184</f>
        <v>0</v>
      </c>
      <c r="KNC77" s="223">
        <f xml:space="preserve"> InputsTS!KNC$184</f>
        <v>0</v>
      </c>
      <c r="KND77" s="223">
        <f xml:space="preserve"> InputsTS!KND$184</f>
        <v>0</v>
      </c>
      <c r="KNE77" s="223">
        <f xml:space="preserve"> InputsTS!KNE$184</f>
        <v>0</v>
      </c>
      <c r="KNF77" s="223">
        <f xml:space="preserve"> InputsTS!KNF$184</f>
        <v>0</v>
      </c>
      <c r="KNG77" s="223">
        <f xml:space="preserve"> InputsTS!KNG$184</f>
        <v>0</v>
      </c>
      <c r="KNH77" s="223">
        <f xml:space="preserve"> InputsTS!KNH$184</f>
        <v>0</v>
      </c>
      <c r="KNI77" s="223">
        <f xml:space="preserve"> InputsTS!KNI$184</f>
        <v>0</v>
      </c>
      <c r="KNJ77" s="223">
        <f xml:space="preserve"> InputsTS!KNJ$184</f>
        <v>0</v>
      </c>
      <c r="KNK77" s="223">
        <f xml:space="preserve"> InputsTS!KNK$184</f>
        <v>0</v>
      </c>
      <c r="KNL77" s="223">
        <f xml:space="preserve"> InputsTS!KNL$184</f>
        <v>0</v>
      </c>
      <c r="KNM77" s="223">
        <f xml:space="preserve"> InputsTS!KNM$184</f>
        <v>0</v>
      </c>
      <c r="KNN77" s="223">
        <f xml:space="preserve"> InputsTS!KNN$184</f>
        <v>0</v>
      </c>
      <c r="KNO77" s="223">
        <f xml:space="preserve"> InputsTS!KNO$184</f>
        <v>0</v>
      </c>
      <c r="KNP77" s="223">
        <f xml:space="preserve"> InputsTS!KNP$184</f>
        <v>0</v>
      </c>
      <c r="KNQ77" s="223">
        <f xml:space="preserve"> InputsTS!KNQ$184</f>
        <v>0</v>
      </c>
      <c r="KNR77" s="223">
        <f xml:space="preserve"> InputsTS!KNR$184</f>
        <v>0</v>
      </c>
      <c r="KNS77" s="223">
        <f xml:space="preserve"> InputsTS!KNS$184</f>
        <v>0</v>
      </c>
      <c r="KNT77" s="223">
        <f xml:space="preserve"> InputsTS!KNT$184</f>
        <v>0</v>
      </c>
      <c r="KNU77" s="223">
        <f xml:space="preserve"> InputsTS!KNU$184</f>
        <v>0</v>
      </c>
      <c r="KNV77" s="223">
        <f xml:space="preserve"> InputsTS!KNV$184</f>
        <v>0</v>
      </c>
      <c r="KNW77" s="223">
        <f xml:space="preserve"> InputsTS!KNW$184</f>
        <v>0</v>
      </c>
      <c r="KNX77" s="223">
        <f xml:space="preserve"> InputsTS!KNX$184</f>
        <v>0</v>
      </c>
      <c r="KNY77" s="223">
        <f xml:space="preserve"> InputsTS!KNY$184</f>
        <v>0</v>
      </c>
      <c r="KNZ77" s="223">
        <f xml:space="preserve"> InputsTS!KNZ$184</f>
        <v>0</v>
      </c>
      <c r="KOA77" s="223">
        <f xml:space="preserve"> InputsTS!KOA$184</f>
        <v>0</v>
      </c>
      <c r="KOB77" s="223">
        <f xml:space="preserve"> InputsTS!KOB$184</f>
        <v>0</v>
      </c>
      <c r="KOC77" s="223">
        <f xml:space="preserve"> InputsTS!KOC$184</f>
        <v>0</v>
      </c>
      <c r="KOD77" s="223">
        <f xml:space="preserve"> InputsTS!KOD$184</f>
        <v>0</v>
      </c>
      <c r="KOE77" s="223">
        <f xml:space="preserve"> InputsTS!KOE$184</f>
        <v>0</v>
      </c>
      <c r="KOF77" s="223">
        <f xml:space="preserve"> InputsTS!KOF$184</f>
        <v>0</v>
      </c>
      <c r="KOG77" s="223">
        <f xml:space="preserve"> InputsTS!KOG$184</f>
        <v>0</v>
      </c>
      <c r="KOH77" s="223">
        <f xml:space="preserve"> InputsTS!KOH$184</f>
        <v>0</v>
      </c>
      <c r="KOI77" s="223">
        <f xml:space="preserve"> InputsTS!KOI$184</f>
        <v>0</v>
      </c>
      <c r="KOJ77" s="223">
        <f xml:space="preserve"> InputsTS!KOJ$184</f>
        <v>0</v>
      </c>
      <c r="KOK77" s="223">
        <f xml:space="preserve"> InputsTS!KOK$184</f>
        <v>0</v>
      </c>
      <c r="KOL77" s="223">
        <f xml:space="preserve"> InputsTS!KOL$184</f>
        <v>0</v>
      </c>
      <c r="KOM77" s="223">
        <f xml:space="preserve"> InputsTS!KOM$184</f>
        <v>0</v>
      </c>
      <c r="KON77" s="223">
        <f xml:space="preserve"> InputsTS!KON$184</f>
        <v>0</v>
      </c>
      <c r="KOO77" s="223">
        <f xml:space="preserve"> InputsTS!KOO$184</f>
        <v>0</v>
      </c>
      <c r="KOP77" s="223">
        <f xml:space="preserve"> InputsTS!KOP$184</f>
        <v>0</v>
      </c>
      <c r="KOQ77" s="223">
        <f xml:space="preserve"> InputsTS!KOQ$184</f>
        <v>0</v>
      </c>
      <c r="KOR77" s="223">
        <f xml:space="preserve"> InputsTS!KOR$184</f>
        <v>0</v>
      </c>
      <c r="KOS77" s="223">
        <f xml:space="preserve"> InputsTS!KOS$184</f>
        <v>0</v>
      </c>
      <c r="KOT77" s="223">
        <f xml:space="preserve"> InputsTS!KOT$184</f>
        <v>0</v>
      </c>
      <c r="KOU77" s="223">
        <f xml:space="preserve"> InputsTS!KOU$184</f>
        <v>0</v>
      </c>
      <c r="KOV77" s="223">
        <f xml:space="preserve"> InputsTS!KOV$184</f>
        <v>0</v>
      </c>
      <c r="KOW77" s="223">
        <f xml:space="preserve"> InputsTS!KOW$184</f>
        <v>0</v>
      </c>
      <c r="KOX77" s="223">
        <f xml:space="preserve"> InputsTS!KOX$184</f>
        <v>0</v>
      </c>
      <c r="KOY77" s="223">
        <f xml:space="preserve"> InputsTS!KOY$184</f>
        <v>0</v>
      </c>
      <c r="KOZ77" s="223">
        <f xml:space="preserve"> InputsTS!KOZ$184</f>
        <v>0</v>
      </c>
      <c r="KPA77" s="223">
        <f xml:space="preserve"> InputsTS!KPA$184</f>
        <v>0</v>
      </c>
      <c r="KPB77" s="223">
        <f xml:space="preserve"> InputsTS!KPB$184</f>
        <v>0</v>
      </c>
      <c r="KPC77" s="223">
        <f xml:space="preserve"> InputsTS!KPC$184</f>
        <v>0</v>
      </c>
      <c r="KPD77" s="223">
        <f xml:space="preserve"> InputsTS!KPD$184</f>
        <v>0</v>
      </c>
      <c r="KPE77" s="223">
        <f xml:space="preserve"> InputsTS!KPE$184</f>
        <v>0</v>
      </c>
      <c r="KPF77" s="223">
        <f xml:space="preserve"> InputsTS!KPF$184</f>
        <v>0</v>
      </c>
      <c r="KPG77" s="223">
        <f xml:space="preserve"> InputsTS!KPG$184</f>
        <v>0</v>
      </c>
      <c r="KPH77" s="223">
        <f xml:space="preserve"> InputsTS!KPH$184</f>
        <v>0</v>
      </c>
      <c r="KPI77" s="223">
        <f xml:space="preserve"> InputsTS!KPI$184</f>
        <v>0</v>
      </c>
      <c r="KPJ77" s="223">
        <f xml:space="preserve"> InputsTS!KPJ$184</f>
        <v>0</v>
      </c>
      <c r="KPK77" s="223">
        <f xml:space="preserve"> InputsTS!KPK$184</f>
        <v>0</v>
      </c>
      <c r="KPL77" s="223">
        <f xml:space="preserve"> InputsTS!KPL$184</f>
        <v>0</v>
      </c>
      <c r="KPM77" s="223">
        <f xml:space="preserve"> InputsTS!KPM$184</f>
        <v>0</v>
      </c>
      <c r="KPN77" s="223">
        <f xml:space="preserve"> InputsTS!KPN$184</f>
        <v>0</v>
      </c>
      <c r="KPO77" s="223">
        <f xml:space="preserve"> InputsTS!KPO$184</f>
        <v>0</v>
      </c>
      <c r="KPP77" s="223">
        <f xml:space="preserve"> InputsTS!KPP$184</f>
        <v>0</v>
      </c>
      <c r="KPQ77" s="223">
        <f xml:space="preserve"> InputsTS!KPQ$184</f>
        <v>0</v>
      </c>
      <c r="KPR77" s="223">
        <f xml:space="preserve"> InputsTS!KPR$184</f>
        <v>0</v>
      </c>
      <c r="KPS77" s="223">
        <f xml:space="preserve"> InputsTS!KPS$184</f>
        <v>0</v>
      </c>
      <c r="KPT77" s="223">
        <f xml:space="preserve"> InputsTS!KPT$184</f>
        <v>0</v>
      </c>
      <c r="KPU77" s="223">
        <f xml:space="preserve"> InputsTS!KPU$184</f>
        <v>0</v>
      </c>
      <c r="KPV77" s="223">
        <f xml:space="preserve"> InputsTS!KPV$184</f>
        <v>0</v>
      </c>
      <c r="KPW77" s="223">
        <f xml:space="preserve"> InputsTS!KPW$184</f>
        <v>0</v>
      </c>
      <c r="KPX77" s="223">
        <f xml:space="preserve"> InputsTS!KPX$184</f>
        <v>0</v>
      </c>
      <c r="KPY77" s="223">
        <f xml:space="preserve"> InputsTS!KPY$184</f>
        <v>0</v>
      </c>
      <c r="KPZ77" s="223">
        <f xml:space="preserve"> InputsTS!KPZ$184</f>
        <v>0</v>
      </c>
      <c r="KQA77" s="223">
        <f xml:space="preserve"> InputsTS!KQA$184</f>
        <v>0</v>
      </c>
      <c r="KQB77" s="223">
        <f xml:space="preserve"> InputsTS!KQB$184</f>
        <v>0</v>
      </c>
      <c r="KQC77" s="223">
        <f xml:space="preserve"> InputsTS!KQC$184</f>
        <v>0</v>
      </c>
      <c r="KQD77" s="223">
        <f xml:space="preserve"> InputsTS!KQD$184</f>
        <v>0</v>
      </c>
      <c r="KQE77" s="223">
        <f xml:space="preserve"> InputsTS!KQE$184</f>
        <v>0</v>
      </c>
      <c r="KQF77" s="223">
        <f xml:space="preserve"> InputsTS!KQF$184</f>
        <v>0</v>
      </c>
      <c r="KQG77" s="223">
        <f xml:space="preserve"> InputsTS!KQG$184</f>
        <v>0</v>
      </c>
      <c r="KQH77" s="223">
        <f xml:space="preserve"> InputsTS!KQH$184</f>
        <v>0</v>
      </c>
      <c r="KQI77" s="223">
        <f xml:space="preserve"> InputsTS!KQI$184</f>
        <v>0</v>
      </c>
      <c r="KQJ77" s="223">
        <f xml:space="preserve"> InputsTS!KQJ$184</f>
        <v>0</v>
      </c>
      <c r="KQK77" s="223">
        <f xml:space="preserve"> InputsTS!KQK$184</f>
        <v>0</v>
      </c>
      <c r="KQL77" s="223">
        <f xml:space="preserve"> InputsTS!KQL$184</f>
        <v>0</v>
      </c>
      <c r="KQM77" s="223">
        <f xml:space="preserve"> InputsTS!KQM$184</f>
        <v>0</v>
      </c>
      <c r="KQN77" s="223">
        <f xml:space="preserve"> InputsTS!KQN$184</f>
        <v>0</v>
      </c>
      <c r="KQO77" s="223">
        <f xml:space="preserve"> InputsTS!KQO$184</f>
        <v>0</v>
      </c>
      <c r="KQP77" s="223">
        <f xml:space="preserve"> InputsTS!KQP$184</f>
        <v>0</v>
      </c>
      <c r="KQQ77" s="223">
        <f xml:space="preserve"> InputsTS!KQQ$184</f>
        <v>0</v>
      </c>
      <c r="KQR77" s="223">
        <f xml:space="preserve"> InputsTS!KQR$184</f>
        <v>0</v>
      </c>
      <c r="KQS77" s="223">
        <f xml:space="preserve"> InputsTS!KQS$184</f>
        <v>0</v>
      </c>
      <c r="KQT77" s="223">
        <f xml:space="preserve"> InputsTS!KQT$184</f>
        <v>0</v>
      </c>
      <c r="KQU77" s="223">
        <f xml:space="preserve"> InputsTS!KQU$184</f>
        <v>0</v>
      </c>
      <c r="KQV77" s="223">
        <f xml:space="preserve"> InputsTS!KQV$184</f>
        <v>0</v>
      </c>
      <c r="KQW77" s="223">
        <f xml:space="preserve"> InputsTS!KQW$184</f>
        <v>0</v>
      </c>
      <c r="KQX77" s="223">
        <f xml:space="preserve"> InputsTS!KQX$184</f>
        <v>0</v>
      </c>
      <c r="KQY77" s="223">
        <f xml:space="preserve"> InputsTS!KQY$184</f>
        <v>0</v>
      </c>
      <c r="KQZ77" s="223">
        <f xml:space="preserve"> InputsTS!KQZ$184</f>
        <v>0</v>
      </c>
      <c r="KRA77" s="223">
        <f xml:space="preserve"> InputsTS!KRA$184</f>
        <v>0</v>
      </c>
      <c r="KRB77" s="223">
        <f xml:space="preserve"> InputsTS!KRB$184</f>
        <v>0</v>
      </c>
      <c r="KRC77" s="223">
        <f xml:space="preserve"> InputsTS!KRC$184</f>
        <v>0</v>
      </c>
      <c r="KRD77" s="223">
        <f xml:space="preserve"> InputsTS!KRD$184</f>
        <v>0</v>
      </c>
      <c r="KRE77" s="223">
        <f xml:space="preserve"> InputsTS!KRE$184</f>
        <v>0</v>
      </c>
      <c r="KRF77" s="223">
        <f xml:space="preserve"> InputsTS!KRF$184</f>
        <v>0</v>
      </c>
      <c r="KRG77" s="223">
        <f xml:space="preserve"> InputsTS!KRG$184</f>
        <v>0</v>
      </c>
      <c r="KRH77" s="223">
        <f xml:space="preserve"> InputsTS!KRH$184</f>
        <v>0</v>
      </c>
      <c r="KRI77" s="223">
        <f xml:space="preserve"> InputsTS!KRI$184</f>
        <v>0</v>
      </c>
      <c r="KRJ77" s="223">
        <f xml:space="preserve"> InputsTS!KRJ$184</f>
        <v>0</v>
      </c>
      <c r="KRK77" s="223">
        <f xml:space="preserve"> InputsTS!KRK$184</f>
        <v>0</v>
      </c>
      <c r="KRL77" s="223">
        <f xml:space="preserve"> InputsTS!KRL$184</f>
        <v>0</v>
      </c>
      <c r="KRM77" s="223">
        <f xml:space="preserve"> InputsTS!KRM$184</f>
        <v>0</v>
      </c>
      <c r="KRN77" s="223">
        <f xml:space="preserve"> InputsTS!KRN$184</f>
        <v>0</v>
      </c>
      <c r="KRO77" s="223">
        <f xml:space="preserve"> InputsTS!KRO$184</f>
        <v>0</v>
      </c>
      <c r="KRP77" s="223">
        <f xml:space="preserve"> InputsTS!KRP$184</f>
        <v>0</v>
      </c>
      <c r="KRQ77" s="223">
        <f xml:space="preserve"> InputsTS!KRQ$184</f>
        <v>0</v>
      </c>
      <c r="KRR77" s="223">
        <f xml:space="preserve"> InputsTS!KRR$184</f>
        <v>0</v>
      </c>
      <c r="KRS77" s="223">
        <f xml:space="preserve"> InputsTS!KRS$184</f>
        <v>0</v>
      </c>
      <c r="KRT77" s="223">
        <f xml:space="preserve"> InputsTS!KRT$184</f>
        <v>0</v>
      </c>
      <c r="KRU77" s="223">
        <f xml:space="preserve"> InputsTS!KRU$184</f>
        <v>0</v>
      </c>
      <c r="KRV77" s="223">
        <f xml:space="preserve"> InputsTS!KRV$184</f>
        <v>0</v>
      </c>
      <c r="KRW77" s="223">
        <f xml:space="preserve"> InputsTS!KRW$184</f>
        <v>0</v>
      </c>
      <c r="KRX77" s="223">
        <f xml:space="preserve"> InputsTS!KRX$184</f>
        <v>0</v>
      </c>
      <c r="KRY77" s="223">
        <f xml:space="preserve"> InputsTS!KRY$184</f>
        <v>0</v>
      </c>
      <c r="KRZ77" s="223">
        <f xml:space="preserve"> InputsTS!KRZ$184</f>
        <v>0</v>
      </c>
      <c r="KSA77" s="223">
        <f xml:space="preserve"> InputsTS!KSA$184</f>
        <v>0</v>
      </c>
      <c r="KSB77" s="223">
        <f xml:space="preserve"> InputsTS!KSB$184</f>
        <v>0</v>
      </c>
      <c r="KSC77" s="223">
        <f xml:space="preserve"> InputsTS!KSC$184</f>
        <v>0</v>
      </c>
      <c r="KSD77" s="223">
        <f xml:space="preserve"> InputsTS!KSD$184</f>
        <v>0</v>
      </c>
      <c r="KSE77" s="223">
        <f xml:space="preserve"> InputsTS!KSE$184</f>
        <v>0</v>
      </c>
      <c r="KSF77" s="223">
        <f xml:space="preserve"> InputsTS!KSF$184</f>
        <v>0</v>
      </c>
      <c r="KSG77" s="223">
        <f xml:space="preserve"> InputsTS!KSG$184</f>
        <v>0</v>
      </c>
      <c r="KSH77" s="223">
        <f xml:space="preserve"> InputsTS!KSH$184</f>
        <v>0</v>
      </c>
      <c r="KSI77" s="223">
        <f xml:space="preserve"> InputsTS!KSI$184</f>
        <v>0</v>
      </c>
      <c r="KSJ77" s="223">
        <f xml:space="preserve"> InputsTS!KSJ$184</f>
        <v>0</v>
      </c>
      <c r="KSK77" s="223">
        <f xml:space="preserve"> InputsTS!KSK$184</f>
        <v>0</v>
      </c>
      <c r="KSL77" s="223">
        <f xml:space="preserve"> InputsTS!KSL$184</f>
        <v>0</v>
      </c>
      <c r="KSM77" s="223">
        <f xml:space="preserve"> InputsTS!KSM$184</f>
        <v>0</v>
      </c>
      <c r="KSN77" s="223">
        <f xml:space="preserve"> InputsTS!KSN$184</f>
        <v>0</v>
      </c>
      <c r="KSO77" s="223">
        <f xml:space="preserve"> InputsTS!KSO$184</f>
        <v>0</v>
      </c>
      <c r="KSP77" s="223">
        <f xml:space="preserve"> InputsTS!KSP$184</f>
        <v>0</v>
      </c>
      <c r="KSQ77" s="223">
        <f xml:space="preserve"> InputsTS!KSQ$184</f>
        <v>0</v>
      </c>
      <c r="KSR77" s="223">
        <f xml:space="preserve"> InputsTS!KSR$184</f>
        <v>0</v>
      </c>
      <c r="KSS77" s="223">
        <f xml:space="preserve"> InputsTS!KSS$184</f>
        <v>0</v>
      </c>
      <c r="KST77" s="223">
        <f xml:space="preserve"> InputsTS!KST$184</f>
        <v>0</v>
      </c>
      <c r="KSU77" s="223">
        <f xml:space="preserve"> InputsTS!KSU$184</f>
        <v>0</v>
      </c>
      <c r="KSV77" s="223">
        <f xml:space="preserve"> InputsTS!KSV$184</f>
        <v>0</v>
      </c>
      <c r="KSW77" s="223">
        <f xml:space="preserve"> InputsTS!KSW$184</f>
        <v>0</v>
      </c>
      <c r="KSX77" s="223">
        <f xml:space="preserve"> InputsTS!KSX$184</f>
        <v>0</v>
      </c>
      <c r="KSY77" s="223">
        <f xml:space="preserve"> InputsTS!KSY$184</f>
        <v>0</v>
      </c>
      <c r="KSZ77" s="223">
        <f xml:space="preserve"> InputsTS!KSZ$184</f>
        <v>0</v>
      </c>
      <c r="KTA77" s="223">
        <f xml:space="preserve"> InputsTS!KTA$184</f>
        <v>0</v>
      </c>
      <c r="KTB77" s="223">
        <f xml:space="preserve"> InputsTS!KTB$184</f>
        <v>0</v>
      </c>
      <c r="KTC77" s="223">
        <f xml:space="preserve"> InputsTS!KTC$184</f>
        <v>0</v>
      </c>
      <c r="KTD77" s="223">
        <f xml:space="preserve"> InputsTS!KTD$184</f>
        <v>0</v>
      </c>
      <c r="KTE77" s="223">
        <f xml:space="preserve"> InputsTS!KTE$184</f>
        <v>0</v>
      </c>
      <c r="KTF77" s="223">
        <f xml:space="preserve"> InputsTS!KTF$184</f>
        <v>0</v>
      </c>
      <c r="KTG77" s="223">
        <f xml:space="preserve"> InputsTS!KTG$184</f>
        <v>0</v>
      </c>
      <c r="KTH77" s="223">
        <f xml:space="preserve"> InputsTS!KTH$184</f>
        <v>0</v>
      </c>
      <c r="KTI77" s="223">
        <f xml:space="preserve"> InputsTS!KTI$184</f>
        <v>0</v>
      </c>
      <c r="KTJ77" s="223">
        <f xml:space="preserve"> InputsTS!KTJ$184</f>
        <v>0</v>
      </c>
      <c r="KTK77" s="223">
        <f xml:space="preserve"> InputsTS!KTK$184</f>
        <v>0</v>
      </c>
      <c r="KTL77" s="223">
        <f xml:space="preserve"> InputsTS!KTL$184</f>
        <v>0</v>
      </c>
      <c r="KTM77" s="223">
        <f xml:space="preserve"> InputsTS!KTM$184</f>
        <v>0</v>
      </c>
      <c r="KTN77" s="223">
        <f xml:space="preserve"> InputsTS!KTN$184</f>
        <v>0</v>
      </c>
      <c r="KTO77" s="223">
        <f xml:space="preserve"> InputsTS!KTO$184</f>
        <v>0</v>
      </c>
      <c r="KTP77" s="223">
        <f xml:space="preserve"> InputsTS!KTP$184</f>
        <v>0</v>
      </c>
      <c r="KTQ77" s="223">
        <f xml:space="preserve"> InputsTS!KTQ$184</f>
        <v>0</v>
      </c>
      <c r="KTR77" s="223">
        <f xml:space="preserve"> InputsTS!KTR$184</f>
        <v>0</v>
      </c>
      <c r="KTS77" s="223">
        <f xml:space="preserve"> InputsTS!KTS$184</f>
        <v>0</v>
      </c>
      <c r="KTT77" s="223">
        <f xml:space="preserve"> InputsTS!KTT$184</f>
        <v>0</v>
      </c>
      <c r="KTU77" s="223">
        <f xml:space="preserve"> InputsTS!KTU$184</f>
        <v>0</v>
      </c>
      <c r="KTV77" s="223">
        <f xml:space="preserve"> InputsTS!KTV$184</f>
        <v>0</v>
      </c>
      <c r="KTW77" s="223">
        <f xml:space="preserve"> InputsTS!KTW$184</f>
        <v>0</v>
      </c>
      <c r="KTX77" s="223">
        <f xml:space="preserve"> InputsTS!KTX$184</f>
        <v>0</v>
      </c>
      <c r="KTY77" s="223">
        <f xml:space="preserve"> InputsTS!KTY$184</f>
        <v>0</v>
      </c>
      <c r="KTZ77" s="223">
        <f xml:space="preserve"> InputsTS!KTZ$184</f>
        <v>0</v>
      </c>
      <c r="KUA77" s="223">
        <f xml:space="preserve"> InputsTS!KUA$184</f>
        <v>0</v>
      </c>
      <c r="KUB77" s="223">
        <f xml:space="preserve"> InputsTS!KUB$184</f>
        <v>0</v>
      </c>
      <c r="KUC77" s="223">
        <f xml:space="preserve"> InputsTS!KUC$184</f>
        <v>0</v>
      </c>
      <c r="KUD77" s="223">
        <f xml:space="preserve"> InputsTS!KUD$184</f>
        <v>0</v>
      </c>
      <c r="KUE77" s="223">
        <f xml:space="preserve"> InputsTS!KUE$184</f>
        <v>0</v>
      </c>
      <c r="KUF77" s="223">
        <f xml:space="preserve"> InputsTS!KUF$184</f>
        <v>0</v>
      </c>
      <c r="KUG77" s="223">
        <f xml:space="preserve"> InputsTS!KUG$184</f>
        <v>0</v>
      </c>
      <c r="KUH77" s="223">
        <f xml:space="preserve"> InputsTS!KUH$184</f>
        <v>0</v>
      </c>
      <c r="KUI77" s="223">
        <f xml:space="preserve"> InputsTS!KUI$184</f>
        <v>0</v>
      </c>
      <c r="KUJ77" s="223">
        <f xml:space="preserve"> InputsTS!KUJ$184</f>
        <v>0</v>
      </c>
      <c r="KUK77" s="223">
        <f xml:space="preserve"> InputsTS!KUK$184</f>
        <v>0</v>
      </c>
      <c r="KUL77" s="223">
        <f xml:space="preserve"> InputsTS!KUL$184</f>
        <v>0</v>
      </c>
      <c r="KUM77" s="223">
        <f xml:space="preserve"> InputsTS!KUM$184</f>
        <v>0</v>
      </c>
      <c r="KUN77" s="223">
        <f xml:space="preserve"> InputsTS!KUN$184</f>
        <v>0</v>
      </c>
      <c r="KUO77" s="223">
        <f xml:space="preserve"> InputsTS!KUO$184</f>
        <v>0</v>
      </c>
      <c r="KUP77" s="223">
        <f xml:space="preserve"> InputsTS!KUP$184</f>
        <v>0</v>
      </c>
      <c r="KUQ77" s="223">
        <f xml:space="preserve"> InputsTS!KUQ$184</f>
        <v>0</v>
      </c>
      <c r="KUR77" s="223">
        <f xml:space="preserve"> InputsTS!KUR$184</f>
        <v>0</v>
      </c>
      <c r="KUS77" s="223">
        <f xml:space="preserve"> InputsTS!KUS$184</f>
        <v>0</v>
      </c>
      <c r="KUT77" s="223">
        <f xml:space="preserve"> InputsTS!KUT$184</f>
        <v>0</v>
      </c>
      <c r="KUU77" s="223">
        <f xml:space="preserve"> InputsTS!KUU$184</f>
        <v>0</v>
      </c>
      <c r="KUV77" s="223">
        <f xml:space="preserve"> InputsTS!KUV$184</f>
        <v>0</v>
      </c>
      <c r="KUW77" s="223">
        <f xml:space="preserve"> InputsTS!KUW$184</f>
        <v>0</v>
      </c>
      <c r="KUX77" s="223">
        <f xml:space="preserve"> InputsTS!KUX$184</f>
        <v>0</v>
      </c>
      <c r="KUY77" s="223">
        <f xml:space="preserve"> InputsTS!KUY$184</f>
        <v>0</v>
      </c>
      <c r="KUZ77" s="223">
        <f xml:space="preserve"> InputsTS!KUZ$184</f>
        <v>0</v>
      </c>
      <c r="KVA77" s="223">
        <f xml:space="preserve"> InputsTS!KVA$184</f>
        <v>0</v>
      </c>
      <c r="KVB77" s="223">
        <f xml:space="preserve"> InputsTS!KVB$184</f>
        <v>0</v>
      </c>
      <c r="KVC77" s="223">
        <f xml:space="preserve"> InputsTS!KVC$184</f>
        <v>0</v>
      </c>
      <c r="KVD77" s="223">
        <f xml:space="preserve"> InputsTS!KVD$184</f>
        <v>0</v>
      </c>
      <c r="KVE77" s="223">
        <f xml:space="preserve"> InputsTS!KVE$184</f>
        <v>0</v>
      </c>
      <c r="KVF77" s="223">
        <f xml:space="preserve"> InputsTS!KVF$184</f>
        <v>0</v>
      </c>
      <c r="KVG77" s="223">
        <f xml:space="preserve"> InputsTS!KVG$184</f>
        <v>0</v>
      </c>
      <c r="KVH77" s="223">
        <f xml:space="preserve"> InputsTS!KVH$184</f>
        <v>0</v>
      </c>
      <c r="KVI77" s="223">
        <f xml:space="preserve"> InputsTS!KVI$184</f>
        <v>0</v>
      </c>
      <c r="KVJ77" s="223">
        <f xml:space="preserve"> InputsTS!KVJ$184</f>
        <v>0</v>
      </c>
      <c r="KVK77" s="223">
        <f xml:space="preserve"> InputsTS!KVK$184</f>
        <v>0</v>
      </c>
      <c r="KVL77" s="223">
        <f xml:space="preserve"> InputsTS!KVL$184</f>
        <v>0</v>
      </c>
      <c r="KVM77" s="223">
        <f xml:space="preserve"> InputsTS!KVM$184</f>
        <v>0</v>
      </c>
      <c r="KVN77" s="223">
        <f xml:space="preserve"> InputsTS!KVN$184</f>
        <v>0</v>
      </c>
      <c r="KVO77" s="223">
        <f xml:space="preserve"> InputsTS!KVO$184</f>
        <v>0</v>
      </c>
      <c r="KVP77" s="223">
        <f xml:space="preserve"> InputsTS!KVP$184</f>
        <v>0</v>
      </c>
      <c r="KVQ77" s="223">
        <f xml:space="preserve"> InputsTS!KVQ$184</f>
        <v>0</v>
      </c>
      <c r="KVR77" s="223">
        <f xml:space="preserve"> InputsTS!KVR$184</f>
        <v>0</v>
      </c>
      <c r="KVS77" s="223">
        <f xml:space="preserve"> InputsTS!KVS$184</f>
        <v>0</v>
      </c>
      <c r="KVT77" s="223">
        <f xml:space="preserve"> InputsTS!KVT$184</f>
        <v>0</v>
      </c>
      <c r="KVU77" s="223">
        <f xml:space="preserve"> InputsTS!KVU$184</f>
        <v>0</v>
      </c>
      <c r="KVV77" s="223">
        <f xml:space="preserve"> InputsTS!KVV$184</f>
        <v>0</v>
      </c>
      <c r="KVW77" s="223">
        <f xml:space="preserve"> InputsTS!KVW$184</f>
        <v>0</v>
      </c>
      <c r="KVX77" s="223">
        <f xml:space="preserve"> InputsTS!KVX$184</f>
        <v>0</v>
      </c>
      <c r="KVY77" s="223">
        <f xml:space="preserve"> InputsTS!KVY$184</f>
        <v>0</v>
      </c>
      <c r="KVZ77" s="223">
        <f xml:space="preserve"> InputsTS!KVZ$184</f>
        <v>0</v>
      </c>
      <c r="KWA77" s="223">
        <f xml:space="preserve"> InputsTS!KWA$184</f>
        <v>0</v>
      </c>
      <c r="KWB77" s="223">
        <f xml:space="preserve"> InputsTS!KWB$184</f>
        <v>0</v>
      </c>
      <c r="KWC77" s="223">
        <f xml:space="preserve"> InputsTS!KWC$184</f>
        <v>0</v>
      </c>
      <c r="KWD77" s="223">
        <f xml:space="preserve"> InputsTS!KWD$184</f>
        <v>0</v>
      </c>
      <c r="KWE77" s="223">
        <f xml:space="preserve"> InputsTS!KWE$184</f>
        <v>0</v>
      </c>
      <c r="KWF77" s="223">
        <f xml:space="preserve"> InputsTS!KWF$184</f>
        <v>0</v>
      </c>
      <c r="KWG77" s="223">
        <f xml:space="preserve"> InputsTS!KWG$184</f>
        <v>0</v>
      </c>
      <c r="KWH77" s="223">
        <f xml:space="preserve"> InputsTS!KWH$184</f>
        <v>0</v>
      </c>
      <c r="KWI77" s="223">
        <f xml:space="preserve"> InputsTS!KWI$184</f>
        <v>0</v>
      </c>
      <c r="KWJ77" s="223">
        <f xml:space="preserve"> InputsTS!KWJ$184</f>
        <v>0</v>
      </c>
      <c r="KWK77" s="223">
        <f xml:space="preserve"> InputsTS!KWK$184</f>
        <v>0</v>
      </c>
      <c r="KWL77" s="223">
        <f xml:space="preserve"> InputsTS!KWL$184</f>
        <v>0</v>
      </c>
      <c r="KWM77" s="223">
        <f xml:space="preserve"> InputsTS!KWM$184</f>
        <v>0</v>
      </c>
      <c r="KWN77" s="223">
        <f xml:space="preserve"> InputsTS!KWN$184</f>
        <v>0</v>
      </c>
      <c r="KWO77" s="223">
        <f xml:space="preserve"> InputsTS!KWO$184</f>
        <v>0</v>
      </c>
      <c r="KWP77" s="223">
        <f xml:space="preserve"> InputsTS!KWP$184</f>
        <v>0</v>
      </c>
      <c r="KWQ77" s="223">
        <f xml:space="preserve"> InputsTS!KWQ$184</f>
        <v>0</v>
      </c>
      <c r="KWR77" s="223">
        <f xml:space="preserve"> InputsTS!KWR$184</f>
        <v>0</v>
      </c>
      <c r="KWS77" s="223">
        <f xml:space="preserve"> InputsTS!KWS$184</f>
        <v>0</v>
      </c>
      <c r="KWT77" s="223">
        <f xml:space="preserve"> InputsTS!KWT$184</f>
        <v>0</v>
      </c>
      <c r="KWU77" s="223">
        <f xml:space="preserve"> InputsTS!KWU$184</f>
        <v>0</v>
      </c>
      <c r="KWV77" s="223">
        <f xml:space="preserve"> InputsTS!KWV$184</f>
        <v>0</v>
      </c>
      <c r="KWW77" s="223">
        <f xml:space="preserve"> InputsTS!KWW$184</f>
        <v>0</v>
      </c>
      <c r="KWX77" s="223">
        <f xml:space="preserve"> InputsTS!KWX$184</f>
        <v>0</v>
      </c>
      <c r="KWY77" s="223">
        <f xml:space="preserve"> InputsTS!KWY$184</f>
        <v>0</v>
      </c>
      <c r="KWZ77" s="223">
        <f xml:space="preserve"> InputsTS!KWZ$184</f>
        <v>0</v>
      </c>
      <c r="KXA77" s="223">
        <f xml:space="preserve"> InputsTS!KXA$184</f>
        <v>0</v>
      </c>
      <c r="KXB77" s="223">
        <f xml:space="preserve"> InputsTS!KXB$184</f>
        <v>0</v>
      </c>
      <c r="KXC77" s="223">
        <f xml:space="preserve"> InputsTS!KXC$184</f>
        <v>0</v>
      </c>
      <c r="KXD77" s="223">
        <f xml:space="preserve"> InputsTS!KXD$184</f>
        <v>0</v>
      </c>
      <c r="KXE77" s="223">
        <f xml:space="preserve"> InputsTS!KXE$184</f>
        <v>0</v>
      </c>
      <c r="KXF77" s="223">
        <f xml:space="preserve"> InputsTS!KXF$184</f>
        <v>0</v>
      </c>
      <c r="KXG77" s="223">
        <f xml:space="preserve"> InputsTS!KXG$184</f>
        <v>0</v>
      </c>
      <c r="KXH77" s="223">
        <f xml:space="preserve"> InputsTS!KXH$184</f>
        <v>0</v>
      </c>
      <c r="KXI77" s="223">
        <f xml:space="preserve"> InputsTS!KXI$184</f>
        <v>0</v>
      </c>
      <c r="KXJ77" s="223">
        <f xml:space="preserve"> InputsTS!KXJ$184</f>
        <v>0</v>
      </c>
      <c r="KXK77" s="223">
        <f xml:space="preserve"> InputsTS!KXK$184</f>
        <v>0</v>
      </c>
      <c r="KXL77" s="223">
        <f xml:space="preserve"> InputsTS!KXL$184</f>
        <v>0</v>
      </c>
      <c r="KXM77" s="223">
        <f xml:space="preserve"> InputsTS!KXM$184</f>
        <v>0</v>
      </c>
      <c r="KXN77" s="223">
        <f xml:space="preserve"> InputsTS!KXN$184</f>
        <v>0</v>
      </c>
      <c r="KXO77" s="223">
        <f xml:space="preserve"> InputsTS!KXO$184</f>
        <v>0</v>
      </c>
      <c r="KXP77" s="223">
        <f xml:space="preserve"> InputsTS!KXP$184</f>
        <v>0</v>
      </c>
      <c r="KXQ77" s="223">
        <f xml:space="preserve"> InputsTS!KXQ$184</f>
        <v>0</v>
      </c>
      <c r="KXR77" s="223">
        <f xml:space="preserve"> InputsTS!KXR$184</f>
        <v>0</v>
      </c>
      <c r="KXS77" s="223">
        <f xml:space="preserve"> InputsTS!KXS$184</f>
        <v>0</v>
      </c>
      <c r="KXT77" s="223">
        <f xml:space="preserve"> InputsTS!KXT$184</f>
        <v>0</v>
      </c>
      <c r="KXU77" s="223">
        <f xml:space="preserve"> InputsTS!KXU$184</f>
        <v>0</v>
      </c>
      <c r="KXV77" s="223">
        <f xml:space="preserve"> InputsTS!KXV$184</f>
        <v>0</v>
      </c>
      <c r="KXW77" s="223">
        <f xml:space="preserve"> InputsTS!KXW$184</f>
        <v>0</v>
      </c>
      <c r="KXX77" s="223">
        <f xml:space="preserve"> InputsTS!KXX$184</f>
        <v>0</v>
      </c>
      <c r="KXY77" s="223">
        <f xml:space="preserve"> InputsTS!KXY$184</f>
        <v>0</v>
      </c>
      <c r="KXZ77" s="223">
        <f xml:space="preserve"> InputsTS!KXZ$184</f>
        <v>0</v>
      </c>
      <c r="KYA77" s="223">
        <f xml:space="preserve"> InputsTS!KYA$184</f>
        <v>0</v>
      </c>
      <c r="KYB77" s="223">
        <f xml:space="preserve"> InputsTS!KYB$184</f>
        <v>0</v>
      </c>
      <c r="KYC77" s="223">
        <f xml:space="preserve"> InputsTS!KYC$184</f>
        <v>0</v>
      </c>
      <c r="KYD77" s="223">
        <f xml:space="preserve"> InputsTS!KYD$184</f>
        <v>0</v>
      </c>
      <c r="KYE77" s="223">
        <f xml:space="preserve"> InputsTS!KYE$184</f>
        <v>0</v>
      </c>
      <c r="KYF77" s="223">
        <f xml:space="preserve"> InputsTS!KYF$184</f>
        <v>0</v>
      </c>
      <c r="KYG77" s="223">
        <f xml:space="preserve"> InputsTS!KYG$184</f>
        <v>0</v>
      </c>
      <c r="KYH77" s="223">
        <f xml:space="preserve"> InputsTS!KYH$184</f>
        <v>0</v>
      </c>
      <c r="KYI77" s="223">
        <f xml:space="preserve"> InputsTS!KYI$184</f>
        <v>0</v>
      </c>
      <c r="KYJ77" s="223">
        <f xml:space="preserve"> InputsTS!KYJ$184</f>
        <v>0</v>
      </c>
      <c r="KYK77" s="223">
        <f xml:space="preserve"> InputsTS!KYK$184</f>
        <v>0</v>
      </c>
      <c r="KYL77" s="223">
        <f xml:space="preserve"> InputsTS!KYL$184</f>
        <v>0</v>
      </c>
      <c r="KYM77" s="223">
        <f xml:space="preserve"> InputsTS!KYM$184</f>
        <v>0</v>
      </c>
      <c r="KYN77" s="223">
        <f xml:space="preserve"> InputsTS!KYN$184</f>
        <v>0</v>
      </c>
      <c r="KYO77" s="223">
        <f xml:space="preserve"> InputsTS!KYO$184</f>
        <v>0</v>
      </c>
      <c r="KYP77" s="223">
        <f xml:space="preserve"> InputsTS!KYP$184</f>
        <v>0</v>
      </c>
      <c r="KYQ77" s="223">
        <f xml:space="preserve"> InputsTS!KYQ$184</f>
        <v>0</v>
      </c>
      <c r="KYR77" s="223">
        <f xml:space="preserve"> InputsTS!KYR$184</f>
        <v>0</v>
      </c>
      <c r="KYS77" s="223">
        <f xml:space="preserve"> InputsTS!KYS$184</f>
        <v>0</v>
      </c>
      <c r="KYT77" s="223">
        <f xml:space="preserve"> InputsTS!KYT$184</f>
        <v>0</v>
      </c>
      <c r="KYU77" s="223">
        <f xml:space="preserve"> InputsTS!KYU$184</f>
        <v>0</v>
      </c>
      <c r="KYV77" s="223">
        <f xml:space="preserve"> InputsTS!KYV$184</f>
        <v>0</v>
      </c>
      <c r="KYW77" s="223">
        <f xml:space="preserve"> InputsTS!KYW$184</f>
        <v>0</v>
      </c>
      <c r="KYX77" s="223">
        <f xml:space="preserve"> InputsTS!KYX$184</f>
        <v>0</v>
      </c>
      <c r="KYY77" s="223">
        <f xml:space="preserve"> InputsTS!KYY$184</f>
        <v>0</v>
      </c>
      <c r="KYZ77" s="223">
        <f xml:space="preserve"> InputsTS!KYZ$184</f>
        <v>0</v>
      </c>
      <c r="KZA77" s="223">
        <f xml:space="preserve"> InputsTS!KZA$184</f>
        <v>0</v>
      </c>
      <c r="KZB77" s="223">
        <f xml:space="preserve"> InputsTS!KZB$184</f>
        <v>0</v>
      </c>
      <c r="KZC77" s="223">
        <f xml:space="preserve"> InputsTS!KZC$184</f>
        <v>0</v>
      </c>
      <c r="KZD77" s="223">
        <f xml:space="preserve"> InputsTS!KZD$184</f>
        <v>0</v>
      </c>
      <c r="KZE77" s="223">
        <f xml:space="preserve"> InputsTS!KZE$184</f>
        <v>0</v>
      </c>
      <c r="KZF77" s="223">
        <f xml:space="preserve"> InputsTS!KZF$184</f>
        <v>0</v>
      </c>
      <c r="KZG77" s="223">
        <f xml:space="preserve"> InputsTS!KZG$184</f>
        <v>0</v>
      </c>
      <c r="KZH77" s="223">
        <f xml:space="preserve"> InputsTS!KZH$184</f>
        <v>0</v>
      </c>
      <c r="KZI77" s="223">
        <f xml:space="preserve"> InputsTS!KZI$184</f>
        <v>0</v>
      </c>
      <c r="KZJ77" s="223">
        <f xml:space="preserve"> InputsTS!KZJ$184</f>
        <v>0</v>
      </c>
      <c r="KZK77" s="223">
        <f xml:space="preserve"> InputsTS!KZK$184</f>
        <v>0</v>
      </c>
      <c r="KZL77" s="223">
        <f xml:space="preserve"> InputsTS!KZL$184</f>
        <v>0</v>
      </c>
      <c r="KZM77" s="223">
        <f xml:space="preserve"> InputsTS!KZM$184</f>
        <v>0</v>
      </c>
      <c r="KZN77" s="223">
        <f xml:space="preserve"> InputsTS!KZN$184</f>
        <v>0</v>
      </c>
      <c r="KZO77" s="223">
        <f xml:space="preserve"> InputsTS!KZO$184</f>
        <v>0</v>
      </c>
      <c r="KZP77" s="223">
        <f xml:space="preserve"> InputsTS!KZP$184</f>
        <v>0</v>
      </c>
      <c r="KZQ77" s="223">
        <f xml:space="preserve"> InputsTS!KZQ$184</f>
        <v>0</v>
      </c>
      <c r="KZR77" s="223">
        <f xml:space="preserve"> InputsTS!KZR$184</f>
        <v>0</v>
      </c>
      <c r="KZS77" s="223">
        <f xml:space="preserve"> InputsTS!KZS$184</f>
        <v>0</v>
      </c>
      <c r="KZT77" s="223">
        <f xml:space="preserve"> InputsTS!KZT$184</f>
        <v>0</v>
      </c>
      <c r="KZU77" s="223">
        <f xml:space="preserve"> InputsTS!KZU$184</f>
        <v>0</v>
      </c>
      <c r="KZV77" s="223">
        <f xml:space="preserve"> InputsTS!KZV$184</f>
        <v>0</v>
      </c>
      <c r="KZW77" s="223">
        <f xml:space="preserve"> InputsTS!KZW$184</f>
        <v>0</v>
      </c>
      <c r="KZX77" s="223">
        <f xml:space="preserve"> InputsTS!KZX$184</f>
        <v>0</v>
      </c>
      <c r="KZY77" s="223">
        <f xml:space="preserve"> InputsTS!KZY$184</f>
        <v>0</v>
      </c>
      <c r="KZZ77" s="223">
        <f xml:space="preserve"> InputsTS!KZZ$184</f>
        <v>0</v>
      </c>
      <c r="LAA77" s="223">
        <f xml:space="preserve"> InputsTS!LAA$184</f>
        <v>0</v>
      </c>
      <c r="LAB77" s="223">
        <f xml:space="preserve"> InputsTS!LAB$184</f>
        <v>0</v>
      </c>
      <c r="LAC77" s="223">
        <f xml:space="preserve"> InputsTS!LAC$184</f>
        <v>0</v>
      </c>
      <c r="LAD77" s="223">
        <f xml:space="preserve"> InputsTS!LAD$184</f>
        <v>0</v>
      </c>
      <c r="LAE77" s="223">
        <f xml:space="preserve"> InputsTS!LAE$184</f>
        <v>0</v>
      </c>
      <c r="LAF77" s="223">
        <f xml:space="preserve"> InputsTS!LAF$184</f>
        <v>0</v>
      </c>
      <c r="LAG77" s="223">
        <f xml:space="preserve"> InputsTS!LAG$184</f>
        <v>0</v>
      </c>
      <c r="LAH77" s="223">
        <f xml:space="preserve"> InputsTS!LAH$184</f>
        <v>0</v>
      </c>
      <c r="LAI77" s="223">
        <f xml:space="preserve"> InputsTS!LAI$184</f>
        <v>0</v>
      </c>
      <c r="LAJ77" s="223">
        <f xml:space="preserve"> InputsTS!LAJ$184</f>
        <v>0</v>
      </c>
      <c r="LAK77" s="223">
        <f xml:space="preserve"> InputsTS!LAK$184</f>
        <v>0</v>
      </c>
      <c r="LAL77" s="223">
        <f xml:space="preserve"> InputsTS!LAL$184</f>
        <v>0</v>
      </c>
      <c r="LAM77" s="223">
        <f xml:space="preserve"> InputsTS!LAM$184</f>
        <v>0</v>
      </c>
      <c r="LAN77" s="223">
        <f xml:space="preserve"> InputsTS!LAN$184</f>
        <v>0</v>
      </c>
      <c r="LAO77" s="223">
        <f xml:space="preserve"> InputsTS!LAO$184</f>
        <v>0</v>
      </c>
      <c r="LAP77" s="223">
        <f xml:space="preserve"> InputsTS!LAP$184</f>
        <v>0</v>
      </c>
      <c r="LAQ77" s="223">
        <f xml:space="preserve"> InputsTS!LAQ$184</f>
        <v>0</v>
      </c>
      <c r="LAR77" s="223">
        <f xml:space="preserve"> InputsTS!LAR$184</f>
        <v>0</v>
      </c>
      <c r="LAS77" s="223">
        <f xml:space="preserve"> InputsTS!LAS$184</f>
        <v>0</v>
      </c>
      <c r="LAT77" s="223">
        <f xml:space="preserve"> InputsTS!LAT$184</f>
        <v>0</v>
      </c>
      <c r="LAU77" s="223">
        <f xml:space="preserve"> InputsTS!LAU$184</f>
        <v>0</v>
      </c>
      <c r="LAV77" s="223">
        <f xml:space="preserve"> InputsTS!LAV$184</f>
        <v>0</v>
      </c>
      <c r="LAW77" s="223">
        <f xml:space="preserve"> InputsTS!LAW$184</f>
        <v>0</v>
      </c>
      <c r="LAX77" s="223">
        <f xml:space="preserve"> InputsTS!LAX$184</f>
        <v>0</v>
      </c>
      <c r="LAY77" s="223">
        <f xml:space="preserve"> InputsTS!LAY$184</f>
        <v>0</v>
      </c>
      <c r="LAZ77" s="223">
        <f xml:space="preserve"> InputsTS!LAZ$184</f>
        <v>0</v>
      </c>
      <c r="LBA77" s="223">
        <f xml:space="preserve"> InputsTS!LBA$184</f>
        <v>0</v>
      </c>
      <c r="LBB77" s="223">
        <f xml:space="preserve"> InputsTS!LBB$184</f>
        <v>0</v>
      </c>
      <c r="LBC77" s="223">
        <f xml:space="preserve"> InputsTS!LBC$184</f>
        <v>0</v>
      </c>
      <c r="LBD77" s="223">
        <f xml:space="preserve"> InputsTS!LBD$184</f>
        <v>0</v>
      </c>
      <c r="LBE77" s="223">
        <f xml:space="preserve"> InputsTS!LBE$184</f>
        <v>0</v>
      </c>
      <c r="LBF77" s="223">
        <f xml:space="preserve"> InputsTS!LBF$184</f>
        <v>0</v>
      </c>
      <c r="LBG77" s="223">
        <f xml:space="preserve"> InputsTS!LBG$184</f>
        <v>0</v>
      </c>
      <c r="LBH77" s="223">
        <f xml:space="preserve"> InputsTS!LBH$184</f>
        <v>0</v>
      </c>
      <c r="LBI77" s="223">
        <f xml:space="preserve"> InputsTS!LBI$184</f>
        <v>0</v>
      </c>
      <c r="LBJ77" s="223">
        <f xml:space="preserve"> InputsTS!LBJ$184</f>
        <v>0</v>
      </c>
      <c r="LBK77" s="223">
        <f xml:space="preserve"> InputsTS!LBK$184</f>
        <v>0</v>
      </c>
      <c r="LBL77" s="223">
        <f xml:space="preserve"> InputsTS!LBL$184</f>
        <v>0</v>
      </c>
      <c r="LBM77" s="223">
        <f xml:space="preserve"> InputsTS!LBM$184</f>
        <v>0</v>
      </c>
      <c r="LBN77" s="223">
        <f xml:space="preserve"> InputsTS!LBN$184</f>
        <v>0</v>
      </c>
      <c r="LBO77" s="223">
        <f xml:space="preserve"> InputsTS!LBO$184</f>
        <v>0</v>
      </c>
      <c r="LBP77" s="223">
        <f xml:space="preserve"> InputsTS!LBP$184</f>
        <v>0</v>
      </c>
      <c r="LBQ77" s="223">
        <f xml:space="preserve"> InputsTS!LBQ$184</f>
        <v>0</v>
      </c>
      <c r="LBR77" s="223">
        <f xml:space="preserve"> InputsTS!LBR$184</f>
        <v>0</v>
      </c>
      <c r="LBS77" s="223">
        <f xml:space="preserve"> InputsTS!LBS$184</f>
        <v>0</v>
      </c>
      <c r="LBT77" s="223">
        <f xml:space="preserve"> InputsTS!LBT$184</f>
        <v>0</v>
      </c>
      <c r="LBU77" s="223">
        <f xml:space="preserve"> InputsTS!LBU$184</f>
        <v>0</v>
      </c>
      <c r="LBV77" s="223">
        <f xml:space="preserve"> InputsTS!LBV$184</f>
        <v>0</v>
      </c>
      <c r="LBW77" s="223">
        <f xml:space="preserve"> InputsTS!LBW$184</f>
        <v>0</v>
      </c>
      <c r="LBX77" s="223">
        <f xml:space="preserve"> InputsTS!LBX$184</f>
        <v>0</v>
      </c>
      <c r="LBY77" s="223">
        <f xml:space="preserve"> InputsTS!LBY$184</f>
        <v>0</v>
      </c>
      <c r="LBZ77" s="223">
        <f xml:space="preserve"> InputsTS!LBZ$184</f>
        <v>0</v>
      </c>
      <c r="LCA77" s="223">
        <f xml:space="preserve"> InputsTS!LCA$184</f>
        <v>0</v>
      </c>
      <c r="LCB77" s="223">
        <f xml:space="preserve"> InputsTS!LCB$184</f>
        <v>0</v>
      </c>
      <c r="LCC77" s="223">
        <f xml:space="preserve"> InputsTS!LCC$184</f>
        <v>0</v>
      </c>
      <c r="LCD77" s="223">
        <f xml:space="preserve"> InputsTS!LCD$184</f>
        <v>0</v>
      </c>
      <c r="LCE77" s="223">
        <f xml:space="preserve"> InputsTS!LCE$184</f>
        <v>0</v>
      </c>
      <c r="LCF77" s="223">
        <f xml:space="preserve"> InputsTS!LCF$184</f>
        <v>0</v>
      </c>
      <c r="LCG77" s="223">
        <f xml:space="preserve"> InputsTS!LCG$184</f>
        <v>0</v>
      </c>
      <c r="LCH77" s="223">
        <f xml:space="preserve"> InputsTS!LCH$184</f>
        <v>0</v>
      </c>
      <c r="LCI77" s="223">
        <f xml:space="preserve"> InputsTS!LCI$184</f>
        <v>0</v>
      </c>
      <c r="LCJ77" s="223">
        <f xml:space="preserve"> InputsTS!LCJ$184</f>
        <v>0</v>
      </c>
      <c r="LCK77" s="223">
        <f xml:space="preserve"> InputsTS!LCK$184</f>
        <v>0</v>
      </c>
      <c r="LCL77" s="223">
        <f xml:space="preserve"> InputsTS!LCL$184</f>
        <v>0</v>
      </c>
      <c r="LCM77" s="223">
        <f xml:space="preserve"> InputsTS!LCM$184</f>
        <v>0</v>
      </c>
      <c r="LCN77" s="223">
        <f xml:space="preserve"> InputsTS!LCN$184</f>
        <v>0</v>
      </c>
      <c r="LCO77" s="223">
        <f xml:space="preserve"> InputsTS!LCO$184</f>
        <v>0</v>
      </c>
      <c r="LCP77" s="223">
        <f xml:space="preserve"> InputsTS!LCP$184</f>
        <v>0</v>
      </c>
      <c r="LCQ77" s="223">
        <f xml:space="preserve"> InputsTS!LCQ$184</f>
        <v>0</v>
      </c>
      <c r="LCR77" s="223">
        <f xml:space="preserve"> InputsTS!LCR$184</f>
        <v>0</v>
      </c>
      <c r="LCS77" s="223">
        <f xml:space="preserve"> InputsTS!LCS$184</f>
        <v>0</v>
      </c>
      <c r="LCT77" s="223">
        <f xml:space="preserve"> InputsTS!LCT$184</f>
        <v>0</v>
      </c>
      <c r="LCU77" s="223">
        <f xml:space="preserve"> InputsTS!LCU$184</f>
        <v>0</v>
      </c>
      <c r="LCV77" s="223">
        <f xml:space="preserve"> InputsTS!LCV$184</f>
        <v>0</v>
      </c>
      <c r="LCW77" s="223">
        <f xml:space="preserve"> InputsTS!LCW$184</f>
        <v>0</v>
      </c>
      <c r="LCX77" s="223">
        <f xml:space="preserve"> InputsTS!LCX$184</f>
        <v>0</v>
      </c>
      <c r="LCY77" s="223">
        <f xml:space="preserve"> InputsTS!LCY$184</f>
        <v>0</v>
      </c>
      <c r="LCZ77" s="223">
        <f xml:space="preserve"> InputsTS!LCZ$184</f>
        <v>0</v>
      </c>
      <c r="LDA77" s="223">
        <f xml:space="preserve"> InputsTS!LDA$184</f>
        <v>0</v>
      </c>
      <c r="LDB77" s="223">
        <f xml:space="preserve"> InputsTS!LDB$184</f>
        <v>0</v>
      </c>
      <c r="LDC77" s="223">
        <f xml:space="preserve"> InputsTS!LDC$184</f>
        <v>0</v>
      </c>
      <c r="LDD77" s="223">
        <f xml:space="preserve"> InputsTS!LDD$184</f>
        <v>0</v>
      </c>
      <c r="LDE77" s="223">
        <f xml:space="preserve"> InputsTS!LDE$184</f>
        <v>0</v>
      </c>
      <c r="LDF77" s="223">
        <f xml:space="preserve"> InputsTS!LDF$184</f>
        <v>0</v>
      </c>
      <c r="LDG77" s="223">
        <f xml:space="preserve"> InputsTS!LDG$184</f>
        <v>0</v>
      </c>
      <c r="LDH77" s="223">
        <f xml:space="preserve"> InputsTS!LDH$184</f>
        <v>0</v>
      </c>
      <c r="LDI77" s="223">
        <f xml:space="preserve"> InputsTS!LDI$184</f>
        <v>0</v>
      </c>
      <c r="LDJ77" s="223">
        <f xml:space="preserve"> InputsTS!LDJ$184</f>
        <v>0</v>
      </c>
      <c r="LDK77" s="223">
        <f xml:space="preserve"> InputsTS!LDK$184</f>
        <v>0</v>
      </c>
      <c r="LDL77" s="223">
        <f xml:space="preserve"> InputsTS!LDL$184</f>
        <v>0</v>
      </c>
      <c r="LDM77" s="223">
        <f xml:space="preserve"> InputsTS!LDM$184</f>
        <v>0</v>
      </c>
      <c r="LDN77" s="223">
        <f xml:space="preserve"> InputsTS!LDN$184</f>
        <v>0</v>
      </c>
      <c r="LDO77" s="223">
        <f xml:space="preserve"> InputsTS!LDO$184</f>
        <v>0</v>
      </c>
      <c r="LDP77" s="223">
        <f xml:space="preserve"> InputsTS!LDP$184</f>
        <v>0</v>
      </c>
      <c r="LDQ77" s="223">
        <f xml:space="preserve"> InputsTS!LDQ$184</f>
        <v>0</v>
      </c>
      <c r="LDR77" s="223">
        <f xml:space="preserve"> InputsTS!LDR$184</f>
        <v>0</v>
      </c>
      <c r="LDS77" s="223">
        <f xml:space="preserve"> InputsTS!LDS$184</f>
        <v>0</v>
      </c>
      <c r="LDT77" s="223">
        <f xml:space="preserve"> InputsTS!LDT$184</f>
        <v>0</v>
      </c>
      <c r="LDU77" s="223">
        <f xml:space="preserve"> InputsTS!LDU$184</f>
        <v>0</v>
      </c>
      <c r="LDV77" s="223">
        <f xml:space="preserve"> InputsTS!LDV$184</f>
        <v>0</v>
      </c>
      <c r="LDW77" s="223">
        <f xml:space="preserve"> InputsTS!LDW$184</f>
        <v>0</v>
      </c>
      <c r="LDX77" s="223">
        <f xml:space="preserve"> InputsTS!LDX$184</f>
        <v>0</v>
      </c>
      <c r="LDY77" s="223">
        <f xml:space="preserve"> InputsTS!LDY$184</f>
        <v>0</v>
      </c>
      <c r="LDZ77" s="223">
        <f xml:space="preserve"> InputsTS!LDZ$184</f>
        <v>0</v>
      </c>
      <c r="LEA77" s="223">
        <f xml:space="preserve"> InputsTS!LEA$184</f>
        <v>0</v>
      </c>
      <c r="LEB77" s="223">
        <f xml:space="preserve"> InputsTS!LEB$184</f>
        <v>0</v>
      </c>
      <c r="LEC77" s="223">
        <f xml:space="preserve"> InputsTS!LEC$184</f>
        <v>0</v>
      </c>
      <c r="LED77" s="223">
        <f xml:space="preserve"> InputsTS!LED$184</f>
        <v>0</v>
      </c>
      <c r="LEE77" s="223">
        <f xml:space="preserve"> InputsTS!LEE$184</f>
        <v>0</v>
      </c>
      <c r="LEF77" s="223">
        <f xml:space="preserve"> InputsTS!LEF$184</f>
        <v>0</v>
      </c>
      <c r="LEG77" s="223">
        <f xml:space="preserve"> InputsTS!LEG$184</f>
        <v>0</v>
      </c>
      <c r="LEH77" s="223">
        <f xml:space="preserve"> InputsTS!LEH$184</f>
        <v>0</v>
      </c>
      <c r="LEI77" s="223">
        <f xml:space="preserve"> InputsTS!LEI$184</f>
        <v>0</v>
      </c>
      <c r="LEJ77" s="223">
        <f xml:space="preserve"> InputsTS!LEJ$184</f>
        <v>0</v>
      </c>
      <c r="LEK77" s="223">
        <f xml:space="preserve"> InputsTS!LEK$184</f>
        <v>0</v>
      </c>
      <c r="LEL77" s="223">
        <f xml:space="preserve"> InputsTS!LEL$184</f>
        <v>0</v>
      </c>
      <c r="LEM77" s="223">
        <f xml:space="preserve"> InputsTS!LEM$184</f>
        <v>0</v>
      </c>
      <c r="LEN77" s="223">
        <f xml:space="preserve"> InputsTS!LEN$184</f>
        <v>0</v>
      </c>
      <c r="LEO77" s="223">
        <f xml:space="preserve"> InputsTS!LEO$184</f>
        <v>0</v>
      </c>
      <c r="LEP77" s="223">
        <f xml:space="preserve"> InputsTS!LEP$184</f>
        <v>0</v>
      </c>
      <c r="LEQ77" s="223">
        <f xml:space="preserve"> InputsTS!LEQ$184</f>
        <v>0</v>
      </c>
      <c r="LER77" s="223">
        <f xml:space="preserve"> InputsTS!LER$184</f>
        <v>0</v>
      </c>
      <c r="LES77" s="223">
        <f xml:space="preserve"> InputsTS!LES$184</f>
        <v>0</v>
      </c>
      <c r="LET77" s="223">
        <f xml:space="preserve"> InputsTS!LET$184</f>
        <v>0</v>
      </c>
      <c r="LEU77" s="223">
        <f xml:space="preserve"> InputsTS!LEU$184</f>
        <v>0</v>
      </c>
      <c r="LEV77" s="223">
        <f xml:space="preserve"> InputsTS!LEV$184</f>
        <v>0</v>
      </c>
      <c r="LEW77" s="223">
        <f xml:space="preserve"> InputsTS!LEW$184</f>
        <v>0</v>
      </c>
      <c r="LEX77" s="223">
        <f xml:space="preserve"> InputsTS!LEX$184</f>
        <v>0</v>
      </c>
      <c r="LEY77" s="223">
        <f xml:space="preserve"> InputsTS!LEY$184</f>
        <v>0</v>
      </c>
      <c r="LEZ77" s="223">
        <f xml:space="preserve"> InputsTS!LEZ$184</f>
        <v>0</v>
      </c>
      <c r="LFA77" s="223">
        <f xml:space="preserve"> InputsTS!LFA$184</f>
        <v>0</v>
      </c>
      <c r="LFB77" s="223">
        <f xml:space="preserve"> InputsTS!LFB$184</f>
        <v>0</v>
      </c>
      <c r="LFC77" s="223">
        <f xml:space="preserve"> InputsTS!LFC$184</f>
        <v>0</v>
      </c>
      <c r="LFD77" s="223">
        <f xml:space="preserve"> InputsTS!LFD$184</f>
        <v>0</v>
      </c>
      <c r="LFE77" s="223">
        <f xml:space="preserve"> InputsTS!LFE$184</f>
        <v>0</v>
      </c>
      <c r="LFF77" s="223">
        <f xml:space="preserve"> InputsTS!LFF$184</f>
        <v>0</v>
      </c>
      <c r="LFG77" s="223">
        <f xml:space="preserve"> InputsTS!LFG$184</f>
        <v>0</v>
      </c>
      <c r="LFH77" s="223">
        <f xml:space="preserve"> InputsTS!LFH$184</f>
        <v>0</v>
      </c>
      <c r="LFI77" s="223">
        <f xml:space="preserve"> InputsTS!LFI$184</f>
        <v>0</v>
      </c>
      <c r="LFJ77" s="223">
        <f xml:space="preserve"> InputsTS!LFJ$184</f>
        <v>0</v>
      </c>
      <c r="LFK77" s="223">
        <f xml:space="preserve"> InputsTS!LFK$184</f>
        <v>0</v>
      </c>
      <c r="LFL77" s="223">
        <f xml:space="preserve"> InputsTS!LFL$184</f>
        <v>0</v>
      </c>
      <c r="LFM77" s="223">
        <f xml:space="preserve"> InputsTS!LFM$184</f>
        <v>0</v>
      </c>
      <c r="LFN77" s="223">
        <f xml:space="preserve"> InputsTS!LFN$184</f>
        <v>0</v>
      </c>
      <c r="LFO77" s="223">
        <f xml:space="preserve"> InputsTS!LFO$184</f>
        <v>0</v>
      </c>
      <c r="LFP77" s="223">
        <f xml:space="preserve"> InputsTS!LFP$184</f>
        <v>0</v>
      </c>
      <c r="LFQ77" s="223">
        <f xml:space="preserve"> InputsTS!LFQ$184</f>
        <v>0</v>
      </c>
      <c r="LFR77" s="223">
        <f xml:space="preserve"> InputsTS!LFR$184</f>
        <v>0</v>
      </c>
      <c r="LFS77" s="223">
        <f xml:space="preserve"> InputsTS!LFS$184</f>
        <v>0</v>
      </c>
      <c r="LFT77" s="223">
        <f xml:space="preserve"> InputsTS!LFT$184</f>
        <v>0</v>
      </c>
      <c r="LFU77" s="223">
        <f xml:space="preserve"> InputsTS!LFU$184</f>
        <v>0</v>
      </c>
      <c r="LFV77" s="223">
        <f xml:space="preserve"> InputsTS!LFV$184</f>
        <v>0</v>
      </c>
      <c r="LFW77" s="223">
        <f xml:space="preserve"> InputsTS!LFW$184</f>
        <v>0</v>
      </c>
      <c r="LFX77" s="223">
        <f xml:space="preserve"> InputsTS!LFX$184</f>
        <v>0</v>
      </c>
      <c r="LFY77" s="223">
        <f xml:space="preserve"> InputsTS!LFY$184</f>
        <v>0</v>
      </c>
      <c r="LFZ77" s="223">
        <f xml:space="preserve"> InputsTS!LFZ$184</f>
        <v>0</v>
      </c>
      <c r="LGA77" s="223">
        <f xml:space="preserve"> InputsTS!LGA$184</f>
        <v>0</v>
      </c>
      <c r="LGB77" s="223">
        <f xml:space="preserve"> InputsTS!LGB$184</f>
        <v>0</v>
      </c>
      <c r="LGC77" s="223">
        <f xml:space="preserve"> InputsTS!LGC$184</f>
        <v>0</v>
      </c>
      <c r="LGD77" s="223">
        <f xml:space="preserve"> InputsTS!LGD$184</f>
        <v>0</v>
      </c>
      <c r="LGE77" s="223">
        <f xml:space="preserve"> InputsTS!LGE$184</f>
        <v>0</v>
      </c>
      <c r="LGF77" s="223">
        <f xml:space="preserve"> InputsTS!LGF$184</f>
        <v>0</v>
      </c>
      <c r="LGG77" s="223">
        <f xml:space="preserve"> InputsTS!LGG$184</f>
        <v>0</v>
      </c>
      <c r="LGH77" s="223">
        <f xml:space="preserve"> InputsTS!LGH$184</f>
        <v>0</v>
      </c>
      <c r="LGI77" s="223">
        <f xml:space="preserve"> InputsTS!LGI$184</f>
        <v>0</v>
      </c>
      <c r="LGJ77" s="223">
        <f xml:space="preserve"> InputsTS!LGJ$184</f>
        <v>0</v>
      </c>
      <c r="LGK77" s="223">
        <f xml:space="preserve"> InputsTS!LGK$184</f>
        <v>0</v>
      </c>
      <c r="LGL77" s="223">
        <f xml:space="preserve"> InputsTS!LGL$184</f>
        <v>0</v>
      </c>
      <c r="LGM77" s="223">
        <f xml:space="preserve"> InputsTS!LGM$184</f>
        <v>0</v>
      </c>
      <c r="LGN77" s="223">
        <f xml:space="preserve"> InputsTS!LGN$184</f>
        <v>0</v>
      </c>
      <c r="LGO77" s="223">
        <f xml:space="preserve"> InputsTS!LGO$184</f>
        <v>0</v>
      </c>
      <c r="LGP77" s="223">
        <f xml:space="preserve"> InputsTS!LGP$184</f>
        <v>0</v>
      </c>
      <c r="LGQ77" s="223">
        <f xml:space="preserve"> InputsTS!LGQ$184</f>
        <v>0</v>
      </c>
      <c r="LGR77" s="223">
        <f xml:space="preserve"> InputsTS!LGR$184</f>
        <v>0</v>
      </c>
      <c r="LGS77" s="223">
        <f xml:space="preserve"> InputsTS!LGS$184</f>
        <v>0</v>
      </c>
      <c r="LGT77" s="223">
        <f xml:space="preserve"> InputsTS!LGT$184</f>
        <v>0</v>
      </c>
      <c r="LGU77" s="223">
        <f xml:space="preserve"> InputsTS!LGU$184</f>
        <v>0</v>
      </c>
      <c r="LGV77" s="223">
        <f xml:space="preserve"> InputsTS!LGV$184</f>
        <v>0</v>
      </c>
      <c r="LGW77" s="223">
        <f xml:space="preserve"> InputsTS!LGW$184</f>
        <v>0</v>
      </c>
      <c r="LGX77" s="223">
        <f xml:space="preserve"> InputsTS!LGX$184</f>
        <v>0</v>
      </c>
      <c r="LGY77" s="223">
        <f xml:space="preserve"> InputsTS!LGY$184</f>
        <v>0</v>
      </c>
      <c r="LGZ77" s="223">
        <f xml:space="preserve"> InputsTS!LGZ$184</f>
        <v>0</v>
      </c>
      <c r="LHA77" s="223">
        <f xml:space="preserve"> InputsTS!LHA$184</f>
        <v>0</v>
      </c>
      <c r="LHB77" s="223">
        <f xml:space="preserve"> InputsTS!LHB$184</f>
        <v>0</v>
      </c>
      <c r="LHC77" s="223">
        <f xml:space="preserve"> InputsTS!LHC$184</f>
        <v>0</v>
      </c>
      <c r="LHD77" s="223">
        <f xml:space="preserve"> InputsTS!LHD$184</f>
        <v>0</v>
      </c>
      <c r="LHE77" s="223">
        <f xml:space="preserve"> InputsTS!LHE$184</f>
        <v>0</v>
      </c>
      <c r="LHF77" s="223">
        <f xml:space="preserve"> InputsTS!LHF$184</f>
        <v>0</v>
      </c>
      <c r="LHG77" s="223">
        <f xml:space="preserve"> InputsTS!LHG$184</f>
        <v>0</v>
      </c>
      <c r="LHH77" s="223">
        <f xml:space="preserve"> InputsTS!LHH$184</f>
        <v>0</v>
      </c>
      <c r="LHI77" s="223">
        <f xml:space="preserve"> InputsTS!LHI$184</f>
        <v>0</v>
      </c>
      <c r="LHJ77" s="223">
        <f xml:space="preserve"> InputsTS!LHJ$184</f>
        <v>0</v>
      </c>
      <c r="LHK77" s="223">
        <f xml:space="preserve"> InputsTS!LHK$184</f>
        <v>0</v>
      </c>
      <c r="LHL77" s="223">
        <f xml:space="preserve"> InputsTS!LHL$184</f>
        <v>0</v>
      </c>
      <c r="LHM77" s="223">
        <f xml:space="preserve"> InputsTS!LHM$184</f>
        <v>0</v>
      </c>
      <c r="LHN77" s="223">
        <f xml:space="preserve"> InputsTS!LHN$184</f>
        <v>0</v>
      </c>
      <c r="LHO77" s="223">
        <f xml:space="preserve"> InputsTS!LHO$184</f>
        <v>0</v>
      </c>
      <c r="LHP77" s="223">
        <f xml:space="preserve"> InputsTS!LHP$184</f>
        <v>0</v>
      </c>
      <c r="LHQ77" s="223">
        <f xml:space="preserve"> InputsTS!LHQ$184</f>
        <v>0</v>
      </c>
      <c r="LHR77" s="223">
        <f xml:space="preserve"> InputsTS!LHR$184</f>
        <v>0</v>
      </c>
      <c r="LHS77" s="223">
        <f xml:space="preserve"> InputsTS!LHS$184</f>
        <v>0</v>
      </c>
      <c r="LHT77" s="223">
        <f xml:space="preserve"> InputsTS!LHT$184</f>
        <v>0</v>
      </c>
      <c r="LHU77" s="223">
        <f xml:space="preserve"> InputsTS!LHU$184</f>
        <v>0</v>
      </c>
      <c r="LHV77" s="223">
        <f xml:space="preserve"> InputsTS!LHV$184</f>
        <v>0</v>
      </c>
      <c r="LHW77" s="223">
        <f xml:space="preserve"> InputsTS!LHW$184</f>
        <v>0</v>
      </c>
      <c r="LHX77" s="223">
        <f xml:space="preserve"> InputsTS!LHX$184</f>
        <v>0</v>
      </c>
      <c r="LHY77" s="223">
        <f xml:space="preserve"> InputsTS!LHY$184</f>
        <v>0</v>
      </c>
      <c r="LHZ77" s="223">
        <f xml:space="preserve"> InputsTS!LHZ$184</f>
        <v>0</v>
      </c>
      <c r="LIA77" s="223">
        <f xml:space="preserve"> InputsTS!LIA$184</f>
        <v>0</v>
      </c>
      <c r="LIB77" s="223">
        <f xml:space="preserve"> InputsTS!LIB$184</f>
        <v>0</v>
      </c>
      <c r="LIC77" s="223">
        <f xml:space="preserve"> InputsTS!LIC$184</f>
        <v>0</v>
      </c>
      <c r="LID77" s="223">
        <f xml:space="preserve"> InputsTS!LID$184</f>
        <v>0</v>
      </c>
      <c r="LIE77" s="223">
        <f xml:space="preserve"> InputsTS!LIE$184</f>
        <v>0</v>
      </c>
      <c r="LIF77" s="223">
        <f xml:space="preserve"> InputsTS!LIF$184</f>
        <v>0</v>
      </c>
      <c r="LIG77" s="223">
        <f xml:space="preserve"> InputsTS!LIG$184</f>
        <v>0</v>
      </c>
      <c r="LIH77" s="223">
        <f xml:space="preserve"> InputsTS!LIH$184</f>
        <v>0</v>
      </c>
      <c r="LII77" s="223">
        <f xml:space="preserve"> InputsTS!LII$184</f>
        <v>0</v>
      </c>
      <c r="LIJ77" s="223">
        <f xml:space="preserve"> InputsTS!LIJ$184</f>
        <v>0</v>
      </c>
      <c r="LIK77" s="223">
        <f xml:space="preserve"> InputsTS!LIK$184</f>
        <v>0</v>
      </c>
      <c r="LIL77" s="223">
        <f xml:space="preserve"> InputsTS!LIL$184</f>
        <v>0</v>
      </c>
      <c r="LIM77" s="223">
        <f xml:space="preserve"> InputsTS!LIM$184</f>
        <v>0</v>
      </c>
      <c r="LIN77" s="223">
        <f xml:space="preserve"> InputsTS!LIN$184</f>
        <v>0</v>
      </c>
      <c r="LIO77" s="223">
        <f xml:space="preserve"> InputsTS!LIO$184</f>
        <v>0</v>
      </c>
      <c r="LIP77" s="223">
        <f xml:space="preserve"> InputsTS!LIP$184</f>
        <v>0</v>
      </c>
      <c r="LIQ77" s="223">
        <f xml:space="preserve"> InputsTS!LIQ$184</f>
        <v>0</v>
      </c>
      <c r="LIR77" s="223">
        <f xml:space="preserve"> InputsTS!LIR$184</f>
        <v>0</v>
      </c>
      <c r="LIS77" s="223">
        <f xml:space="preserve"> InputsTS!LIS$184</f>
        <v>0</v>
      </c>
      <c r="LIT77" s="223">
        <f xml:space="preserve"> InputsTS!LIT$184</f>
        <v>0</v>
      </c>
      <c r="LIU77" s="223">
        <f xml:space="preserve"> InputsTS!LIU$184</f>
        <v>0</v>
      </c>
      <c r="LIV77" s="223">
        <f xml:space="preserve"> InputsTS!LIV$184</f>
        <v>0</v>
      </c>
      <c r="LIW77" s="223">
        <f xml:space="preserve"> InputsTS!LIW$184</f>
        <v>0</v>
      </c>
      <c r="LIX77" s="223">
        <f xml:space="preserve"> InputsTS!LIX$184</f>
        <v>0</v>
      </c>
      <c r="LIY77" s="223">
        <f xml:space="preserve"> InputsTS!LIY$184</f>
        <v>0</v>
      </c>
      <c r="LIZ77" s="223">
        <f xml:space="preserve"> InputsTS!LIZ$184</f>
        <v>0</v>
      </c>
      <c r="LJA77" s="223">
        <f xml:space="preserve"> InputsTS!LJA$184</f>
        <v>0</v>
      </c>
      <c r="LJB77" s="223">
        <f xml:space="preserve"> InputsTS!LJB$184</f>
        <v>0</v>
      </c>
      <c r="LJC77" s="223">
        <f xml:space="preserve"> InputsTS!LJC$184</f>
        <v>0</v>
      </c>
      <c r="LJD77" s="223">
        <f xml:space="preserve"> InputsTS!LJD$184</f>
        <v>0</v>
      </c>
      <c r="LJE77" s="223">
        <f xml:space="preserve"> InputsTS!LJE$184</f>
        <v>0</v>
      </c>
      <c r="LJF77" s="223">
        <f xml:space="preserve"> InputsTS!LJF$184</f>
        <v>0</v>
      </c>
      <c r="LJG77" s="223">
        <f xml:space="preserve"> InputsTS!LJG$184</f>
        <v>0</v>
      </c>
      <c r="LJH77" s="223">
        <f xml:space="preserve"> InputsTS!LJH$184</f>
        <v>0</v>
      </c>
      <c r="LJI77" s="223">
        <f xml:space="preserve"> InputsTS!LJI$184</f>
        <v>0</v>
      </c>
      <c r="LJJ77" s="223">
        <f xml:space="preserve"> InputsTS!LJJ$184</f>
        <v>0</v>
      </c>
      <c r="LJK77" s="223">
        <f xml:space="preserve"> InputsTS!LJK$184</f>
        <v>0</v>
      </c>
      <c r="LJL77" s="223">
        <f xml:space="preserve"> InputsTS!LJL$184</f>
        <v>0</v>
      </c>
      <c r="LJM77" s="223">
        <f xml:space="preserve"> InputsTS!LJM$184</f>
        <v>0</v>
      </c>
      <c r="LJN77" s="223">
        <f xml:space="preserve"> InputsTS!LJN$184</f>
        <v>0</v>
      </c>
      <c r="LJO77" s="223">
        <f xml:space="preserve"> InputsTS!LJO$184</f>
        <v>0</v>
      </c>
      <c r="LJP77" s="223">
        <f xml:space="preserve"> InputsTS!LJP$184</f>
        <v>0</v>
      </c>
      <c r="LJQ77" s="223">
        <f xml:space="preserve"> InputsTS!LJQ$184</f>
        <v>0</v>
      </c>
      <c r="LJR77" s="223">
        <f xml:space="preserve"> InputsTS!LJR$184</f>
        <v>0</v>
      </c>
      <c r="LJS77" s="223">
        <f xml:space="preserve"> InputsTS!LJS$184</f>
        <v>0</v>
      </c>
      <c r="LJT77" s="223">
        <f xml:space="preserve"> InputsTS!LJT$184</f>
        <v>0</v>
      </c>
      <c r="LJU77" s="223">
        <f xml:space="preserve"> InputsTS!LJU$184</f>
        <v>0</v>
      </c>
      <c r="LJV77" s="223">
        <f xml:space="preserve"> InputsTS!LJV$184</f>
        <v>0</v>
      </c>
      <c r="LJW77" s="223">
        <f xml:space="preserve"> InputsTS!LJW$184</f>
        <v>0</v>
      </c>
      <c r="LJX77" s="223">
        <f xml:space="preserve"> InputsTS!LJX$184</f>
        <v>0</v>
      </c>
      <c r="LJY77" s="223">
        <f xml:space="preserve"> InputsTS!LJY$184</f>
        <v>0</v>
      </c>
      <c r="LJZ77" s="223">
        <f xml:space="preserve"> InputsTS!LJZ$184</f>
        <v>0</v>
      </c>
      <c r="LKA77" s="223">
        <f xml:space="preserve"> InputsTS!LKA$184</f>
        <v>0</v>
      </c>
      <c r="LKB77" s="223">
        <f xml:space="preserve"> InputsTS!LKB$184</f>
        <v>0</v>
      </c>
      <c r="LKC77" s="223">
        <f xml:space="preserve"> InputsTS!LKC$184</f>
        <v>0</v>
      </c>
      <c r="LKD77" s="223">
        <f xml:space="preserve"> InputsTS!LKD$184</f>
        <v>0</v>
      </c>
      <c r="LKE77" s="223">
        <f xml:space="preserve"> InputsTS!LKE$184</f>
        <v>0</v>
      </c>
      <c r="LKF77" s="223">
        <f xml:space="preserve"> InputsTS!LKF$184</f>
        <v>0</v>
      </c>
      <c r="LKG77" s="223">
        <f xml:space="preserve"> InputsTS!LKG$184</f>
        <v>0</v>
      </c>
      <c r="LKH77" s="223">
        <f xml:space="preserve"> InputsTS!LKH$184</f>
        <v>0</v>
      </c>
      <c r="LKI77" s="223">
        <f xml:space="preserve"> InputsTS!LKI$184</f>
        <v>0</v>
      </c>
      <c r="LKJ77" s="223">
        <f xml:space="preserve"> InputsTS!LKJ$184</f>
        <v>0</v>
      </c>
      <c r="LKK77" s="223">
        <f xml:space="preserve"> InputsTS!LKK$184</f>
        <v>0</v>
      </c>
      <c r="LKL77" s="223">
        <f xml:space="preserve"> InputsTS!LKL$184</f>
        <v>0</v>
      </c>
      <c r="LKM77" s="223">
        <f xml:space="preserve"> InputsTS!LKM$184</f>
        <v>0</v>
      </c>
      <c r="LKN77" s="223">
        <f xml:space="preserve"> InputsTS!LKN$184</f>
        <v>0</v>
      </c>
      <c r="LKO77" s="223">
        <f xml:space="preserve"> InputsTS!LKO$184</f>
        <v>0</v>
      </c>
      <c r="LKP77" s="223">
        <f xml:space="preserve"> InputsTS!LKP$184</f>
        <v>0</v>
      </c>
      <c r="LKQ77" s="223">
        <f xml:space="preserve"> InputsTS!LKQ$184</f>
        <v>0</v>
      </c>
      <c r="LKR77" s="223">
        <f xml:space="preserve"> InputsTS!LKR$184</f>
        <v>0</v>
      </c>
      <c r="LKS77" s="223">
        <f xml:space="preserve"> InputsTS!LKS$184</f>
        <v>0</v>
      </c>
      <c r="LKT77" s="223">
        <f xml:space="preserve"> InputsTS!LKT$184</f>
        <v>0</v>
      </c>
      <c r="LKU77" s="223">
        <f xml:space="preserve"> InputsTS!LKU$184</f>
        <v>0</v>
      </c>
      <c r="LKV77" s="223">
        <f xml:space="preserve"> InputsTS!LKV$184</f>
        <v>0</v>
      </c>
      <c r="LKW77" s="223">
        <f xml:space="preserve"> InputsTS!LKW$184</f>
        <v>0</v>
      </c>
      <c r="LKX77" s="223">
        <f xml:space="preserve"> InputsTS!LKX$184</f>
        <v>0</v>
      </c>
      <c r="LKY77" s="223">
        <f xml:space="preserve"> InputsTS!LKY$184</f>
        <v>0</v>
      </c>
      <c r="LKZ77" s="223">
        <f xml:space="preserve"> InputsTS!LKZ$184</f>
        <v>0</v>
      </c>
      <c r="LLA77" s="223">
        <f xml:space="preserve"> InputsTS!LLA$184</f>
        <v>0</v>
      </c>
      <c r="LLB77" s="223">
        <f xml:space="preserve"> InputsTS!LLB$184</f>
        <v>0</v>
      </c>
      <c r="LLC77" s="223">
        <f xml:space="preserve"> InputsTS!LLC$184</f>
        <v>0</v>
      </c>
      <c r="LLD77" s="223">
        <f xml:space="preserve"> InputsTS!LLD$184</f>
        <v>0</v>
      </c>
      <c r="LLE77" s="223">
        <f xml:space="preserve"> InputsTS!LLE$184</f>
        <v>0</v>
      </c>
      <c r="LLF77" s="223">
        <f xml:space="preserve"> InputsTS!LLF$184</f>
        <v>0</v>
      </c>
      <c r="LLG77" s="223">
        <f xml:space="preserve"> InputsTS!LLG$184</f>
        <v>0</v>
      </c>
      <c r="LLH77" s="223">
        <f xml:space="preserve"> InputsTS!LLH$184</f>
        <v>0</v>
      </c>
      <c r="LLI77" s="223">
        <f xml:space="preserve"> InputsTS!LLI$184</f>
        <v>0</v>
      </c>
      <c r="LLJ77" s="223">
        <f xml:space="preserve"> InputsTS!LLJ$184</f>
        <v>0</v>
      </c>
      <c r="LLK77" s="223">
        <f xml:space="preserve"> InputsTS!LLK$184</f>
        <v>0</v>
      </c>
      <c r="LLL77" s="223">
        <f xml:space="preserve"> InputsTS!LLL$184</f>
        <v>0</v>
      </c>
      <c r="LLM77" s="223">
        <f xml:space="preserve"> InputsTS!LLM$184</f>
        <v>0</v>
      </c>
      <c r="LLN77" s="223">
        <f xml:space="preserve"> InputsTS!LLN$184</f>
        <v>0</v>
      </c>
      <c r="LLO77" s="223">
        <f xml:space="preserve"> InputsTS!LLO$184</f>
        <v>0</v>
      </c>
      <c r="LLP77" s="223">
        <f xml:space="preserve"> InputsTS!LLP$184</f>
        <v>0</v>
      </c>
      <c r="LLQ77" s="223">
        <f xml:space="preserve"> InputsTS!LLQ$184</f>
        <v>0</v>
      </c>
      <c r="LLR77" s="223">
        <f xml:space="preserve"> InputsTS!LLR$184</f>
        <v>0</v>
      </c>
      <c r="LLS77" s="223">
        <f xml:space="preserve"> InputsTS!LLS$184</f>
        <v>0</v>
      </c>
      <c r="LLT77" s="223">
        <f xml:space="preserve"> InputsTS!LLT$184</f>
        <v>0</v>
      </c>
      <c r="LLU77" s="223">
        <f xml:space="preserve"> InputsTS!LLU$184</f>
        <v>0</v>
      </c>
      <c r="LLV77" s="223">
        <f xml:space="preserve"> InputsTS!LLV$184</f>
        <v>0</v>
      </c>
      <c r="LLW77" s="223">
        <f xml:space="preserve"> InputsTS!LLW$184</f>
        <v>0</v>
      </c>
      <c r="LLX77" s="223">
        <f xml:space="preserve"> InputsTS!LLX$184</f>
        <v>0</v>
      </c>
      <c r="LLY77" s="223">
        <f xml:space="preserve"> InputsTS!LLY$184</f>
        <v>0</v>
      </c>
      <c r="LLZ77" s="223">
        <f xml:space="preserve"> InputsTS!LLZ$184</f>
        <v>0</v>
      </c>
      <c r="LMA77" s="223">
        <f xml:space="preserve"> InputsTS!LMA$184</f>
        <v>0</v>
      </c>
      <c r="LMB77" s="223">
        <f xml:space="preserve"> InputsTS!LMB$184</f>
        <v>0</v>
      </c>
      <c r="LMC77" s="223">
        <f xml:space="preserve"> InputsTS!LMC$184</f>
        <v>0</v>
      </c>
      <c r="LMD77" s="223">
        <f xml:space="preserve"> InputsTS!LMD$184</f>
        <v>0</v>
      </c>
      <c r="LME77" s="223">
        <f xml:space="preserve"> InputsTS!LME$184</f>
        <v>0</v>
      </c>
      <c r="LMF77" s="223">
        <f xml:space="preserve"> InputsTS!LMF$184</f>
        <v>0</v>
      </c>
      <c r="LMG77" s="223">
        <f xml:space="preserve"> InputsTS!LMG$184</f>
        <v>0</v>
      </c>
      <c r="LMH77" s="223">
        <f xml:space="preserve"> InputsTS!LMH$184</f>
        <v>0</v>
      </c>
      <c r="LMI77" s="223">
        <f xml:space="preserve"> InputsTS!LMI$184</f>
        <v>0</v>
      </c>
      <c r="LMJ77" s="223">
        <f xml:space="preserve"> InputsTS!LMJ$184</f>
        <v>0</v>
      </c>
      <c r="LMK77" s="223">
        <f xml:space="preserve"> InputsTS!LMK$184</f>
        <v>0</v>
      </c>
      <c r="LML77" s="223">
        <f xml:space="preserve"> InputsTS!LML$184</f>
        <v>0</v>
      </c>
      <c r="LMM77" s="223">
        <f xml:space="preserve"> InputsTS!LMM$184</f>
        <v>0</v>
      </c>
      <c r="LMN77" s="223">
        <f xml:space="preserve"> InputsTS!LMN$184</f>
        <v>0</v>
      </c>
      <c r="LMO77" s="223">
        <f xml:space="preserve"> InputsTS!LMO$184</f>
        <v>0</v>
      </c>
      <c r="LMP77" s="223">
        <f xml:space="preserve"> InputsTS!LMP$184</f>
        <v>0</v>
      </c>
      <c r="LMQ77" s="223">
        <f xml:space="preserve"> InputsTS!LMQ$184</f>
        <v>0</v>
      </c>
      <c r="LMR77" s="223">
        <f xml:space="preserve"> InputsTS!LMR$184</f>
        <v>0</v>
      </c>
      <c r="LMS77" s="223">
        <f xml:space="preserve"> InputsTS!LMS$184</f>
        <v>0</v>
      </c>
      <c r="LMT77" s="223">
        <f xml:space="preserve"> InputsTS!LMT$184</f>
        <v>0</v>
      </c>
      <c r="LMU77" s="223">
        <f xml:space="preserve"> InputsTS!LMU$184</f>
        <v>0</v>
      </c>
      <c r="LMV77" s="223">
        <f xml:space="preserve"> InputsTS!LMV$184</f>
        <v>0</v>
      </c>
      <c r="LMW77" s="223">
        <f xml:space="preserve"> InputsTS!LMW$184</f>
        <v>0</v>
      </c>
      <c r="LMX77" s="223">
        <f xml:space="preserve"> InputsTS!LMX$184</f>
        <v>0</v>
      </c>
      <c r="LMY77" s="223">
        <f xml:space="preserve"> InputsTS!LMY$184</f>
        <v>0</v>
      </c>
      <c r="LMZ77" s="223">
        <f xml:space="preserve"> InputsTS!LMZ$184</f>
        <v>0</v>
      </c>
      <c r="LNA77" s="223">
        <f xml:space="preserve"> InputsTS!LNA$184</f>
        <v>0</v>
      </c>
      <c r="LNB77" s="223">
        <f xml:space="preserve"> InputsTS!LNB$184</f>
        <v>0</v>
      </c>
      <c r="LNC77" s="223">
        <f xml:space="preserve"> InputsTS!LNC$184</f>
        <v>0</v>
      </c>
      <c r="LND77" s="223">
        <f xml:space="preserve"> InputsTS!LND$184</f>
        <v>0</v>
      </c>
      <c r="LNE77" s="223">
        <f xml:space="preserve"> InputsTS!LNE$184</f>
        <v>0</v>
      </c>
      <c r="LNF77" s="223">
        <f xml:space="preserve"> InputsTS!LNF$184</f>
        <v>0</v>
      </c>
      <c r="LNG77" s="223">
        <f xml:space="preserve"> InputsTS!LNG$184</f>
        <v>0</v>
      </c>
      <c r="LNH77" s="223">
        <f xml:space="preserve"> InputsTS!LNH$184</f>
        <v>0</v>
      </c>
      <c r="LNI77" s="223">
        <f xml:space="preserve"> InputsTS!LNI$184</f>
        <v>0</v>
      </c>
      <c r="LNJ77" s="223">
        <f xml:space="preserve"> InputsTS!LNJ$184</f>
        <v>0</v>
      </c>
      <c r="LNK77" s="223">
        <f xml:space="preserve"> InputsTS!LNK$184</f>
        <v>0</v>
      </c>
      <c r="LNL77" s="223">
        <f xml:space="preserve"> InputsTS!LNL$184</f>
        <v>0</v>
      </c>
      <c r="LNM77" s="223">
        <f xml:space="preserve"> InputsTS!LNM$184</f>
        <v>0</v>
      </c>
      <c r="LNN77" s="223">
        <f xml:space="preserve"> InputsTS!LNN$184</f>
        <v>0</v>
      </c>
      <c r="LNO77" s="223">
        <f xml:space="preserve"> InputsTS!LNO$184</f>
        <v>0</v>
      </c>
      <c r="LNP77" s="223">
        <f xml:space="preserve"> InputsTS!LNP$184</f>
        <v>0</v>
      </c>
      <c r="LNQ77" s="223">
        <f xml:space="preserve"> InputsTS!LNQ$184</f>
        <v>0</v>
      </c>
      <c r="LNR77" s="223">
        <f xml:space="preserve"> InputsTS!LNR$184</f>
        <v>0</v>
      </c>
      <c r="LNS77" s="223">
        <f xml:space="preserve"> InputsTS!LNS$184</f>
        <v>0</v>
      </c>
      <c r="LNT77" s="223">
        <f xml:space="preserve"> InputsTS!LNT$184</f>
        <v>0</v>
      </c>
      <c r="LNU77" s="223">
        <f xml:space="preserve"> InputsTS!LNU$184</f>
        <v>0</v>
      </c>
      <c r="LNV77" s="223">
        <f xml:space="preserve"> InputsTS!LNV$184</f>
        <v>0</v>
      </c>
      <c r="LNW77" s="223">
        <f xml:space="preserve"> InputsTS!LNW$184</f>
        <v>0</v>
      </c>
      <c r="LNX77" s="223">
        <f xml:space="preserve"> InputsTS!LNX$184</f>
        <v>0</v>
      </c>
      <c r="LNY77" s="223">
        <f xml:space="preserve"> InputsTS!LNY$184</f>
        <v>0</v>
      </c>
      <c r="LNZ77" s="223">
        <f xml:space="preserve"> InputsTS!LNZ$184</f>
        <v>0</v>
      </c>
      <c r="LOA77" s="223">
        <f xml:space="preserve"> InputsTS!LOA$184</f>
        <v>0</v>
      </c>
      <c r="LOB77" s="223">
        <f xml:space="preserve"> InputsTS!LOB$184</f>
        <v>0</v>
      </c>
      <c r="LOC77" s="223">
        <f xml:space="preserve"> InputsTS!LOC$184</f>
        <v>0</v>
      </c>
      <c r="LOD77" s="223">
        <f xml:space="preserve"> InputsTS!LOD$184</f>
        <v>0</v>
      </c>
      <c r="LOE77" s="223">
        <f xml:space="preserve"> InputsTS!LOE$184</f>
        <v>0</v>
      </c>
      <c r="LOF77" s="223">
        <f xml:space="preserve"> InputsTS!LOF$184</f>
        <v>0</v>
      </c>
      <c r="LOG77" s="223">
        <f xml:space="preserve"> InputsTS!LOG$184</f>
        <v>0</v>
      </c>
      <c r="LOH77" s="223">
        <f xml:space="preserve"> InputsTS!LOH$184</f>
        <v>0</v>
      </c>
      <c r="LOI77" s="223">
        <f xml:space="preserve"> InputsTS!LOI$184</f>
        <v>0</v>
      </c>
      <c r="LOJ77" s="223">
        <f xml:space="preserve"> InputsTS!LOJ$184</f>
        <v>0</v>
      </c>
      <c r="LOK77" s="223">
        <f xml:space="preserve"> InputsTS!LOK$184</f>
        <v>0</v>
      </c>
      <c r="LOL77" s="223">
        <f xml:space="preserve"> InputsTS!LOL$184</f>
        <v>0</v>
      </c>
      <c r="LOM77" s="223">
        <f xml:space="preserve"> InputsTS!LOM$184</f>
        <v>0</v>
      </c>
      <c r="LON77" s="223">
        <f xml:space="preserve"> InputsTS!LON$184</f>
        <v>0</v>
      </c>
      <c r="LOO77" s="223">
        <f xml:space="preserve"> InputsTS!LOO$184</f>
        <v>0</v>
      </c>
      <c r="LOP77" s="223">
        <f xml:space="preserve"> InputsTS!LOP$184</f>
        <v>0</v>
      </c>
      <c r="LOQ77" s="223">
        <f xml:space="preserve"> InputsTS!LOQ$184</f>
        <v>0</v>
      </c>
      <c r="LOR77" s="223">
        <f xml:space="preserve"> InputsTS!LOR$184</f>
        <v>0</v>
      </c>
      <c r="LOS77" s="223">
        <f xml:space="preserve"> InputsTS!LOS$184</f>
        <v>0</v>
      </c>
      <c r="LOT77" s="223">
        <f xml:space="preserve"> InputsTS!LOT$184</f>
        <v>0</v>
      </c>
      <c r="LOU77" s="223">
        <f xml:space="preserve"> InputsTS!LOU$184</f>
        <v>0</v>
      </c>
      <c r="LOV77" s="223">
        <f xml:space="preserve"> InputsTS!LOV$184</f>
        <v>0</v>
      </c>
      <c r="LOW77" s="223">
        <f xml:space="preserve"> InputsTS!LOW$184</f>
        <v>0</v>
      </c>
      <c r="LOX77" s="223">
        <f xml:space="preserve"> InputsTS!LOX$184</f>
        <v>0</v>
      </c>
      <c r="LOY77" s="223">
        <f xml:space="preserve"> InputsTS!LOY$184</f>
        <v>0</v>
      </c>
      <c r="LOZ77" s="223">
        <f xml:space="preserve"> InputsTS!LOZ$184</f>
        <v>0</v>
      </c>
      <c r="LPA77" s="223">
        <f xml:space="preserve"> InputsTS!LPA$184</f>
        <v>0</v>
      </c>
      <c r="LPB77" s="223">
        <f xml:space="preserve"> InputsTS!LPB$184</f>
        <v>0</v>
      </c>
      <c r="LPC77" s="223">
        <f xml:space="preserve"> InputsTS!LPC$184</f>
        <v>0</v>
      </c>
      <c r="LPD77" s="223">
        <f xml:space="preserve"> InputsTS!LPD$184</f>
        <v>0</v>
      </c>
      <c r="LPE77" s="223">
        <f xml:space="preserve"> InputsTS!LPE$184</f>
        <v>0</v>
      </c>
      <c r="LPF77" s="223">
        <f xml:space="preserve"> InputsTS!LPF$184</f>
        <v>0</v>
      </c>
      <c r="LPG77" s="223">
        <f xml:space="preserve"> InputsTS!LPG$184</f>
        <v>0</v>
      </c>
      <c r="LPH77" s="223">
        <f xml:space="preserve"> InputsTS!LPH$184</f>
        <v>0</v>
      </c>
      <c r="LPI77" s="223">
        <f xml:space="preserve"> InputsTS!LPI$184</f>
        <v>0</v>
      </c>
      <c r="LPJ77" s="223">
        <f xml:space="preserve"> InputsTS!LPJ$184</f>
        <v>0</v>
      </c>
      <c r="LPK77" s="223">
        <f xml:space="preserve"> InputsTS!LPK$184</f>
        <v>0</v>
      </c>
      <c r="LPL77" s="223">
        <f xml:space="preserve"> InputsTS!LPL$184</f>
        <v>0</v>
      </c>
      <c r="LPM77" s="223">
        <f xml:space="preserve"> InputsTS!LPM$184</f>
        <v>0</v>
      </c>
      <c r="LPN77" s="223">
        <f xml:space="preserve"> InputsTS!LPN$184</f>
        <v>0</v>
      </c>
      <c r="LPO77" s="223">
        <f xml:space="preserve"> InputsTS!LPO$184</f>
        <v>0</v>
      </c>
      <c r="LPP77" s="223">
        <f xml:space="preserve"> InputsTS!LPP$184</f>
        <v>0</v>
      </c>
      <c r="LPQ77" s="223">
        <f xml:space="preserve"> InputsTS!LPQ$184</f>
        <v>0</v>
      </c>
      <c r="LPR77" s="223">
        <f xml:space="preserve"> InputsTS!LPR$184</f>
        <v>0</v>
      </c>
      <c r="LPS77" s="223">
        <f xml:space="preserve"> InputsTS!LPS$184</f>
        <v>0</v>
      </c>
      <c r="LPT77" s="223">
        <f xml:space="preserve"> InputsTS!LPT$184</f>
        <v>0</v>
      </c>
      <c r="LPU77" s="223">
        <f xml:space="preserve"> InputsTS!LPU$184</f>
        <v>0</v>
      </c>
      <c r="LPV77" s="223">
        <f xml:space="preserve"> InputsTS!LPV$184</f>
        <v>0</v>
      </c>
      <c r="LPW77" s="223">
        <f xml:space="preserve"> InputsTS!LPW$184</f>
        <v>0</v>
      </c>
      <c r="LPX77" s="223">
        <f xml:space="preserve"> InputsTS!LPX$184</f>
        <v>0</v>
      </c>
      <c r="LPY77" s="223">
        <f xml:space="preserve"> InputsTS!LPY$184</f>
        <v>0</v>
      </c>
      <c r="LPZ77" s="223">
        <f xml:space="preserve"> InputsTS!LPZ$184</f>
        <v>0</v>
      </c>
      <c r="LQA77" s="223">
        <f xml:space="preserve"> InputsTS!LQA$184</f>
        <v>0</v>
      </c>
      <c r="LQB77" s="223">
        <f xml:space="preserve"> InputsTS!LQB$184</f>
        <v>0</v>
      </c>
      <c r="LQC77" s="223">
        <f xml:space="preserve"> InputsTS!LQC$184</f>
        <v>0</v>
      </c>
      <c r="LQD77" s="223">
        <f xml:space="preserve"> InputsTS!LQD$184</f>
        <v>0</v>
      </c>
      <c r="LQE77" s="223">
        <f xml:space="preserve"> InputsTS!LQE$184</f>
        <v>0</v>
      </c>
      <c r="LQF77" s="223">
        <f xml:space="preserve"> InputsTS!LQF$184</f>
        <v>0</v>
      </c>
      <c r="LQG77" s="223">
        <f xml:space="preserve"> InputsTS!LQG$184</f>
        <v>0</v>
      </c>
      <c r="LQH77" s="223">
        <f xml:space="preserve"> InputsTS!LQH$184</f>
        <v>0</v>
      </c>
      <c r="LQI77" s="223">
        <f xml:space="preserve"> InputsTS!LQI$184</f>
        <v>0</v>
      </c>
      <c r="LQJ77" s="223">
        <f xml:space="preserve"> InputsTS!LQJ$184</f>
        <v>0</v>
      </c>
      <c r="LQK77" s="223">
        <f xml:space="preserve"> InputsTS!LQK$184</f>
        <v>0</v>
      </c>
      <c r="LQL77" s="223">
        <f xml:space="preserve"> InputsTS!LQL$184</f>
        <v>0</v>
      </c>
      <c r="LQM77" s="223">
        <f xml:space="preserve"> InputsTS!LQM$184</f>
        <v>0</v>
      </c>
      <c r="LQN77" s="223">
        <f xml:space="preserve"> InputsTS!LQN$184</f>
        <v>0</v>
      </c>
      <c r="LQO77" s="223">
        <f xml:space="preserve"> InputsTS!LQO$184</f>
        <v>0</v>
      </c>
      <c r="LQP77" s="223">
        <f xml:space="preserve"> InputsTS!LQP$184</f>
        <v>0</v>
      </c>
      <c r="LQQ77" s="223">
        <f xml:space="preserve"> InputsTS!LQQ$184</f>
        <v>0</v>
      </c>
      <c r="LQR77" s="223">
        <f xml:space="preserve"> InputsTS!LQR$184</f>
        <v>0</v>
      </c>
      <c r="LQS77" s="223">
        <f xml:space="preserve"> InputsTS!LQS$184</f>
        <v>0</v>
      </c>
      <c r="LQT77" s="223">
        <f xml:space="preserve"> InputsTS!LQT$184</f>
        <v>0</v>
      </c>
      <c r="LQU77" s="223">
        <f xml:space="preserve"> InputsTS!LQU$184</f>
        <v>0</v>
      </c>
      <c r="LQV77" s="223">
        <f xml:space="preserve"> InputsTS!LQV$184</f>
        <v>0</v>
      </c>
      <c r="LQW77" s="223">
        <f xml:space="preserve"> InputsTS!LQW$184</f>
        <v>0</v>
      </c>
      <c r="LQX77" s="223">
        <f xml:space="preserve"> InputsTS!LQX$184</f>
        <v>0</v>
      </c>
      <c r="LQY77" s="223">
        <f xml:space="preserve"> InputsTS!LQY$184</f>
        <v>0</v>
      </c>
      <c r="LQZ77" s="223">
        <f xml:space="preserve"> InputsTS!LQZ$184</f>
        <v>0</v>
      </c>
      <c r="LRA77" s="223">
        <f xml:space="preserve"> InputsTS!LRA$184</f>
        <v>0</v>
      </c>
      <c r="LRB77" s="223">
        <f xml:space="preserve"> InputsTS!LRB$184</f>
        <v>0</v>
      </c>
      <c r="LRC77" s="223">
        <f xml:space="preserve"> InputsTS!LRC$184</f>
        <v>0</v>
      </c>
      <c r="LRD77" s="223">
        <f xml:space="preserve"> InputsTS!LRD$184</f>
        <v>0</v>
      </c>
      <c r="LRE77" s="223">
        <f xml:space="preserve"> InputsTS!LRE$184</f>
        <v>0</v>
      </c>
      <c r="LRF77" s="223">
        <f xml:space="preserve"> InputsTS!LRF$184</f>
        <v>0</v>
      </c>
      <c r="LRG77" s="223">
        <f xml:space="preserve"> InputsTS!LRG$184</f>
        <v>0</v>
      </c>
      <c r="LRH77" s="223">
        <f xml:space="preserve"> InputsTS!LRH$184</f>
        <v>0</v>
      </c>
      <c r="LRI77" s="223">
        <f xml:space="preserve"> InputsTS!LRI$184</f>
        <v>0</v>
      </c>
      <c r="LRJ77" s="223">
        <f xml:space="preserve"> InputsTS!LRJ$184</f>
        <v>0</v>
      </c>
      <c r="LRK77" s="223">
        <f xml:space="preserve"> InputsTS!LRK$184</f>
        <v>0</v>
      </c>
      <c r="LRL77" s="223">
        <f xml:space="preserve"> InputsTS!LRL$184</f>
        <v>0</v>
      </c>
      <c r="LRM77" s="223">
        <f xml:space="preserve"> InputsTS!LRM$184</f>
        <v>0</v>
      </c>
      <c r="LRN77" s="223">
        <f xml:space="preserve"> InputsTS!LRN$184</f>
        <v>0</v>
      </c>
      <c r="LRO77" s="223">
        <f xml:space="preserve"> InputsTS!LRO$184</f>
        <v>0</v>
      </c>
      <c r="LRP77" s="223">
        <f xml:space="preserve"> InputsTS!LRP$184</f>
        <v>0</v>
      </c>
      <c r="LRQ77" s="223">
        <f xml:space="preserve"> InputsTS!LRQ$184</f>
        <v>0</v>
      </c>
      <c r="LRR77" s="223">
        <f xml:space="preserve"> InputsTS!LRR$184</f>
        <v>0</v>
      </c>
      <c r="LRS77" s="223">
        <f xml:space="preserve"> InputsTS!LRS$184</f>
        <v>0</v>
      </c>
      <c r="LRT77" s="223">
        <f xml:space="preserve"> InputsTS!LRT$184</f>
        <v>0</v>
      </c>
      <c r="LRU77" s="223">
        <f xml:space="preserve"> InputsTS!LRU$184</f>
        <v>0</v>
      </c>
      <c r="LRV77" s="223">
        <f xml:space="preserve"> InputsTS!LRV$184</f>
        <v>0</v>
      </c>
      <c r="LRW77" s="223">
        <f xml:space="preserve"> InputsTS!LRW$184</f>
        <v>0</v>
      </c>
      <c r="LRX77" s="223">
        <f xml:space="preserve"> InputsTS!LRX$184</f>
        <v>0</v>
      </c>
      <c r="LRY77" s="223">
        <f xml:space="preserve"> InputsTS!LRY$184</f>
        <v>0</v>
      </c>
      <c r="LRZ77" s="223">
        <f xml:space="preserve"> InputsTS!LRZ$184</f>
        <v>0</v>
      </c>
      <c r="LSA77" s="223">
        <f xml:space="preserve"> InputsTS!LSA$184</f>
        <v>0</v>
      </c>
      <c r="LSB77" s="223">
        <f xml:space="preserve"> InputsTS!LSB$184</f>
        <v>0</v>
      </c>
      <c r="LSC77" s="223">
        <f xml:space="preserve"> InputsTS!LSC$184</f>
        <v>0</v>
      </c>
      <c r="LSD77" s="223">
        <f xml:space="preserve"> InputsTS!LSD$184</f>
        <v>0</v>
      </c>
      <c r="LSE77" s="223">
        <f xml:space="preserve"> InputsTS!LSE$184</f>
        <v>0</v>
      </c>
      <c r="LSF77" s="223">
        <f xml:space="preserve"> InputsTS!LSF$184</f>
        <v>0</v>
      </c>
      <c r="LSG77" s="223">
        <f xml:space="preserve"> InputsTS!LSG$184</f>
        <v>0</v>
      </c>
      <c r="LSH77" s="223">
        <f xml:space="preserve"> InputsTS!LSH$184</f>
        <v>0</v>
      </c>
      <c r="LSI77" s="223">
        <f xml:space="preserve"> InputsTS!LSI$184</f>
        <v>0</v>
      </c>
      <c r="LSJ77" s="223">
        <f xml:space="preserve"> InputsTS!LSJ$184</f>
        <v>0</v>
      </c>
      <c r="LSK77" s="223">
        <f xml:space="preserve"> InputsTS!LSK$184</f>
        <v>0</v>
      </c>
      <c r="LSL77" s="223">
        <f xml:space="preserve"> InputsTS!LSL$184</f>
        <v>0</v>
      </c>
      <c r="LSM77" s="223">
        <f xml:space="preserve"> InputsTS!LSM$184</f>
        <v>0</v>
      </c>
      <c r="LSN77" s="223">
        <f xml:space="preserve"> InputsTS!LSN$184</f>
        <v>0</v>
      </c>
      <c r="LSO77" s="223">
        <f xml:space="preserve"> InputsTS!LSO$184</f>
        <v>0</v>
      </c>
      <c r="LSP77" s="223">
        <f xml:space="preserve"> InputsTS!LSP$184</f>
        <v>0</v>
      </c>
      <c r="LSQ77" s="223">
        <f xml:space="preserve"> InputsTS!LSQ$184</f>
        <v>0</v>
      </c>
      <c r="LSR77" s="223">
        <f xml:space="preserve"> InputsTS!LSR$184</f>
        <v>0</v>
      </c>
      <c r="LSS77" s="223">
        <f xml:space="preserve"> InputsTS!LSS$184</f>
        <v>0</v>
      </c>
      <c r="LST77" s="223">
        <f xml:space="preserve"> InputsTS!LST$184</f>
        <v>0</v>
      </c>
      <c r="LSU77" s="223">
        <f xml:space="preserve"> InputsTS!LSU$184</f>
        <v>0</v>
      </c>
      <c r="LSV77" s="223">
        <f xml:space="preserve"> InputsTS!LSV$184</f>
        <v>0</v>
      </c>
      <c r="LSW77" s="223">
        <f xml:space="preserve"> InputsTS!LSW$184</f>
        <v>0</v>
      </c>
      <c r="LSX77" s="223">
        <f xml:space="preserve"> InputsTS!LSX$184</f>
        <v>0</v>
      </c>
      <c r="LSY77" s="223">
        <f xml:space="preserve"> InputsTS!LSY$184</f>
        <v>0</v>
      </c>
      <c r="LSZ77" s="223">
        <f xml:space="preserve"> InputsTS!LSZ$184</f>
        <v>0</v>
      </c>
      <c r="LTA77" s="223">
        <f xml:space="preserve"> InputsTS!LTA$184</f>
        <v>0</v>
      </c>
      <c r="LTB77" s="223">
        <f xml:space="preserve"> InputsTS!LTB$184</f>
        <v>0</v>
      </c>
      <c r="LTC77" s="223">
        <f xml:space="preserve"> InputsTS!LTC$184</f>
        <v>0</v>
      </c>
      <c r="LTD77" s="223">
        <f xml:space="preserve"> InputsTS!LTD$184</f>
        <v>0</v>
      </c>
      <c r="LTE77" s="223">
        <f xml:space="preserve"> InputsTS!LTE$184</f>
        <v>0</v>
      </c>
      <c r="LTF77" s="223">
        <f xml:space="preserve"> InputsTS!LTF$184</f>
        <v>0</v>
      </c>
      <c r="LTG77" s="223">
        <f xml:space="preserve"> InputsTS!LTG$184</f>
        <v>0</v>
      </c>
      <c r="LTH77" s="223">
        <f xml:space="preserve"> InputsTS!LTH$184</f>
        <v>0</v>
      </c>
      <c r="LTI77" s="223">
        <f xml:space="preserve"> InputsTS!LTI$184</f>
        <v>0</v>
      </c>
      <c r="LTJ77" s="223">
        <f xml:space="preserve"> InputsTS!LTJ$184</f>
        <v>0</v>
      </c>
      <c r="LTK77" s="223">
        <f xml:space="preserve"> InputsTS!LTK$184</f>
        <v>0</v>
      </c>
      <c r="LTL77" s="223">
        <f xml:space="preserve"> InputsTS!LTL$184</f>
        <v>0</v>
      </c>
      <c r="LTM77" s="223">
        <f xml:space="preserve"> InputsTS!LTM$184</f>
        <v>0</v>
      </c>
      <c r="LTN77" s="223">
        <f xml:space="preserve"> InputsTS!LTN$184</f>
        <v>0</v>
      </c>
      <c r="LTO77" s="223">
        <f xml:space="preserve"> InputsTS!LTO$184</f>
        <v>0</v>
      </c>
      <c r="LTP77" s="223">
        <f xml:space="preserve"> InputsTS!LTP$184</f>
        <v>0</v>
      </c>
      <c r="LTQ77" s="223">
        <f xml:space="preserve"> InputsTS!LTQ$184</f>
        <v>0</v>
      </c>
      <c r="LTR77" s="223">
        <f xml:space="preserve"> InputsTS!LTR$184</f>
        <v>0</v>
      </c>
      <c r="LTS77" s="223">
        <f xml:space="preserve"> InputsTS!LTS$184</f>
        <v>0</v>
      </c>
      <c r="LTT77" s="223">
        <f xml:space="preserve"> InputsTS!LTT$184</f>
        <v>0</v>
      </c>
      <c r="LTU77" s="223">
        <f xml:space="preserve"> InputsTS!LTU$184</f>
        <v>0</v>
      </c>
      <c r="LTV77" s="223">
        <f xml:space="preserve"> InputsTS!LTV$184</f>
        <v>0</v>
      </c>
      <c r="LTW77" s="223">
        <f xml:space="preserve"> InputsTS!LTW$184</f>
        <v>0</v>
      </c>
      <c r="LTX77" s="223">
        <f xml:space="preserve"> InputsTS!LTX$184</f>
        <v>0</v>
      </c>
      <c r="LTY77" s="223">
        <f xml:space="preserve"> InputsTS!LTY$184</f>
        <v>0</v>
      </c>
      <c r="LTZ77" s="223">
        <f xml:space="preserve"> InputsTS!LTZ$184</f>
        <v>0</v>
      </c>
      <c r="LUA77" s="223">
        <f xml:space="preserve"> InputsTS!LUA$184</f>
        <v>0</v>
      </c>
      <c r="LUB77" s="223">
        <f xml:space="preserve"> InputsTS!LUB$184</f>
        <v>0</v>
      </c>
      <c r="LUC77" s="223">
        <f xml:space="preserve"> InputsTS!LUC$184</f>
        <v>0</v>
      </c>
      <c r="LUD77" s="223">
        <f xml:space="preserve"> InputsTS!LUD$184</f>
        <v>0</v>
      </c>
      <c r="LUE77" s="223">
        <f xml:space="preserve"> InputsTS!LUE$184</f>
        <v>0</v>
      </c>
      <c r="LUF77" s="223">
        <f xml:space="preserve"> InputsTS!LUF$184</f>
        <v>0</v>
      </c>
      <c r="LUG77" s="223">
        <f xml:space="preserve"> InputsTS!LUG$184</f>
        <v>0</v>
      </c>
      <c r="LUH77" s="223">
        <f xml:space="preserve"> InputsTS!LUH$184</f>
        <v>0</v>
      </c>
      <c r="LUI77" s="223">
        <f xml:space="preserve"> InputsTS!LUI$184</f>
        <v>0</v>
      </c>
      <c r="LUJ77" s="223">
        <f xml:space="preserve"> InputsTS!LUJ$184</f>
        <v>0</v>
      </c>
      <c r="LUK77" s="223">
        <f xml:space="preserve"> InputsTS!LUK$184</f>
        <v>0</v>
      </c>
      <c r="LUL77" s="223">
        <f xml:space="preserve"> InputsTS!LUL$184</f>
        <v>0</v>
      </c>
      <c r="LUM77" s="223">
        <f xml:space="preserve"> InputsTS!LUM$184</f>
        <v>0</v>
      </c>
      <c r="LUN77" s="223">
        <f xml:space="preserve"> InputsTS!LUN$184</f>
        <v>0</v>
      </c>
      <c r="LUO77" s="223">
        <f xml:space="preserve"> InputsTS!LUO$184</f>
        <v>0</v>
      </c>
      <c r="LUP77" s="223">
        <f xml:space="preserve"> InputsTS!LUP$184</f>
        <v>0</v>
      </c>
      <c r="LUQ77" s="223">
        <f xml:space="preserve"> InputsTS!LUQ$184</f>
        <v>0</v>
      </c>
      <c r="LUR77" s="223">
        <f xml:space="preserve"> InputsTS!LUR$184</f>
        <v>0</v>
      </c>
      <c r="LUS77" s="223">
        <f xml:space="preserve"> InputsTS!LUS$184</f>
        <v>0</v>
      </c>
      <c r="LUT77" s="223">
        <f xml:space="preserve"> InputsTS!LUT$184</f>
        <v>0</v>
      </c>
      <c r="LUU77" s="223">
        <f xml:space="preserve"> InputsTS!LUU$184</f>
        <v>0</v>
      </c>
      <c r="LUV77" s="223">
        <f xml:space="preserve"> InputsTS!LUV$184</f>
        <v>0</v>
      </c>
      <c r="LUW77" s="223">
        <f xml:space="preserve"> InputsTS!LUW$184</f>
        <v>0</v>
      </c>
      <c r="LUX77" s="223">
        <f xml:space="preserve"> InputsTS!LUX$184</f>
        <v>0</v>
      </c>
      <c r="LUY77" s="223">
        <f xml:space="preserve"> InputsTS!LUY$184</f>
        <v>0</v>
      </c>
      <c r="LUZ77" s="223">
        <f xml:space="preserve"> InputsTS!LUZ$184</f>
        <v>0</v>
      </c>
      <c r="LVA77" s="223">
        <f xml:space="preserve"> InputsTS!LVA$184</f>
        <v>0</v>
      </c>
      <c r="LVB77" s="223">
        <f xml:space="preserve"> InputsTS!LVB$184</f>
        <v>0</v>
      </c>
      <c r="LVC77" s="223">
        <f xml:space="preserve"> InputsTS!LVC$184</f>
        <v>0</v>
      </c>
      <c r="LVD77" s="223">
        <f xml:space="preserve"> InputsTS!LVD$184</f>
        <v>0</v>
      </c>
      <c r="LVE77" s="223">
        <f xml:space="preserve"> InputsTS!LVE$184</f>
        <v>0</v>
      </c>
      <c r="LVF77" s="223">
        <f xml:space="preserve"> InputsTS!LVF$184</f>
        <v>0</v>
      </c>
      <c r="LVG77" s="223">
        <f xml:space="preserve"> InputsTS!LVG$184</f>
        <v>0</v>
      </c>
      <c r="LVH77" s="223">
        <f xml:space="preserve"> InputsTS!LVH$184</f>
        <v>0</v>
      </c>
      <c r="LVI77" s="223">
        <f xml:space="preserve"> InputsTS!LVI$184</f>
        <v>0</v>
      </c>
      <c r="LVJ77" s="223">
        <f xml:space="preserve"> InputsTS!LVJ$184</f>
        <v>0</v>
      </c>
      <c r="LVK77" s="223">
        <f xml:space="preserve"> InputsTS!LVK$184</f>
        <v>0</v>
      </c>
      <c r="LVL77" s="223">
        <f xml:space="preserve"> InputsTS!LVL$184</f>
        <v>0</v>
      </c>
      <c r="LVM77" s="223">
        <f xml:space="preserve"> InputsTS!LVM$184</f>
        <v>0</v>
      </c>
      <c r="LVN77" s="223">
        <f xml:space="preserve"> InputsTS!LVN$184</f>
        <v>0</v>
      </c>
      <c r="LVO77" s="223">
        <f xml:space="preserve"> InputsTS!LVO$184</f>
        <v>0</v>
      </c>
      <c r="LVP77" s="223">
        <f xml:space="preserve"> InputsTS!LVP$184</f>
        <v>0</v>
      </c>
      <c r="LVQ77" s="223">
        <f xml:space="preserve"> InputsTS!LVQ$184</f>
        <v>0</v>
      </c>
      <c r="LVR77" s="223">
        <f xml:space="preserve"> InputsTS!LVR$184</f>
        <v>0</v>
      </c>
      <c r="LVS77" s="223">
        <f xml:space="preserve"> InputsTS!LVS$184</f>
        <v>0</v>
      </c>
      <c r="LVT77" s="223">
        <f xml:space="preserve"> InputsTS!LVT$184</f>
        <v>0</v>
      </c>
      <c r="LVU77" s="223">
        <f xml:space="preserve"> InputsTS!LVU$184</f>
        <v>0</v>
      </c>
      <c r="LVV77" s="223">
        <f xml:space="preserve"> InputsTS!LVV$184</f>
        <v>0</v>
      </c>
      <c r="LVW77" s="223">
        <f xml:space="preserve"> InputsTS!LVW$184</f>
        <v>0</v>
      </c>
      <c r="LVX77" s="223">
        <f xml:space="preserve"> InputsTS!LVX$184</f>
        <v>0</v>
      </c>
      <c r="LVY77" s="223">
        <f xml:space="preserve"> InputsTS!LVY$184</f>
        <v>0</v>
      </c>
      <c r="LVZ77" s="223">
        <f xml:space="preserve"> InputsTS!LVZ$184</f>
        <v>0</v>
      </c>
      <c r="LWA77" s="223">
        <f xml:space="preserve"> InputsTS!LWA$184</f>
        <v>0</v>
      </c>
      <c r="LWB77" s="223">
        <f xml:space="preserve"> InputsTS!LWB$184</f>
        <v>0</v>
      </c>
      <c r="LWC77" s="223">
        <f xml:space="preserve"> InputsTS!LWC$184</f>
        <v>0</v>
      </c>
      <c r="LWD77" s="223">
        <f xml:space="preserve"> InputsTS!LWD$184</f>
        <v>0</v>
      </c>
      <c r="LWE77" s="223">
        <f xml:space="preserve"> InputsTS!LWE$184</f>
        <v>0</v>
      </c>
      <c r="LWF77" s="223">
        <f xml:space="preserve"> InputsTS!LWF$184</f>
        <v>0</v>
      </c>
      <c r="LWG77" s="223">
        <f xml:space="preserve"> InputsTS!LWG$184</f>
        <v>0</v>
      </c>
      <c r="LWH77" s="223">
        <f xml:space="preserve"> InputsTS!LWH$184</f>
        <v>0</v>
      </c>
      <c r="LWI77" s="223">
        <f xml:space="preserve"> InputsTS!LWI$184</f>
        <v>0</v>
      </c>
      <c r="LWJ77" s="223">
        <f xml:space="preserve"> InputsTS!LWJ$184</f>
        <v>0</v>
      </c>
      <c r="LWK77" s="223">
        <f xml:space="preserve"> InputsTS!LWK$184</f>
        <v>0</v>
      </c>
      <c r="LWL77" s="223">
        <f xml:space="preserve"> InputsTS!LWL$184</f>
        <v>0</v>
      </c>
      <c r="LWM77" s="223">
        <f xml:space="preserve"> InputsTS!LWM$184</f>
        <v>0</v>
      </c>
      <c r="LWN77" s="223">
        <f xml:space="preserve"> InputsTS!LWN$184</f>
        <v>0</v>
      </c>
      <c r="LWO77" s="223">
        <f xml:space="preserve"> InputsTS!LWO$184</f>
        <v>0</v>
      </c>
      <c r="LWP77" s="223">
        <f xml:space="preserve"> InputsTS!LWP$184</f>
        <v>0</v>
      </c>
      <c r="LWQ77" s="223">
        <f xml:space="preserve"> InputsTS!LWQ$184</f>
        <v>0</v>
      </c>
      <c r="LWR77" s="223">
        <f xml:space="preserve"> InputsTS!LWR$184</f>
        <v>0</v>
      </c>
      <c r="LWS77" s="223">
        <f xml:space="preserve"> InputsTS!LWS$184</f>
        <v>0</v>
      </c>
      <c r="LWT77" s="223">
        <f xml:space="preserve"> InputsTS!LWT$184</f>
        <v>0</v>
      </c>
      <c r="LWU77" s="223">
        <f xml:space="preserve"> InputsTS!LWU$184</f>
        <v>0</v>
      </c>
      <c r="LWV77" s="223">
        <f xml:space="preserve"> InputsTS!LWV$184</f>
        <v>0</v>
      </c>
      <c r="LWW77" s="223">
        <f xml:space="preserve"> InputsTS!LWW$184</f>
        <v>0</v>
      </c>
      <c r="LWX77" s="223">
        <f xml:space="preserve"> InputsTS!LWX$184</f>
        <v>0</v>
      </c>
      <c r="LWY77" s="223">
        <f xml:space="preserve"> InputsTS!LWY$184</f>
        <v>0</v>
      </c>
      <c r="LWZ77" s="223">
        <f xml:space="preserve"> InputsTS!LWZ$184</f>
        <v>0</v>
      </c>
      <c r="LXA77" s="223">
        <f xml:space="preserve"> InputsTS!LXA$184</f>
        <v>0</v>
      </c>
      <c r="LXB77" s="223">
        <f xml:space="preserve"> InputsTS!LXB$184</f>
        <v>0</v>
      </c>
      <c r="LXC77" s="223">
        <f xml:space="preserve"> InputsTS!LXC$184</f>
        <v>0</v>
      </c>
      <c r="LXD77" s="223">
        <f xml:space="preserve"> InputsTS!LXD$184</f>
        <v>0</v>
      </c>
      <c r="LXE77" s="223">
        <f xml:space="preserve"> InputsTS!LXE$184</f>
        <v>0</v>
      </c>
      <c r="LXF77" s="223">
        <f xml:space="preserve"> InputsTS!LXF$184</f>
        <v>0</v>
      </c>
      <c r="LXG77" s="223">
        <f xml:space="preserve"> InputsTS!LXG$184</f>
        <v>0</v>
      </c>
      <c r="LXH77" s="223">
        <f xml:space="preserve"> InputsTS!LXH$184</f>
        <v>0</v>
      </c>
      <c r="LXI77" s="223">
        <f xml:space="preserve"> InputsTS!LXI$184</f>
        <v>0</v>
      </c>
      <c r="LXJ77" s="223">
        <f xml:space="preserve"> InputsTS!LXJ$184</f>
        <v>0</v>
      </c>
      <c r="LXK77" s="223">
        <f xml:space="preserve"> InputsTS!LXK$184</f>
        <v>0</v>
      </c>
      <c r="LXL77" s="223">
        <f xml:space="preserve"> InputsTS!LXL$184</f>
        <v>0</v>
      </c>
      <c r="LXM77" s="223">
        <f xml:space="preserve"> InputsTS!LXM$184</f>
        <v>0</v>
      </c>
      <c r="LXN77" s="223">
        <f xml:space="preserve"> InputsTS!LXN$184</f>
        <v>0</v>
      </c>
      <c r="LXO77" s="223">
        <f xml:space="preserve"> InputsTS!LXO$184</f>
        <v>0</v>
      </c>
      <c r="LXP77" s="223">
        <f xml:space="preserve"> InputsTS!LXP$184</f>
        <v>0</v>
      </c>
      <c r="LXQ77" s="223">
        <f xml:space="preserve"> InputsTS!LXQ$184</f>
        <v>0</v>
      </c>
      <c r="LXR77" s="223">
        <f xml:space="preserve"> InputsTS!LXR$184</f>
        <v>0</v>
      </c>
      <c r="LXS77" s="223">
        <f xml:space="preserve"> InputsTS!LXS$184</f>
        <v>0</v>
      </c>
      <c r="LXT77" s="223">
        <f xml:space="preserve"> InputsTS!LXT$184</f>
        <v>0</v>
      </c>
      <c r="LXU77" s="223">
        <f xml:space="preserve"> InputsTS!LXU$184</f>
        <v>0</v>
      </c>
      <c r="LXV77" s="223">
        <f xml:space="preserve"> InputsTS!LXV$184</f>
        <v>0</v>
      </c>
      <c r="LXW77" s="223">
        <f xml:space="preserve"> InputsTS!LXW$184</f>
        <v>0</v>
      </c>
      <c r="LXX77" s="223">
        <f xml:space="preserve"> InputsTS!LXX$184</f>
        <v>0</v>
      </c>
      <c r="LXY77" s="223">
        <f xml:space="preserve"> InputsTS!LXY$184</f>
        <v>0</v>
      </c>
      <c r="LXZ77" s="223">
        <f xml:space="preserve"> InputsTS!LXZ$184</f>
        <v>0</v>
      </c>
      <c r="LYA77" s="223">
        <f xml:space="preserve"> InputsTS!LYA$184</f>
        <v>0</v>
      </c>
      <c r="LYB77" s="223">
        <f xml:space="preserve"> InputsTS!LYB$184</f>
        <v>0</v>
      </c>
      <c r="LYC77" s="223">
        <f xml:space="preserve"> InputsTS!LYC$184</f>
        <v>0</v>
      </c>
      <c r="LYD77" s="223">
        <f xml:space="preserve"> InputsTS!LYD$184</f>
        <v>0</v>
      </c>
      <c r="LYE77" s="223">
        <f xml:space="preserve"> InputsTS!LYE$184</f>
        <v>0</v>
      </c>
      <c r="LYF77" s="223">
        <f xml:space="preserve"> InputsTS!LYF$184</f>
        <v>0</v>
      </c>
      <c r="LYG77" s="223">
        <f xml:space="preserve"> InputsTS!LYG$184</f>
        <v>0</v>
      </c>
      <c r="LYH77" s="223">
        <f xml:space="preserve"> InputsTS!LYH$184</f>
        <v>0</v>
      </c>
      <c r="LYI77" s="223">
        <f xml:space="preserve"> InputsTS!LYI$184</f>
        <v>0</v>
      </c>
      <c r="LYJ77" s="223">
        <f xml:space="preserve"> InputsTS!LYJ$184</f>
        <v>0</v>
      </c>
      <c r="LYK77" s="223">
        <f xml:space="preserve"> InputsTS!LYK$184</f>
        <v>0</v>
      </c>
      <c r="LYL77" s="223">
        <f xml:space="preserve"> InputsTS!LYL$184</f>
        <v>0</v>
      </c>
      <c r="LYM77" s="223">
        <f xml:space="preserve"> InputsTS!LYM$184</f>
        <v>0</v>
      </c>
      <c r="LYN77" s="223">
        <f xml:space="preserve"> InputsTS!LYN$184</f>
        <v>0</v>
      </c>
      <c r="LYO77" s="223">
        <f xml:space="preserve"> InputsTS!LYO$184</f>
        <v>0</v>
      </c>
      <c r="LYP77" s="223">
        <f xml:space="preserve"> InputsTS!LYP$184</f>
        <v>0</v>
      </c>
      <c r="LYQ77" s="223">
        <f xml:space="preserve"> InputsTS!LYQ$184</f>
        <v>0</v>
      </c>
      <c r="LYR77" s="223">
        <f xml:space="preserve"> InputsTS!LYR$184</f>
        <v>0</v>
      </c>
      <c r="LYS77" s="223">
        <f xml:space="preserve"> InputsTS!LYS$184</f>
        <v>0</v>
      </c>
      <c r="LYT77" s="223">
        <f xml:space="preserve"> InputsTS!LYT$184</f>
        <v>0</v>
      </c>
      <c r="LYU77" s="223">
        <f xml:space="preserve"> InputsTS!LYU$184</f>
        <v>0</v>
      </c>
      <c r="LYV77" s="223">
        <f xml:space="preserve"> InputsTS!LYV$184</f>
        <v>0</v>
      </c>
      <c r="LYW77" s="223">
        <f xml:space="preserve"> InputsTS!LYW$184</f>
        <v>0</v>
      </c>
      <c r="LYX77" s="223">
        <f xml:space="preserve"> InputsTS!LYX$184</f>
        <v>0</v>
      </c>
      <c r="LYY77" s="223">
        <f xml:space="preserve"> InputsTS!LYY$184</f>
        <v>0</v>
      </c>
      <c r="LYZ77" s="223">
        <f xml:space="preserve"> InputsTS!LYZ$184</f>
        <v>0</v>
      </c>
      <c r="LZA77" s="223">
        <f xml:space="preserve"> InputsTS!LZA$184</f>
        <v>0</v>
      </c>
      <c r="LZB77" s="223">
        <f xml:space="preserve"> InputsTS!LZB$184</f>
        <v>0</v>
      </c>
      <c r="LZC77" s="223">
        <f xml:space="preserve"> InputsTS!LZC$184</f>
        <v>0</v>
      </c>
      <c r="LZD77" s="223">
        <f xml:space="preserve"> InputsTS!LZD$184</f>
        <v>0</v>
      </c>
      <c r="LZE77" s="223">
        <f xml:space="preserve"> InputsTS!LZE$184</f>
        <v>0</v>
      </c>
      <c r="LZF77" s="223">
        <f xml:space="preserve"> InputsTS!LZF$184</f>
        <v>0</v>
      </c>
      <c r="LZG77" s="223">
        <f xml:space="preserve"> InputsTS!LZG$184</f>
        <v>0</v>
      </c>
      <c r="LZH77" s="223">
        <f xml:space="preserve"> InputsTS!LZH$184</f>
        <v>0</v>
      </c>
      <c r="LZI77" s="223">
        <f xml:space="preserve"> InputsTS!LZI$184</f>
        <v>0</v>
      </c>
      <c r="LZJ77" s="223">
        <f xml:space="preserve"> InputsTS!LZJ$184</f>
        <v>0</v>
      </c>
      <c r="LZK77" s="223">
        <f xml:space="preserve"> InputsTS!LZK$184</f>
        <v>0</v>
      </c>
      <c r="LZL77" s="223">
        <f xml:space="preserve"> InputsTS!LZL$184</f>
        <v>0</v>
      </c>
      <c r="LZM77" s="223">
        <f xml:space="preserve"> InputsTS!LZM$184</f>
        <v>0</v>
      </c>
      <c r="LZN77" s="223">
        <f xml:space="preserve"> InputsTS!LZN$184</f>
        <v>0</v>
      </c>
      <c r="LZO77" s="223">
        <f xml:space="preserve"> InputsTS!LZO$184</f>
        <v>0</v>
      </c>
      <c r="LZP77" s="223">
        <f xml:space="preserve"> InputsTS!LZP$184</f>
        <v>0</v>
      </c>
      <c r="LZQ77" s="223">
        <f xml:space="preserve"> InputsTS!LZQ$184</f>
        <v>0</v>
      </c>
      <c r="LZR77" s="223">
        <f xml:space="preserve"> InputsTS!LZR$184</f>
        <v>0</v>
      </c>
      <c r="LZS77" s="223">
        <f xml:space="preserve"> InputsTS!LZS$184</f>
        <v>0</v>
      </c>
      <c r="LZT77" s="223">
        <f xml:space="preserve"> InputsTS!LZT$184</f>
        <v>0</v>
      </c>
      <c r="LZU77" s="223">
        <f xml:space="preserve"> InputsTS!LZU$184</f>
        <v>0</v>
      </c>
      <c r="LZV77" s="223">
        <f xml:space="preserve"> InputsTS!LZV$184</f>
        <v>0</v>
      </c>
      <c r="LZW77" s="223">
        <f xml:space="preserve"> InputsTS!LZW$184</f>
        <v>0</v>
      </c>
      <c r="LZX77" s="223">
        <f xml:space="preserve"> InputsTS!LZX$184</f>
        <v>0</v>
      </c>
      <c r="LZY77" s="223">
        <f xml:space="preserve"> InputsTS!LZY$184</f>
        <v>0</v>
      </c>
      <c r="LZZ77" s="223">
        <f xml:space="preserve"> InputsTS!LZZ$184</f>
        <v>0</v>
      </c>
      <c r="MAA77" s="223">
        <f xml:space="preserve"> InputsTS!MAA$184</f>
        <v>0</v>
      </c>
      <c r="MAB77" s="223">
        <f xml:space="preserve"> InputsTS!MAB$184</f>
        <v>0</v>
      </c>
      <c r="MAC77" s="223">
        <f xml:space="preserve"> InputsTS!MAC$184</f>
        <v>0</v>
      </c>
      <c r="MAD77" s="223">
        <f xml:space="preserve"> InputsTS!MAD$184</f>
        <v>0</v>
      </c>
      <c r="MAE77" s="223">
        <f xml:space="preserve"> InputsTS!MAE$184</f>
        <v>0</v>
      </c>
      <c r="MAF77" s="223">
        <f xml:space="preserve"> InputsTS!MAF$184</f>
        <v>0</v>
      </c>
      <c r="MAG77" s="223">
        <f xml:space="preserve"> InputsTS!MAG$184</f>
        <v>0</v>
      </c>
      <c r="MAH77" s="223">
        <f xml:space="preserve"> InputsTS!MAH$184</f>
        <v>0</v>
      </c>
      <c r="MAI77" s="223">
        <f xml:space="preserve"> InputsTS!MAI$184</f>
        <v>0</v>
      </c>
      <c r="MAJ77" s="223">
        <f xml:space="preserve"> InputsTS!MAJ$184</f>
        <v>0</v>
      </c>
      <c r="MAK77" s="223">
        <f xml:space="preserve"> InputsTS!MAK$184</f>
        <v>0</v>
      </c>
      <c r="MAL77" s="223">
        <f xml:space="preserve"> InputsTS!MAL$184</f>
        <v>0</v>
      </c>
      <c r="MAM77" s="223">
        <f xml:space="preserve"> InputsTS!MAM$184</f>
        <v>0</v>
      </c>
      <c r="MAN77" s="223">
        <f xml:space="preserve"> InputsTS!MAN$184</f>
        <v>0</v>
      </c>
      <c r="MAO77" s="223">
        <f xml:space="preserve"> InputsTS!MAO$184</f>
        <v>0</v>
      </c>
      <c r="MAP77" s="223">
        <f xml:space="preserve"> InputsTS!MAP$184</f>
        <v>0</v>
      </c>
      <c r="MAQ77" s="223">
        <f xml:space="preserve"> InputsTS!MAQ$184</f>
        <v>0</v>
      </c>
      <c r="MAR77" s="223">
        <f xml:space="preserve"> InputsTS!MAR$184</f>
        <v>0</v>
      </c>
      <c r="MAS77" s="223">
        <f xml:space="preserve"> InputsTS!MAS$184</f>
        <v>0</v>
      </c>
      <c r="MAT77" s="223">
        <f xml:space="preserve"> InputsTS!MAT$184</f>
        <v>0</v>
      </c>
      <c r="MAU77" s="223">
        <f xml:space="preserve"> InputsTS!MAU$184</f>
        <v>0</v>
      </c>
      <c r="MAV77" s="223">
        <f xml:space="preserve"> InputsTS!MAV$184</f>
        <v>0</v>
      </c>
      <c r="MAW77" s="223">
        <f xml:space="preserve"> InputsTS!MAW$184</f>
        <v>0</v>
      </c>
      <c r="MAX77" s="223">
        <f xml:space="preserve"> InputsTS!MAX$184</f>
        <v>0</v>
      </c>
      <c r="MAY77" s="223">
        <f xml:space="preserve"> InputsTS!MAY$184</f>
        <v>0</v>
      </c>
      <c r="MAZ77" s="223">
        <f xml:space="preserve"> InputsTS!MAZ$184</f>
        <v>0</v>
      </c>
      <c r="MBA77" s="223">
        <f xml:space="preserve"> InputsTS!MBA$184</f>
        <v>0</v>
      </c>
      <c r="MBB77" s="223">
        <f xml:space="preserve"> InputsTS!MBB$184</f>
        <v>0</v>
      </c>
      <c r="MBC77" s="223">
        <f xml:space="preserve"> InputsTS!MBC$184</f>
        <v>0</v>
      </c>
      <c r="MBD77" s="223">
        <f xml:space="preserve"> InputsTS!MBD$184</f>
        <v>0</v>
      </c>
      <c r="MBE77" s="223">
        <f xml:space="preserve"> InputsTS!MBE$184</f>
        <v>0</v>
      </c>
      <c r="MBF77" s="223">
        <f xml:space="preserve"> InputsTS!MBF$184</f>
        <v>0</v>
      </c>
      <c r="MBG77" s="223">
        <f xml:space="preserve"> InputsTS!MBG$184</f>
        <v>0</v>
      </c>
      <c r="MBH77" s="223">
        <f xml:space="preserve"> InputsTS!MBH$184</f>
        <v>0</v>
      </c>
      <c r="MBI77" s="223">
        <f xml:space="preserve"> InputsTS!MBI$184</f>
        <v>0</v>
      </c>
      <c r="MBJ77" s="223">
        <f xml:space="preserve"> InputsTS!MBJ$184</f>
        <v>0</v>
      </c>
      <c r="MBK77" s="223">
        <f xml:space="preserve"> InputsTS!MBK$184</f>
        <v>0</v>
      </c>
      <c r="MBL77" s="223">
        <f xml:space="preserve"> InputsTS!MBL$184</f>
        <v>0</v>
      </c>
      <c r="MBM77" s="223">
        <f xml:space="preserve"> InputsTS!MBM$184</f>
        <v>0</v>
      </c>
      <c r="MBN77" s="223">
        <f xml:space="preserve"> InputsTS!MBN$184</f>
        <v>0</v>
      </c>
      <c r="MBO77" s="223">
        <f xml:space="preserve"> InputsTS!MBO$184</f>
        <v>0</v>
      </c>
      <c r="MBP77" s="223">
        <f xml:space="preserve"> InputsTS!MBP$184</f>
        <v>0</v>
      </c>
      <c r="MBQ77" s="223">
        <f xml:space="preserve"> InputsTS!MBQ$184</f>
        <v>0</v>
      </c>
      <c r="MBR77" s="223">
        <f xml:space="preserve"> InputsTS!MBR$184</f>
        <v>0</v>
      </c>
      <c r="MBS77" s="223">
        <f xml:space="preserve"> InputsTS!MBS$184</f>
        <v>0</v>
      </c>
      <c r="MBT77" s="223">
        <f xml:space="preserve"> InputsTS!MBT$184</f>
        <v>0</v>
      </c>
      <c r="MBU77" s="223">
        <f xml:space="preserve"> InputsTS!MBU$184</f>
        <v>0</v>
      </c>
      <c r="MBV77" s="223">
        <f xml:space="preserve"> InputsTS!MBV$184</f>
        <v>0</v>
      </c>
      <c r="MBW77" s="223">
        <f xml:space="preserve"> InputsTS!MBW$184</f>
        <v>0</v>
      </c>
      <c r="MBX77" s="223">
        <f xml:space="preserve"> InputsTS!MBX$184</f>
        <v>0</v>
      </c>
      <c r="MBY77" s="223">
        <f xml:space="preserve"> InputsTS!MBY$184</f>
        <v>0</v>
      </c>
      <c r="MBZ77" s="223">
        <f xml:space="preserve"> InputsTS!MBZ$184</f>
        <v>0</v>
      </c>
      <c r="MCA77" s="223">
        <f xml:space="preserve"> InputsTS!MCA$184</f>
        <v>0</v>
      </c>
      <c r="MCB77" s="223">
        <f xml:space="preserve"> InputsTS!MCB$184</f>
        <v>0</v>
      </c>
      <c r="MCC77" s="223">
        <f xml:space="preserve"> InputsTS!MCC$184</f>
        <v>0</v>
      </c>
      <c r="MCD77" s="223">
        <f xml:space="preserve"> InputsTS!MCD$184</f>
        <v>0</v>
      </c>
      <c r="MCE77" s="223">
        <f xml:space="preserve"> InputsTS!MCE$184</f>
        <v>0</v>
      </c>
      <c r="MCF77" s="223">
        <f xml:space="preserve"> InputsTS!MCF$184</f>
        <v>0</v>
      </c>
      <c r="MCG77" s="223">
        <f xml:space="preserve"> InputsTS!MCG$184</f>
        <v>0</v>
      </c>
      <c r="MCH77" s="223">
        <f xml:space="preserve"> InputsTS!MCH$184</f>
        <v>0</v>
      </c>
      <c r="MCI77" s="223">
        <f xml:space="preserve"> InputsTS!MCI$184</f>
        <v>0</v>
      </c>
      <c r="MCJ77" s="223">
        <f xml:space="preserve"> InputsTS!MCJ$184</f>
        <v>0</v>
      </c>
      <c r="MCK77" s="223">
        <f xml:space="preserve"> InputsTS!MCK$184</f>
        <v>0</v>
      </c>
      <c r="MCL77" s="223">
        <f xml:space="preserve"> InputsTS!MCL$184</f>
        <v>0</v>
      </c>
      <c r="MCM77" s="223">
        <f xml:space="preserve"> InputsTS!MCM$184</f>
        <v>0</v>
      </c>
      <c r="MCN77" s="223">
        <f xml:space="preserve"> InputsTS!MCN$184</f>
        <v>0</v>
      </c>
      <c r="MCO77" s="223">
        <f xml:space="preserve"> InputsTS!MCO$184</f>
        <v>0</v>
      </c>
      <c r="MCP77" s="223">
        <f xml:space="preserve"> InputsTS!MCP$184</f>
        <v>0</v>
      </c>
      <c r="MCQ77" s="223">
        <f xml:space="preserve"> InputsTS!MCQ$184</f>
        <v>0</v>
      </c>
      <c r="MCR77" s="223">
        <f xml:space="preserve"> InputsTS!MCR$184</f>
        <v>0</v>
      </c>
      <c r="MCS77" s="223">
        <f xml:space="preserve"> InputsTS!MCS$184</f>
        <v>0</v>
      </c>
      <c r="MCT77" s="223">
        <f xml:space="preserve"> InputsTS!MCT$184</f>
        <v>0</v>
      </c>
      <c r="MCU77" s="223">
        <f xml:space="preserve"> InputsTS!MCU$184</f>
        <v>0</v>
      </c>
      <c r="MCV77" s="223">
        <f xml:space="preserve"> InputsTS!MCV$184</f>
        <v>0</v>
      </c>
      <c r="MCW77" s="223">
        <f xml:space="preserve"> InputsTS!MCW$184</f>
        <v>0</v>
      </c>
      <c r="MCX77" s="223">
        <f xml:space="preserve"> InputsTS!MCX$184</f>
        <v>0</v>
      </c>
      <c r="MCY77" s="223">
        <f xml:space="preserve"> InputsTS!MCY$184</f>
        <v>0</v>
      </c>
      <c r="MCZ77" s="223">
        <f xml:space="preserve"> InputsTS!MCZ$184</f>
        <v>0</v>
      </c>
      <c r="MDA77" s="223">
        <f xml:space="preserve"> InputsTS!MDA$184</f>
        <v>0</v>
      </c>
      <c r="MDB77" s="223">
        <f xml:space="preserve"> InputsTS!MDB$184</f>
        <v>0</v>
      </c>
      <c r="MDC77" s="223">
        <f xml:space="preserve"> InputsTS!MDC$184</f>
        <v>0</v>
      </c>
      <c r="MDD77" s="223">
        <f xml:space="preserve"> InputsTS!MDD$184</f>
        <v>0</v>
      </c>
      <c r="MDE77" s="223">
        <f xml:space="preserve"> InputsTS!MDE$184</f>
        <v>0</v>
      </c>
      <c r="MDF77" s="223">
        <f xml:space="preserve"> InputsTS!MDF$184</f>
        <v>0</v>
      </c>
      <c r="MDG77" s="223">
        <f xml:space="preserve"> InputsTS!MDG$184</f>
        <v>0</v>
      </c>
      <c r="MDH77" s="223">
        <f xml:space="preserve"> InputsTS!MDH$184</f>
        <v>0</v>
      </c>
      <c r="MDI77" s="223">
        <f xml:space="preserve"> InputsTS!MDI$184</f>
        <v>0</v>
      </c>
      <c r="MDJ77" s="223">
        <f xml:space="preserve"> InputsTS!MDJ$184</f>
        <v>0</v>
      </c>
      <c r="MDK77" s="223">
        <f xml:space="preserve"> InputsTS!MDK$184</f>
        <v>0</v>
      </c>
      <c r="MDL77" s="223">
        <f xml:space="preserve"> InputsTS!MDL$184</f>
        <v>0</v>
      </c>
      <c r="MDM77" s="223">
        <f xml:space="preserve"> InputsTS!MDM$184</f>
        <v>0</v>
      </c>
      <c r="MDN77" s="223">
        <f xml:space="preserve"> InputsTS!MDN$184</f>
        <v>0</v>
      </c>
      <c r="MDO77" s="223">
        <f xml:space="preserve"> InputsTS!MDO$184</f>
        <v>0</v>
      </c>
      <c r="MDP77" s="223">
        <f xml:space="preserve"> InputsTS!MDP$184</f>
        <v>0</v>
      </c>
      <c r="MDQ77" s="223">
        <f xml:space="preserve"> InputsTS!MDQ$184</f>
        <v>0</v>
      </c>
      <c r="MDR77" s="223">
        <f xml:space="preserve"> InputsTS!MDR$184</f>
        <v>0</v>
      </c>
      <c r="MDS77" s="223">
        <f xml:space="preserve"> InputsTS!MDS$184</f>
        <v>0</v>
      </c>
      <c r="MDT77" s="223">
        <f xml:space="preserve"> InputsTS!MDT$184</f>
        <v>0</v>
      </c>
      <c r="MDU77" s="223">
        <f xml:space="preserve"> InputsTS!MDU$184</f>
        <v>0</v>
      </c>
      <c r="MDV77" s="223">
        <f xml:space="preserve"> InputsTS!MDV$184</f>
        <v>0</v>
      </c>
      <c r="MDW77" s="223">
        <f xml:space="preserve"> InputsTS!MDW$184</f>
        <v>0</v>
      </c>
      <c r="MDX77" s="223">
        <f xml:space="preserve"> InputsTS!MDX$184</f>
        <v>0</v>
      </c>
      <c r="MDY77" s="223">
        <f xml:space="preserve"> InputsTS!MDY$184</f>
        <v>0</v>
      </c>
      <c r="MDZ77" s="223">
        <f xml:space="preserve"> InputsTS!MDZ$184</f>
        <v>0</v>
      </c>
      <c r="MEA77" s="223">
        <f xml:space="preserve"> InputsTS!MEA$184</f>
        <v>0</v>
      </c>
      <c r="MEB77" s="223">
        <f xml:space="preserve"> InputsTS!MEB$184</f>
        <v>0</v>
      </c>
      <c r="MEC77" s="223">
        <f xml:space="preserve"> InputsTS!MEC$184</f>
        <v>0</v>
      </c>
      <c r="MED77" s="223">
        <f xml:space="preserve"> InputsTS!MED$184</f>
        <v>0</v>
      </c>
      <c r="MEE77" s="223">
        <f xml:space="preserve"> InputsTS!MEE$184</f>
        <v>0</v>
      </c>
      <c r="MEF77" s="223">
        <f xml:space="preserve"> InputsTS!MEF$184</f>
        <v>0</v>
      </c>
      <c r="MEG77" s="223">
        <f xml:space="preserve"> InputsTS!MEG$184</f>
        <v>0</v>
      </c>
      <c r="MEH77" s="223">
        <f xml:space="preserve"> InputsTS!MEH$184</f>
        <v>0</v>
      </c>
      <c r="MEI77" s="223">
        <f xml:space="preserve"> InputsTS!MEI$184</f>
        <v>0</v>
      </c>
      <c r="MEJ77" s="223">
        <f xml:space="preserve"> InputsTS!MEJ$184</f>
        <v>0</v>
      </c>
      <c r="MEK77" s="223">
        <f xml:space="preserve"> InputsTS!MEK$184</f>
        <v>0</v>
      </c>
      <c r="MEL77" s="223">
        <f xml:space="preserve"> InputsTS!MEL$184</f>
        <v>0</v>
      </c>
      <c r="MEM77" s="223">
        <f xml:space="preserve"> InputsTS!MEM$184</f>
        <v>0</v>
      </c>
      <c r="MEN77" s="223">
        <f xml:space="preserve"> InputsTS!MEN$184</f>
        <v>0</v>
      </c>
      <c r="MEO77" s="223">
        <f xml:space="preserve"> InputsTS!MEO$184</f>
        <v>0</v>
      </c>
      <c r="MEP77" s="223">
        <f xml:space="preserve"> InputsTS!MEP$184</f>
        <v>0</v>
      </c>
      <c r="MEQ77" s="223">
        <f xml:space="preserve"> InputsTS!MEQ$184</f>
        <v>0</v>
      </c>
      <c r="MER77" s="223">
        <f xml:space="preserve"> InputsTS!MER$184</f>
        <v>0</v>
      </c>
      <c r="MES77" s="223">
        <f xml:space="preserve"> InputsTS!MES$184</f>
        <v>0</v>
      </c>
      <c r="MET77" s="223">
        <f xml:space="preserve"> InputsTS!MET$184</f>
        <v>0</v>
      </c>
      <c r="MEU77" s="223">
        <f xml:space="preserve"> InputsTS!MEU$184</f>
        <v>0</v>
      </c>
      <c r="MEV77" s="223">
        <f xml:space="preserve"> InputsTS!MEV$184</f>
        <v>0</v>
      </c>
      <c r="MEW77" s="223">
        <f xml:space="preserve"> InputsTS!MEW$184</f>
        <v>0</v>
      </c>
      <c r="MEX77" s="223">
        <f xml:space="preserve"> InputsTS!MEX$184</f>
        <v>0</v>
      </c>
      <c r="MEY77" s="223">
        <f xml:space="preserve"> InputsTS!MEY$184</f>
        <v>0</v>
      </c>
      <c r="MEZ77" s="223">
        <f xml:space="preserve"> InputsTS!MEZ$184</f>
        <v>0</v>
      </c>
      <c r="MFA77" s="223">
        <f xml:space="preserve"> InputsTS!MFA$184</f>
        <v>0</v>
      </c>
      <c r="MFB77" s="223">
        <f xml:space="preserve"> InputsTS!MFB$184</f>
        <v>0</v>
      </c>
      <c r="MFC77" s="223">
        <f xml:space="preserve"> InputsTS!MFC$184</f>
        <v>0</v>
      </c>
      <c r="MFD77" s="223">
        <f xml:space="preserve"> InputsTS!MFD$184</f>
        <v>0</v>
      </c>
      <c r="MFE77" s="223">
        <f xml:space="preserve"> InputsTS!MFE$184</f>
        <v>0</v>
      </c>
      <c r="MFF77" s="223">
        <f xml:space="preserve"> InputsTS!MFF$184</f>
        <v>0</v>
      </c>
      <c r="MFG77" s="223">
        <f xml:space="preserve"> InputsTS!MFG$184</f>
        <v>0</v>
      </c>
      <c r="MFH77" s="223">
        <f xml:space="preserve"> InputsTS!MFH$184</f>
        <v>0</v>
      </c>
      <c r="MFI77" s="223">
        <f xml:space="preserve"> InputsTS!MFI$184</f>
        <v>0</v>
      </c>
      <c r="MFJ77" s="223">
        <f xml:space="preserve"> InputsTS!MFJ$184</f>
        <v>0</v>
      </c>
      <c r="MFK77" s="223">
        <f xml:space="preserve"> InputsTS!MFK$184</f>
        <v>0</v>
      </c>
      <c r="MFL77" s="223">
        <f xml:space="preserve"> InputsTS!MFL$184</f>
        <v>0</v>
      </c>
      <c r="MFM77" s="223">
        <f xml:space="preserve"> InputsTS!MFM$184</f>
        <v>0</v>
      </c>
      <c r="MFN77" s="223">
        <f xml:space="preserve"> InputsTS!MFN$184</f>
        <v>0</v>
      </c>
      <c r="MFO77" s="223">
        <f xml:space="preserve"> InputsTS!MFO$184</f>
        <v>0</v>
      </c>
      <c r="MFP77" s="223">
        <f xml:space="preserve"> InputsTS!MFP$184</f>
        <v>0</v>
      </c>
      <c r="MFQ77" s="223">
        <f xml:space="preserve"> InputsTS!MFQ$184</f>
        <v>0</v>
      </c>
      <c r="MFR77" s="223">
        <f xml:space="preserve"> InputsTS!MFR$184</f>
        <v>0</v>
      </c>
      <c r="MFS77" s="223">
        <f xml:space="preserve"> InputsTS!MFS$184</f>
        <v>0</v>
      </c>
      <c r="MFT77" s="223">
        <f xml:space="preserve"> InputsTS!MFT$184</f>
        <v>0</v>
      </c>
      <c r="MFU77" s="223">
        <f xml:space="preserve"> InputsTS!MFU$184</f>
        <v>0</v>
      </c>
      <c r="MFV77" s="223">
        <f xml:space="preserve"> InputsTS!MFV$184</f>
        <v>0</v>
      </c>
      <c r="MFW77" s="223">
        <f xml:space="preserve"> InputsTS!MFW$184</f>
        <v>0</v>
      </c>
      <c r="MFX77" s="223">
        <f xml:space="preserve"> InputsTS!MFX$184</f>
        <v>0</v>
      </c>
      <c r="MFY77" s="223">
        <f xml:space="preserve"> InputsTS!MFY$184</f>
        <v>0</v>
      </c>
      <c r="MFZ77" s="223">
        <f xml:space="preserve"> InputsTS!MFZ$184</f>
        <v>0</v>
      </c>
      <c r="MGA77" s="223">
        <f xml:space="preserve"> InputsTS!MGA$184</f>
        <v>0</v>
      </c>
      <c r="MGB77" s="223">
        <f xml:space="preserve"> InputsTS!MGB$184</f>
        <v>0</v>
      </c>
      <c r="MGC77" s="223">
        <f xml:space="preserve"> InputsTS!MGC$184</f>
        <v>0</v>
      </c>
      <c r="MGD77" s="223">
        <f xml:space="preserve"> InputsTS!MGD$184</f>
        <v>0</v>
      </c>
      <c r="MGE77" s="223">
        <f xml:space="preserve"> InputsTS!MGE$184</f>
        <v>0</v>
      </c>
      <c r="MGF77" s="223">
        <f xml:space="preserve"> InputsTS!MGF$184</f>
        <v>0</v>
      </c>
      <c r="MGG77" s="223">
        <f xml:space="preserve"> InputsTS!MGG$184</f>
        <v>0</v>
      </c>
      <c r="MGH77" s="223">
        <f xml:space="preserve"> InputsTS!MGH$184</f>
        <v>0</v>
      </c>
      <c r="MGI77" s="223">
        <f xml:space="preserve"> InputsTS!MGI$184</f>
        <v>0</v>
      </c>
      <c r="MGJ77" s="223">
        <f xml:space="preserve"> InputsTS!MGJ$184</f>
        <v>0</v>
      </c>
      <c r="MGK77" s="223">
        <f xml:space="preserve"> InputsTS!MGK$184</f>
        <v>0</v>
      </c>
      <c r="MGL77" s="223">
        <f xml:space="preserve"> InputsTS!MGL$184</f>
        <v>0</v>
      </c>
      <c r="MGM77" s="223">
        <f xml:space="preserve"> InputsTS!MGM$184</f>
        <v>0</v>
      </c>
      <c r="MGN77" s="223">
        <f xml:space="preserve"> InputsTS!MGN$184</f>
        <v>0</v>
      </c>
      <c r="MGO77" s="223">
        <f xml:space="preserve"> InputsTS!MGO$184</f>
        <v>0</v>
      </c>
      <c r="MGP77" s="223">
        <f xml:space="preserve"> InputsTS!MGP$184</f>
        <v>0</v>
      </c>
      <c r="MGQ77" s="223">
        <f xml:space="preserve"> InputsTS!MGQ$184</f>
        <v>0</v>
      </c>
      <c r="MGR77" s="223">
        <f xml:space="preserve"> InputsTS!MGR$184</f>
        <v>0</v>
      </c>
      <c r="MGS77" s="223">
        <f xml:space="preserve"> InputsTS!MGS$184</f>
        <v>0</v>
      </c>
      <c r="MGT77" s="223">
        <f xml:space="preserve"> InputsTS!MGT$184</f>
        <v>0</v>
      </c>
      <c r="MGU77" s="223">
        <f xml:space="preserve"> InputsTS!MGU$184</f>
        <v>0</v>
      </c>
      <c r="MGV77" s="223">
        <f xml:space="preserve"> InputsTS!MGV$184</f>
        <v>0</v>
      </c>
      <c r="MGW77" s="223">
        <f xml:space="preserve"> InputsTS!MGW$184</f>
        <v>0</v>
      </c>
      <c r="MGX77" s="223">
        <f xml:space="preserve"> InputsTS!MGX$184</f>
        <v>0</v>
      </c>
      <c r="MGY77" s="223">
        <f xml:space="preserve"> InputsTS!MGY$184</f>
        <v>0</v>
      </c>
      <c r="MGZ77" s="223">
        <f xml:space="preserve"> InputsTS!MGZ$184</f>
        <v>0</v>
      </c>
      <c r="MHA77" s="223">
        <f xml:space="preserve"> InputsTS!MHA$184</f>
        <v>0</v>
      </c>
      <c r="MHB77" s="223">
        <f xml:space="preserve"> InputsTS!MHB$184</f>
        <v>0</v>
      </c>
      <c r="MHC77" s="223">
        <f xml:space="preserve"> InputsTS!MHC$184</f>
        <v>0</v>
      </c>
      <c r="MHD77" s="223">
        <f xml:space="preserve"> InputsTS!MHD$184</f>
        <v>0</v>
      </c>
      <c r="MHE77" s="223">
        <f xml:space="preserve"> InputsTS!MHE$184</f>
        <v>0</v>
      </c>
      <c r="MHF77" s="223">
        <f xml:space="preserve"> InputsTS!MHF$184</f>
        <v>0</v>
      </c>
      <c r="MHG77" s="223">
        <f xml:space="preserve"> InputsTS!MHG$184</f>
        <v>0</v>
      </c>
      <c r="MHH77" s="223">
        <f xml:space="preserve"> InputsTS!MHH$184</f>
        <v>0</v>
      </c>
      <c r="MHI77" s="223">
        <f xml:space="preserve"> InputsTS!MHI$184</f>
        <v>0</v>
      </c>
      <c r="MHJ77" s="223">
        <f xml:space="preserve"> InputsTS!MHJ$184</f>
        <v>0</v>
      </c>
      <c r="MHK77" s="223">
        <f xml:space="preserve"> InputsTS!MHK$184</f>
        <v>0</v>
      </c>
      <c r="MHL77" s="223">
        <f xml:space="preserve"> InputsTS!MHL$184</f>
        <v>0</v>
      </c>
      <c r="MHM77" s="223">
        <f xml:space="preserve"> InputsTS!MHM$184</f>
        <v>0</v>
      </c>
      <c r="MHN77" s="223">
        <f xml:space="preserve"> InputsTS!MHN$184</f>
        <v>0</v>
      </c>
      <c r="MHO77" s="223">
        <f xml:space="preserve"> InputsTS!MHO$184</f>
        <v>0</v>
      </c>
      <c r="MHP77" s="223">
        <f xml:space="preserve"> InputsTS!MHP$184</f>
        <v>0</v>
      </c>
      <c r="MHQ77" s="223">
        <f xml:space="preserve"> InputsTS!MHQ$184</f>
        <v>0</v>
      </c>
      <c r="MHR77" s="223">
        <f xml:space="preserve"> InputsTS!MHR$184</f>
        <v>0</v>
      </c>
      <c r="MHS77" s="223">
        <f xml:space="preserve"> InputsTS!MHS$184</f>
        <v>0</v>
      </c>
      <c r="MHT77" s="223">
        <f xml:space="preserve"> InputsTS!MHT$184</f>
        <v>0</v>
      </c>
      <c r="MHU77" s="223">
        <f xml:space="preserve"> InputsTS!MHU$184</f>
        <v>0</v>
      </c>
      <c r="MHV77" s="223">
        <f xml:space="preserve"> InputsTS!MHV$184</f>
        <v>0</v>
      </c>
      <c r="MHW77" s="223">
        <f xml:space="preserve"> InputsTS!MHW$184</f>
        <v>0</v>
      </c>
      <c r="MHX77" s="223">
        <f xml:space="preserve"> InputsTS!MHX$184</f>
        <v>0</v>
      </c>
      <c r="MHY77" s="223">
        <f xml:space="preserve"> InputsTS!MHY$184</f>
        <v>0</v>
      </c>
      <c r="MHZ77" s="223">
        <f xml:space="preserve"> InputsTS!MHZ$184</f>
        <v>0</v>
      </c>
      <c r="MIA77" s="223">
        <f xml:space="preserve"> InputsTS!MIA$184</f>
        <v>0</v>
      </c>
      <c r="MIB77" s="223">
        <f xml:space="preserve"> InputsTS!MIB$184</f>
        <v>0</v>
      </c>
      <c r="MIC77" s="223">
        <f xml:space="preserve"> InputsTS!MIC$184</f>
        <v>0</v>
      </c>
      <c r="MID77" s="223">
        <f xml:space="preserve"> InputsTS!MID$184</f>
        <v>0</v>
      </c>
      <c r="MIE77" s="223">
        <f xml:space="preserve"> InputsTS!MIE$184</f>
        <v>0</v>
      </c>
      <c r="MIF77" s="223">
        <f xml:space="preserve"> InputsTS!MIF$184</f>
        <v>0</v>
      </c>
      <c r="MIG77" s="223">
        <f xml:space="preserve"> InputsTS!MIG$184</f>
        <v>0</v>
      </c>
      <c r="MIH77" s="223">
        <f xml:space="preserve"> InputsTS!MIH$184</f>
        <v>0</v>
      </c>
      <c r="MII77" s="223">
        <f xml:space="preserve"> InputsTS!MII$184</f>
        <v>0</v>
      </c>
      <c r="MIJ77" s="223">
        <f xml:space="preserve"> InputsTS!MIJ$184</f>
        <v>0</v>
      </c>
      <c r="MIK77" s="223">
        <f xml:space="preserve"> InputsTS!MIK$184</f>
        <v>0</v>
      </c>
      <c r="MIL77" s="223">
        <f xml:space="preserve"> InputsTS!MIL$184</f>
        <v>0</v>
      </c>
      <c r="MIM77" s="223">
        <f xml:space="preserve"> InputsTS!MIM$184</f>
        <v>0</v>
      </c>
      <c r="MIN77" s="223">
        <f xml:space="preserve"> InputsTS!MIN$184</f>
        <v>0</v>
      </c>
      <c r="MIO77" s="223">
        <f xml:space="preserve"> InputsTS!MIO$184</f>
        <v>0</v>
      </c>
      <c r="MIP77" s="223">
        <f xml:space="preserve"> InputsTS!MIP$184</f>
        <v>0</v>
      </c>
      <c r="MIQ77" s="223">
        <f xml:space="preserve"> InputsTS!MIQ$184</f>
        <v>0</v>
      </c>
      <c r="MIR77" s="223">
        <f xml:space="preserve"> InputsTS!MIR$184</f>
        <v>0</v>
      </c>
      <c r="MIS77" s="223">
        <f xml:space="preserve"> InputsTS!MIS$184</f>
        <v>0</v>
      </c>
      <c r="MIT77" s="223">
        <f xml:space="preserve"> InputsTS!MIT$184</f>
        <v>0</v>
      </c>
      <c r="MIU77" s="223">
        <f xml:space="preserve"> InputsTS!MIU$184</f>
        <v>0</v>
      </c>
      <c r="MIV77" s="223">
        <f xml:space="preserve"> InputsTS!MIV$184</f>
        <v>0</v>
      </c>
      <c r="MIW77" s="223">
        <f xml:space="preserve"> InputsTS!MIW$184</f>
        <v>0</v>
      </c>
      <c r="MIX77" s="223">
        <f xml:space="preserve"> InputsTS!MIX$184</f>
        <v>0</v>
      </c>
      <c r="MIY77" s="223">
        <f xml:space="preserve"> InputsTS!MIY$184</f>
        <v>0</v>
      </c>
      <c r="MIZ77" s="223">
        <f xml:space="preserve"> InputsTS!MIZ$184</f>
        <v>0</v>
      </c>
      <c r="MJA77" s="223">
        <f xml:space="preserve"> InputsTS!MJA$184</f>
        <v>0</v>
      </c>
      <c r="MJB77" s="223">
        <f xml:space="preserve"> InputsTS!MJB$184</f>
        <v>0</v>
      </c>
      <c r="MJC77" s="223">
        <f xml:space="preserve"> InputsTS!MJC$184</f>
        <v>0</v>
      </c>
      <c r="MJD77" s="223">
        <f xml:space="preserve"> InputsTS!MJD$184</f>
        <v>0</v>
      </c>
      <c r="MJE77" s="223">
        <f xml:space="preserve"> InputsTS!MJE$184</f>
        <v>0</v>
      </c>
      <c r="MJF77" s="223">
        <f xml:space="preserve"> InputsTS!MJF$184</f>
        <v>0</v>
      </c>
      <c r="MJG77" s="223">
        <f xml:space="preserve"> InputsTS!MJG$184</f>
        <v>0</v>
      </c>
      <c r="MJH77" s="223">
        <f xml:space="preserve"> InputsTS!MJH$184</f>
        <v>0</v>
      </c>
      <c r="MJI77" s="223">
        <f xml:space="preserve"> InputsTS!MJI$184</f>
        <v>0</v>
      </c>
      <c r="MJJ77" s="223">
        <f xml:space="preserve"> InputsTS!MJJ$184</f>
        <v>0</v>
      </c>
      <c r="MJK77" s="223">
        <f xml:space="preserve"> InputsTS!MJK$184</f>
        <v>0</v>
      </c>
      <c r="MJL77" s="223">
        <f xml:space="preserve"> InputsTS!MJL$184</f>
        <v>0</v>
      </c>
      <c r="MJM77" s="223">
        <f xml:space="preserve"> InputsTS!MJM$184</f>
        <v>0</v>
      </c>
      <c r="MJN77" s="223">
        <f xml:space="preserve"> InputsTS!MJN$184</f>
        <v>0</v>
      </c>
      <c r="MJO77" s="223">
        <f xml:space="preserve"> InputsTS!MJO$184</f>
        <v>0</v>
      </c>
      <c r="MJP77" s="223">
        <f xml:space="preserve"> InputsTS!MJP$184</f>
        <v>0</v>
      </c>
      <c r="MJQ77" s="223">
        <f xml:space="preserve"> InputsTS!MJQ$184</f>
        <v>0</v>
      </c>
      <c r="MJR77" s="223">
        <f xml:space="preserve"> InputsTS!MJR$184</f>
        <v>0</v>
      </c>
      <c r="MJS77" s="223">
        <f xml:space="preserve"> InputsTS!MJS$184</f>
        <v>0</v>
      </c>
      <c r="MJT77" s="223">
        <f xml:space="preserve"> InputsTS!MJT$184</f>
        <v>0</v>
      </c>
      <c r="MJU77" s="223">
        <f xml:space="preserve"> InputsTS!MJU$184</f>
        <v>0</v>
      </c>
      <c r="MJV77" s="223">
        <f xml:space="preserve"> InputsTS!MJV$184</f>
        <v>0</v>
      </c>
      <c r="MJW77" s="223">
        <f xml:space="preserve"> InputsTS!MJW$184</f>
        <v>0</v>
      </c>
      <c r="MJX77" s="223">
        <f xml:space="preserve"> InputsTS!MJX$184</f>
        <v>0</v>
      </c>
      <c r="MJY77" s="223">
        <f xml:space="preserve"> InputsTS!MJY$184</f>
        <v>0</v>
      </c>
      <c r="MJZ77" s="223">
        <f xml:space="preserve"> InputsTS!MJZ$184</f>
        <v>0</v>
      </c>
      <c r="MKA77" s="223">
        <f xml:space="preserve"> InputsTS!MKA$184</f>
        <v>0</v>
      </c>
      <c r="MKB77" s="223">
        <f xml:space="preserve"> InputsTS!MKB$184</f>
        <v>0</v>
      </c>
      <c r="MKC77" s="223">
        <f xml:space="preserve"> InputsTS!MKC$184</f>
        <v>0</v>
      </c>
      <c r="MKD77" s="223">
        <f xml:space="preserve"> InputsTS!MKD$184</f>
        <v>0</v>
      </c>
      <c r="MKE77" s="223">
        <f xml:space="preserve"> InputsTS!MKE$184</f>
        <v>0</v>
      </c>
      <c r="MKF77" s="223">
        <f xml:space="preserve"> InputsTS!MKF$184</f>
        <v>0</v>
      </c>
      <c r="MKG77" s="223">
        <f xml:space="preserve"> InputsTS!MKG$184</f>
        <v>0</v>
      </c>
      <c r="MKH77" s="223">
        <f xml:space="preserve"> InputsTS!MKH$184</f>
        <v>0</v>
      </c>
      <c r="MKI77" s="223">
        <f xml:space="preserve"> InputsTS!MKI$184</f>
        <v>0</v>
      </c>
      <c r="MKJ77" s="223">
        <f xml:space="preserve"> InputsTS!MKJ$184</f>
        <v>0</v>
      </c>
      <c r="MKK77" s="223">
        <f xml:space="preserve"> InputsTS!MKK$184</f>
        <v>0</v>
      </c>
      <c r="MKL77" s="223">
        <f xml:space="preserve"> InputsTS!MKL$184</f>
        <v>0</v>
      </c>
      <c r="MKM77" s="223">
        <f xml:space="preserve"> InputsTS!MKM$184</f>
        <v>0</v>
      </c>
      <c r="MKN77" s="223">
        <f xml:space="preserve"> InputsTS!MKN$184</f>
        <v>0</v>
      </c>
      <c r="MKO77" s="223">
        <f xml:space="preserve"> InputsTS!MKO$184</f>
        <v>0</v>
      </c>
      <c r="MKP77" s="223">
        <f xml:space="preserve"> InputsTS!MKP$184</f>
        <v>0</v>
      </c>
      <c r="MKQ77" s="223">
        <f xml:space="preserve"> InputsTS!MKQ$184</f>
        <v>0</v>
      </c>
      <c r="MKR77" s="223">
        <f xml:space="preserve"> InputsTS!MKR$184</f>
        <v>0</v>
      </c>
      <c r="MKS77" s="223">
        <f xml:space="preserve"> InputsTS!MKS$184</f>
        <v>0</v>
      </c>
      <c r="MKT77" s="223">
        <f xml:space="preserve"> InputsTS!MKT$184</f>
        <v>0</v>
      </c>
      <c r="MKU77" s="223">
        <f xml:space="preserve"> InputsTS!MKU$184</f>
        <v>0</v>
      </c>
      <c r="MKV77" s="223">
        <f xml:space="preserve"> InputsTS!MKV$184</f>
        <v>0</v>
      </c>
      <c r="MKW77" s="223">
        <f xml:space="preserve"> InputsTS!MKW$184</f>
        <v>0</v>
      </c>
      <c r="MKX77" s="223">
        <f xml:space="preserve"> InputsTS!MKX$184</f>
        <v>0</v>
      </c>
      <c r="MKY77" s="223">
        <f xml:space="preserve"> InputsTS!MKY$184</f>
        <v>0</v>
      </c>
      <c r="MKZ77" s="223">
        <f xml:space="preserve"> InputsTS!MKZ$184</f>
        <v>0</v>
      </c>
      <c r="MLA77" s="223">
        <f xml:space="preserve"> InputsTS!MLA$184</f>
        <v>0</v>
      </c>
      <c r="MLB77" s="223">
        <f xml:space="preserve"> InputsTS!MLB$184</f>
        <v>0</v>
      </c>
      <c r="MLC77" s="223">
        <f xml:space="preserve"> InputsTS!MLC$184</f>
        <v>0</v>
      </c>
      <c r="MLD77" s="223">
        <f xml:space="preserve"> InputsTS!MLD$184</f>
        <v>0</v>
      </c>
      <c r="MLE77" s="223">
        <f xml:space="preserve"> InputsTS!MLE$184</f>
        <v>0</v>
      </c>
      <c r="MLF77" s="223">
        <f xml:space="preserve"> InputsTS!MLF$184</f>
        <v>0</v>
      </c>
      <c r="MLG77" s="223">
        <f xml:space="preserve"> InputsTS!MLG$184</f>
        <v>0</v>
      </c>
      <c r="MLH77" s="223">
        <f xml:space="preserve"> InputsTS!MLH$184</f>
        <v>0</v>
      </c>
      <c r="MLI77" s="223">
        <f xml:space="preserve"> InputsTS!MLI$184</f>
        <v>0</v>
      </c>
      <c r="MLJ77" s="223">
        <f xml:space="preserve"> InputsTS!MLJ$184</f>
        <v>0</v>
      </c>
      <c r="MLK77" s="223">
        <f xml:space="preserve"> InputsTS!MLK$184</f>
        <v>0</v>
      </c>
      <c r="MLL77" s="223">
        <f xml:space="preserve"> InputsTS!MLL$184</f>
        <v>0</v>
      </c>
      <c r="MLM77" s="223">
        <f xml:space="preserve"> InputsTS!MLM$184</f>
        <v>0</v>
      </c>
      <c r="MLN77" s="223">
        <f xml:space="preserve"> InputsTS!MLN$184</f>
        <v>0</v>
      </c>
      <c r="MLO77" s="223">
        <f xml:space="preserve"> InputsTS!MLO$184</f>
        <v>0</v>
      </c>
      <c r="MLP77" s="223">
        <f xml:space="preserve"> InputsTS!MLP$184</f>
        <v>0</v>
      </c>
      <c r="MLQ77" s="223">
        <f xml:space="preserve"> InputsTS!MLQ$184</f>
        <v>0</v>
      </c>
      <c r="MLR77" s="223">
        <f xml:space="preserve"> InputsTS!MLR$184</f>
        <v>0</v>
      </c>
      <c r="MLS77" s="223">
        <f xml:space="preserve"> InputsTS!MLS$184</f>
        <v>0</v>
      </c>
      <c r="MLT77" s="223">
        <f xml:space="preserve"> InputsTS!MLT$184</f>
        <v>0</v>
      </c>
      <c r="MLU77" s="223">
        <f xml:space="preserve"> InputsTS!MLU$184</f>
        <v>0</v>
      </c>
      <c r="MLV77" s="223">
        <f xml:space="preserve"> InputsTS!MLV$184</f>
        <v>0</v>
      </c>
      <c r="MLW77" s="223">
        <f xml:space="preserve"> InputsTS!MLW$184</f>
        <v>0</v>
      </c>
      <c r="MLX77" s="223">
        <f xml:space="preserve"> InputsTS!MLX$184</f>
        <v>0</v>
      </c>
      <c r="MLY77" s="223">
        <f xml:space="preserve"> InputsTS!MLY$184</f>
        <v>0</v>
      </c>
      <c r="MLZ77" s="223">
        <f xml:space="preserve"> InputsTS!MLZ$184</f>
        <v>0</v>
      </c>
      <c r="MMA77" s="223">
        <f xml:space="preserve"> InputsTS!MMA$184</f>
        <v>0</v>
      </c>
      <c r="MMB77" s="223">
        <f xml:space="preserve"> InputsTS!MMB$184</f>
        <v>0</v>
      </c>
      <c r="MMC77" s="223">
        <f xml:space="preserve"> InputsTS!MMC$184</f>
        <v>0</v>
      </c>
      <c r="MMD77" s="223">
        <f xml:space="preserve"> InputsTS!MMD$184</f>
        <v>0</v>
      </c>
      <c r="MME77" s="223">
        <f xml:space="preserve"> InputsTS!MME$184</f>
        <v>0</v>
      </c>
      <c r="MMF77" s="223">
        <f xml:space="preserve"> InputsTS!MMF$184</f>
        <v>0</v>
      </c>
      <c r="MMG77" s="223">
        <f xml:space="preserve"> InputsTS!MMG$184</f>
        <v>0</v>
      </c>
      <c r="MMH77" s="223">
        <f xml:space="preserve"> InputsTS!MMH$184</f>
        <v>0</v>
      </c>
      <c r="MMI77" s="223">
        <f xml:space="preserve"> InputsTS!MMI$184</f>
        <v>0</v>
      </c>
      <c r="MMJ77" s="223">
        <f xml:space="preserve"> InputsTS!MMJ$184</f>
        <v>0</v>
      </c>
      <c r="MMK77" s="223">
        <f xml:space="preserve"> InputsTS!MMK$184</f>
        <v>0</v>
      </c>
      <c r="MML77" s="223">
        <f xml:space="preserve"> InputsTS!MML$184</f>
        <v>0</v>
      </c>
      <c r="MMM77" s="223">
        <f xml:space="preserve"> InputsTS!MMM$184</f>
        <v>0</v>
      </c>
      <c r="MMN77" s="223">
        <f xml:space="preserve"> InputsTS!MMN$184</f>
        <v>0</v>
      </c>
      <c r="MMO77" s="223">
        <f xml:space="preserve"> InputsTS!MMO$184</f>
        <v>0</v>
      </c>
      <c r="MMP77" s="223">
        <f xml:space="preserve"> InputsTS!MMP$184</f>
        <v>0</v>
      </c>
      <c r="MMQ77" s="223">
        <f xml:space="preserve"> InputsTS!MMQ$184</f>
        <v>0</v>
      </c>
      <c r="MMR77" s="223">
        <f xml:space="preserve"> InputsTS!MMR$184</f>
        <v>0</v>
      </c>
      <c r="MMS77" s="223">
        <f xml:space="preserve"> InputsTS!MMS$184</f>
        <v>0</v>
      </c>
      <c r="MMT77" s="223">
        <f xml:space="preserve"> InputsTS!MMT$184</f>
        <v>0</v>
      </c>
      <c r="MMU77" s="223">
        <f xml:space="preserve"> InputsTS!MMU$184</f>
        <v>0</v>
      </c>
      <c r="MMV77" s="223">
        <f xml:space="preserve"> InputsTS!MMV$184</f>
        <v>0</v>
      </c>
      <c r="MMW77" s="223">
        <f xml:space="preserve"> InputsTS!MMW$184</f>
        <v>0</v>
      </c>
      <c r="MMX77" s="223">
        <f xml:space="preserve"> InputsTS!MMX$184</f>
        <v>0</v>
      </c>
      <c r="MMY77" s="223">
        <f xml:space="preserve"> InputsTS!MMY$184</f>
        <v>0</v>
      </c>
      <c r="MMZ77" s="223">
        <f xml:space="preserve"> InputsTS!MMZ$184</f>
        <v>0</v>
      </c>
      <c r="MNA77" s="223">
        <f xml:space="preserve"> InputsTS!MNA$184</f>
        <v>0</v>
      </c>
      <c r="MNB77" s="223">
        <f xml:space="preserve"> InputsTS!MNB$184</f>
        <v>0</v>
      </c>
      <c r="MNC77" s="223">
        <f xml:space="preserve"> InputsTS!MNC$184</f>
        <v>0</v>
      </c>
      <c r="MND77" s="223">
        <f xml:space="preserve"> InputsTS!MND$184</f>
        <v>0</v>
      </c>
      <c r="MNE77" s="223">
        <f xml:space="preserve"> InputsTS!MNE$184</f>
        <v>0</v>
      </c>
      <c r="MNF77" s="223">
        <f xml:space="preserve"> InputsTS!MNF$184</f>
        <v>0</v>
      </c>
      <c r="MNG77" s="223">
        <f xml:space="preserve"> InputsTS!MNG$184</f>
        <v>0</v>
      </c>
      <c r="MNH77" s="223">
        <f xml:space="preserve"> InputsTS!MNH$184</f>
        <v>0</v>
      </c>
      <c r="MNI77" s="223">
        <f xml:space="preserve"> InputsTS!MNI$184</f>
        <v>0</v>
      </c>
      <c r="MNJ77" s="223">
        <f xml:space="preserve"> InputsTS!MNJ$184</f>
        <v>0</v>
      </c>
      <c r="MNK77" s="223">
        <f xml:space="preserve"> InputsTS!MNK$184</f>
        <v>0</v>
      </c>
      <c r="MNL77" s="223">
        <f xml:space="preserve"> InputsTS!MNL$184</f>
        <v>0</v>
      </c>
      <c r="MNM77" s="223">
        <f xml:space="preserve"> InputsTS!MNM$184</f>
        <v>0</v>
      </c>
      <c r="MNN77" s="223">
        <f xml:space="preserve"> InputsTS!MNN$184</f>
        <v>0</v>
      </c>
      <c r="MNO77" s="223">
        <f xml:space="preserve"> InputsTS!MNO$184</f>
        <v>0</v>
      </c>
      <c r="MNP77" s="223">
        <f xml:space="preserve"> InputsTS!MNP$184</f>
        <v>0</v>
      </c>
      <c r="MNQ77" s="223">
        <f xml:space="preserve"> InputsTS!MNQ$184</f>
        <v>0</v>
      </c>
      <c r="MNR77" s="223">
        <f xml:space="preserve"> InputsTS!MNR$184</f>
        <v>0</v>
      </c>
      <c r="MNS77" s="223">
        <f xml:space="preserve"> InputsTS!MNS$184</f>
        <v>0</v>
      </c>
      <c r="MNT77" s="223">
        <f xml:space="preserve"> InputsTS!MNT$184</f>
        <v>0</v>
      </c>
      <c r="MNU77" s="223">
        <f xml:space="preserve"> InputsTS!MNU$184</f>
        <v>0</v>
      </c>
      <c r="MNV77" s="223">
        <f xml:space="preserve"> InputsTS!MNV$184</f>
        <v>0</v>
      </c>
      <c r="MNW77" s="223">
        <f xml:space="preserve"> InputsTS!MNW$184</f>
        <v>0</v>
      </c>
      <c r="MNX77" s="223">
        <f xml:space="preserve"> InputsTS!MNX$184</f>
        <v>0</v>
      </c>
      <c r="MNY77" s="223">
        <f xml:space="preserve"> InputsTS!MNY$184</f>
        <v>0</v>
      </c>
      <c r="MNZ77" s="223">
        <f xml:space="preserve"> InputsTS!MNZ$184</f>
        <v>0</v>
      </c>
      <c r="MOA77" s="223">
        <f xml:space="preserve"> InputsTS!MOA$184</f>
        <v>0</v>
      </c>
      <c r="MOB77" s="223">
        <f xml:space="preserve"> InputsTS!MOB$184</f>
        <v>0</v>
      </c>
      <c r="MOC77" s="223">
        <f xml:space="preserve"> InputsTS!MOC$184</f>
        <v>0</v>
      </c>
      <c r="MOD77" s="223">
        <f xml:space="preserve"> InputsTS!MOD$184</f>
        <v>0</v>
      </c>
      <c r="MOE77" s="223">
        <f xml:space="preserve"> InputsTS!MOE$184</f>
        <v>0</v>
      </c>
      <c r="MOF77" s="223">
        <f xml:space="preserve"> InputsTS!MOF$184</f>
        <v>0</v>
      </c>
      <c r="MOG77" s="223">
        <f xml:space="preserve"> InputsTS!MOG$184</f>
        <v>0</v>
      </c>
      <c r="MOH77" s="223">
        <f xml:space="preserve"> InputsTS!MOH$184</f>
        <v>0</v>
      </c>
      <c r="MOI77" s="223">
        <f xml:space="preserve"> InputsTS!MOI$184</f>
        <v>0</v>
      </c>
      <c r="MOJ77" s="223">
        <f xml:space="preserve"> InputsTS!MOJ$184</f>
        <v>0</v>
      </c>
      <c r="MOK77" s="223">
        <f xml:space="preserve"> InputsTS!MOK$184</f>
        <v>0</v>
      </c>
      <c r="MOL77" s="223">
        <f xml:space="preserve"> InputsTS!MOL$184</f>
        <v>0</v>
      </c>
      <c r="MOM77" s="223">
        <f xml:space="preserve"> InputsTS!MOM$184</f>
        <v>0</v>
      </c>
      <c r="MON77" s="223">
        <f xml:space="preserve"> InputsTS!MON$184</f>
        <v>0</v>
      </c>
      <c r="MOO77" s="223">
        <f xml:space="preserve"> InputsTS!MOO$184</f>
        <v>0</v>
      </c>
      <c r="MOP77" s="223">
        <f xml:space="preserve"> InputsTS!MOP$184</f>
        <v>0</v>
      </c>
      <c r="MOQ77" s="223">
        <f xml:space="preserve"> InputsTS!MOQ$184</f>
        <v>0</v>
      </c>
      <c r="MOR77" s="223">
        <f xml:space="preserve"> InputsTS!MOR$184</f>
        <v>0</v>
      </c>
      <c r="MOS77" s="223">
        <f xml:space="preserve"> InputsTS!MOS$184</f>
        <v>0</v>
      </c>
      <c r="MOT77" s="223">
        <f xml:space="preserve"> InputsTS!MOT$184</f>
        <v>0</v>
      </c>
      <c r="MOU77" s="223">
        <f xml:space="preserve"> InputsTS!MOU$184</f>
        <v>0</v>
      </c>
      <c r="MOV77" s="223">
        <f xml:space="preserve"> InputsTS!MOV$184</f>
        <v>0</v>
      </c>
      <c r="MOW77" s="223">
        <f xml:space="preserve"> InputsTS!MOW$184</f>
        <v>0</v>
      </c>
      <c r="MOX77" s="223">
        <f xml:space="preserve"> InputsTS!MOX$184</f>
        <v>0</v>
      </c>
      <c r="MOY77" s="223">
        <f xml:space="preserve"> InputsTS!MOY$184</f>
        <v>0</v>
      </c>
      <c r="MOZ77" s="223">
        <f xml:space="preserve"> InputsTS!MOZ$184</f>
        <v>0</v>
      </c>
      <c r="MPA77" s="223">
        <f xml:space="preserve"> InputsTS!MPA$184</f>
        <v>0</v>
      </c>
      <c r="MPB77" s="223">
        <f xml:space="preserve"> InputsTS!MPB$184</f>
        <v>0</v>
      </c>
      <c r="MPC77" s="223">
        <f xml:space="preserve"> InputsTS!MPC$184</f>
        <v>0</v>
      </c>
      <c r="MPD77" s="223">
        <f xml:space="preserve"> InputsTS!MPD$184</f>
        <v>0</v>
      </c>
      <c r="MPE77" s="223">
        <f xml:space="preserve"> InputsTS!MPE$184</f>
        <v>0</v>
      </c>
      <c r="MPF77" s="223">
        <f xml:space="preserve"> InputsTS!MPF$184</f>
        <v>0</v>
      </c>
      <c r="MPG77" s="223">
        <f xml:space="preserve"> InputsTS!MPG$184</f>
        <v>0</v>
      </c>
      <c r="MPH77" s="223">
        <f xml:space="preserve"> InputsTS!MPH$184</f>
        <v>0</v>
      </c>
      <c r="MPI77" s="223">
        <f xml:space="preserve"> InputsTS!MPI$184</f>
        <v>0</v>
      </c>
      <c r="MPJ77" s="223">
        <f xml:space="preserve"> InputsTS!MPJ$184</f>
        <v>0</v>
      </c>
      <c r="MPK77" s="223">
        <f xml:space="preserve"> InputsTS!MPK$184</f>
        <v>0</v>
      </c>
      <c r="MPL77" s="223">
        <f xml:space="preserve"> InputsTS!MPL$184</f>
        <v>0</v>
      </c>
      <c r="MPM77" s="223">
        <f xml:space="preserve"> InputsTS!MPM$184</f>
        <v>0</v>
      </c>
      <c r="MPN77" s="223">
        <f xml:space="preserve"> InputsTS!MPN$184</f>
        <v>0</v>
      </c>
      <c r="MPO77" s="223">
        <f xml:space="preserve"> InputsTS!MPO$184</f>
        <v>0</v>
      </c>
      <c r="MPP77" s="223">
        <f xml:space="preserve"> InputsTS!MPP$184</f>
        <v>0</v>
      </c>
      <c r="MPQ77" s="223">
        <f xml:space="preserve"> InputsTS!MPQ$184</f>
        <v>0</v>
      </c>
      <c r="MPR77" s="223">
        <f xml:space="preserve"> InputsTS!MPR$184</f>
        <v>0</v>
      </c>
      <c r="MPS77" s="223">
        <f xml:space="preserve"> InputsTS!MPS$184</f>
        <v>0</v>
      </c>
      <c r="MPT77" s="223">
        <f xml:space="preserve"> InputsTS!MPT$184</f>
        <v>0</v>
      </c>
      <c r="MPU77" s="223">
        <f xml:space="preserve"> InputsTS!MPU$184</f>
        <v>0</v>
      </c>
      <c r="MPV77" s="223">
        <f xml:space="preserve"> InputsTS!MPV$184</f>
        <v>0</v>
      </c>
      <c r="MPW77" s="223">
        <f xml:space="preserve"> InputsTS!MPW$184</f>
        <v>0</v>
      </c>
      <c r="MPX77" s="223">
        <f xml:space="preserve"> InputsTS!MPX$184</f>
        <v>0</v>
      </c>
      <c r="MPY77" s="223">
        <f xml:space="preserve"> InputsTS!MPY$184</f>
        <v>0</v>
      </c>
      <c r="MPZ77" s="223">
        <f xml:space="preserve"> InputsTS!MPZ$184</f>
        <v>0</v>
      </c>
      <c r="MQA77" s="223">
        <f xml:space="preserve"> InputsTS!MQA$184</f>
        <v>0</v>
      </c>
      <c r="MQB77" s="223">
        <f xml:space="preserve"> InputsTS!MQB$184</f>
        <v>0</v>
      </c>
      <c r="MQC77" s="223">
        <f xml:space="preserve"> InputsTS!MQC$184</f>
        <v>0</v>
      </c>
      <c r="MQD77" s="223">
        <f xml:space="preserve"> InputsTS!MQD$184</f>
        <v>0</v>
      </c>
      <c r="MQE77" s="223">
        <f xml:space="preserve"> InputsTS!MQE$184</f>
        <v>0</v>
      </c>
      <c r="MQF77" s="223">
        <f xml:space="preserve"> InputsTS!MQF$184</f>
        <v>0</v>
      </c>
      <c r="MQG77" s="223">
        <f xml:space="preserve"> InputsTS!MQG$184</f>
        <v>0</v>
      </c>
      <c r="MQH77" s="223">
        <f xml:space="preserve"> InputsTS!MQH$184</f>
        <v>0</v>
      </c>
      <c r="MQI77" s="223">
        <f xml:space="preserve"> InputsTS!MQI$184</f>
        <v>0</v>
      </c>
      <c r="MQJ77" s="223">
        <f xml:space="preserve"> InputsTS!MQJ$184</f>
        <v>0</v>
      </c>
      <c r="MQK77" s="223">
        <f xml:space="preserve"> InputsTS!MQK$184</f>
        <v>0</v>
      </c>
      <c r="MQL77" s="223">
        <f xml:space="preserve"> InputsTS!MQL$184</f>
        <v>0</v>
      </c>
      <c r="MQM77" s="223">
        <f xml:space="preserve"> InputsTS!MQM$184</f>
        <v>0</v>
      </c>
      <c r="MQN77" s="223">
        <f xml:space="preserve"> InputsTS!MQN$184</f>
        <v>0</v>
      </c>
      <c r="MQO77" s="223">
        <f xml:space="preserve"> InputsTS!MQO$184</f>
        <v>0</v>
      </c>
      <c r="MQP77" s="223">
        <f xml:space="preserve"> InputsTS!MQP$184</f>
        <v>0</v>
      </c>
      <c r="MQQ77" s="223">
        <f xml:space="preserve"> InputsTS!MQQ$184</f>
        <v>0</v>
      </c>
      <c r="MQR77" s="223">
        <f xml:space="preserve"> InputsTS!MQR$184</f>
        <v>0</v>
      </c>
      <c r="MQS77" s="223">
        <f xml:space="preserve"> InputsTS!MQS$184</f>
        <v>0</v>
      </c>
      <c r="MQT77" s="223">
        <f xml:space="preserve"> InputsTS!MQT$184</f>
        <v>0</v>
      </c>
      <c r="MQU77" s="223">
        <f xml:space="preserve"> InputsTS!MQU$184</f>
        <v>0</v>
      </c>
      <c r="MQV77" s="223">
        <f xml:space="preserve"> InputsTS!MQV$184</f>
        <v>0</v>
      </c>
      <c r="MQW77" s="223">
        <f xml:space="preserve"> InputsTS!MQW$184</f>
        <v>0</v>
      </c>
      <c r="MQX77" s="223">
        <f xml:space="preserve"> InputsTS!MQX$184</f>
        <v>0</v>
      </c>
      <c r="MQY77" s="223">
        <f xml:space="preserve"> InputsTS!MQY$184</f>
        <v>0</v>
      </c>
      <c r="MQZ77" s="223">
        <f xml:space="preserve"> InputsTS!MQZ$184</f>
        <v>0</v>
      </c>
      <c r="MRA77" s="223">
        <f xml:space="preserve"> InputsTS!MRA$184</f>
        <v>0</v>
      </c>
      <c r="MRB77" s="223">
        <f xml:space="preserve"> InputsTS!MRB$184</f>
        <v>0</v>
      </c>
      <c r="MRC77" s="223">
        <f xml:space="preserve"> InputsTS!MRC$184</f>
        <v>0</v>
      </c>
      <c r="MRD77" s="223">
        <f xml:space="preserve"> InputsTS!MRD$184</f>
        <v>0</v>
      </c>
      <c r="MRE77" s="223">
        <f xml:space="preserve"> InputsTS!MRE$184</f>
        <v>0</v>
      </c>
      <c r="MRF77" s="223">
        <f xml:space="preserve"> InputsTS!MRF$184</f>
        <v>0</v>
      </c>
      <c r="MRG77" s="223">
        <f xml:space="preserve"> InputsTS!MRG$184</f>
        <v>0</v>
      </c>
      <c r="MRH77" s="223">
        <f xml:space="preserve"> InputsTS!MRH$184</f>
        <v>0</v>
      </c>
      <c r="MRI77" s="223">
        <f xml:space="preserve"> InputsTS!MRI$184</f>
        <v>0</v>
      </c>
      <c r="MRJ77" s="223">
        <f xml:space="preserve"> InputsTS!MRJ$184</f>
        <v>0</v>
      </c>
      <c r="MRK77" s="223">
        <f xml:space="preserve"> InputsTS!MRK$184</f>
        <v>0</v>
      </c>
      <c r="MRL77" s="223">
        <f xml:space="preserve"> InputsTS!MRL$184</f>
        <v>0</v>
      </c>
      <c r="MRM77" s="223">
        <f xml:space="preserve"> InputsTS!MRM$184</f>
        <v>0</v>
      </c>
      <c r="MRN77" s="223">
        <f xml:space="preserve"> InputsTS!MRN$184</f>
        <v>0</v>
      </c>
      <c r="MRO77" s="223">
        <f xml:space="preserve"> InputsTS!MRO$184</f>
        <v>0</v>
      </c>
      <c r="MRP77" s="223">
        <f xml:space="preserve"> InputsTS!MRP$184</f>
        <v>0</v>
      </c>
      <c r="MRQ77" s="223">
        <f xml:space="preserve"> InputsTS!MRQ$184</f>
        <v>0</v>
      </c>
      <c r="MRR77" s="223">
        <f xml:space="preserve"> InputsTS!MRR$184</f>
        <v>0</v>
      </c>
      <c r="MRS77" s="223">
        <f xml:space="preserve"> InputsTS!MRS$184</f>
        <v>0</v>
      </c>
      <c r="MRT77" s="223">
        <f xml:space="preserve"> InputsTS!MRT$184</f>
        <v>0</v>
      </c>
      <c r="MRU77" s="223">
        <f xml:space="preserve"> InputsTS!MRU$184</f>
        <v>0</v>
      </c>
      <c r="MRV77" s="223">
        <f xml:space="preserve"> InputsTS!MRV$184</f>
        <v>0</v>
      </c>
      <c r="MRW77" s="223">
        <f xml:space="preserve"> InputsTS!MRW$184</f>
        <v>0</v>
      </c>
      <c r="MRX77" s="223">
        <f xml:space="preserve"> InputsTS!MRX$184</f>
        <v>0</v>
      </c>
      <c r="MRY77" s="223">
        <f xml:space="preserve"> InputsTS!MRY$184</f>
        <v>0</v>
      </c>
      <c r="MRZ77" s="223">
        <f xml:space="preserve"> InputsTS!MRZ$184</f>
        <v>0</v>
      </c>
      <c r="MSA77" s="223">
        <f xml:space="preserve"> InputsTS!MSA$184</f>
        <v>0</v>
      </c>
      <c r="MSB77" s="223">
        <f xml:space="preserve"> InputsTS!MSB$184</f>
        <v>0</v>
      </c>
      <c r="MSC77" s="223">
        <f xml:space="preserve"> InputsTS!MSC$184</f>
        <v>0</v>
      </c>
      <c r="MSD77" s="223">
        <f xml:space="preserve"> InputsTS!MSD$184</f>
        <v>0</v>
      </c>
      <c r="MSE77" s="223">
        <f xml:space="preserve"> InputsTS!MSE$184</f>
        <v>0</v>
      </c>
      <c r="MSF77" s="223">
        <f xml:space="preserve"> InputsTS!MSF$184</f>
        <v>0</v>
      </c>
      <c r="MSG77" s="223">
        <f xml:space="preserve"> InputsTS!MSG$184</f>
        <v>0</v>
      </c>
      <c r="MSH77" s="223">
        <f xml:space="preserve"> InputsTS!MSH$184</f>
        <v>0</v>
      </c>
      <c r="MSI77" s="223">
        <f xml:space="preserve"> InputsTS!MSI$184</f>
        <v>0</v>
      </c>
      <c r="MSJ77" s="223">
        <f xml:space="preserve"> InputsTS!MSJ$184</f>
        <v>0</v>
      </c>
      <c r="MSK77" s="223">
        <f xml:space="preserve"> InputsTS!MSK$184</f>
        <v>0</v>
      </c>
      <c r="MSL77" s="223">
        <f xml:space="preserve"> InputsTS!MSL$184</f>
        <v>0</v>
      </c>
      <c r="MSM77" s="223">
        <f xml:space="preserve"> InputsTS!MSM$184</f>
        <v>0</v>
      </c>
      <c r="MSN77" s="223">
        <f xml:space="preserve"> InputsTS!MSN$184</f>
        <v>0</v>
      </c>
      <c r="MSO77" s="223">
        <f xml:space="preserve"> InputsTS!MSO$184</f>
        <v>0</v>
      </c>
      <c r="MSP77" s="223">
        <f xml:space="preserve"> InputsTS!MSP$184</f>
        <v>0</v>
      </c>
      <c r="MSQ77" s="223">
        <f xml:space="preserve"> InputsTS!MSQ$184</f>
        <v>0</v>
      </c>
      <c r="MSR77" s="223">
        <f xml:space="preserve"> InputsTS!MSR$184</f>
        <v>0</v>
      </c>
      <c r="MSS77" s="223">
        <f xml:space="preserve"> InputsTS!MSS$184</f>
        <v>0</v>
      </c>
      <c r="MST77" s="223">
        <f xml:space="preserve"> InputsTS!MST$184</f>
        <v>0</v>
      </c>
      <c r="MSU77" s="223">
        <f xml:space="preserve"> InputsTS!MSU$184</f>
        <v>0</v>
      </c>
      <c r="MSV77" s="223">
        <f xml:space="preserve"> InputsTS!MSV$184</f>
        <v>0</v>
      </c>
      <c r="MSW77" s="223">
        <f xml:space="preserve"> InputsTS!MSW$184</f>
        <v>0</v>
      </c>
      <c r="MSX77" s="223">
        <f xml:space="preserve"> InputsTS!MSX$184</f>
        <v>0</v>
      </c>
      <c r="MSY77" s="223">
        <f xml:space="preserve"> InputsTS!MSY$184</f>
        <v>0</v>
      </c>
      <c r="MSZ77" s="223">
        <f xml:space="preserve"> InputsTS!MSZ$184</f>
        <v>0</v>
      </c>
      <c r="MTA77" s="223">
        <f xml:space="preserve"> InputsTS!MTA$184</f>
        <v>0</v>
      </c>
      <c r="MTB77" s="223">
        <f xml:space="preserve"> InputsTS!MTB$184</f>
        <v>0</v>
      </c>
      <c r="MTC77" s="223">
        <f xml:space="preserve"> InputsTS!MTC$184</f>
        <v>0</v>
      </c>
      <c r="MTD77" s="223">
        <f xml:space="preserve"> InputsTS!MTD$184</f>
        <v>0</v>
      </c>
      <c r="MTE77" s="223">
        <f xml:space="preserve"> InputsTS!MTE$184</f>
        <v>0</v>
      </c>
      <c r="MTF77" s="223">
        <f xml:space="preserve"> InputsTS!MTF$184</f>
        <v>0</v>
      </c>
      <c r="MTG77" s="223">
        <f xml:space="preserve"> InputsTS!MTG$184</f>
        <v>0</v>
      </c>
      <c r="MTH77" s="223">
        <f xml:space="preserve"> InputsTS!MTH$184</f>
        <v>0</v>
      </c>
      <c r="MTI77" s="223">
        <f xml:space="preserve"> InputsTS!MTI$184</f>
        <v>0</v>
      </c>
      <c r="MTJ77" s="223">
        <f xml:space="preserve"> InputsTS!MTJ$184</f>
        <v>0</v>
      </c>
      <c r="MTK77" s="223">
        <f xml:space="preserve"> InputsTS!MTK$184</f>
        <v>0</v>
      </c>
      <c r="MTL77" s="223">
        <f xml:space="preserve"> InputsTS!MTL$184</f>
        <v>0</v>
      </c>
      <c r="MTM77" s="223">
        <f xml:space="preserve"> InputsTS!MTM$184</f>
        <v>0</v>
      </c>
      <c r="MTN77" s="223">
        <f xml:space="preserve"> InputsTS!MTN$184</f>
        <v>0</v>
      </c>
      <c r="MTO77" s="223">
        <f xml:space="preserve"> InputsTS!MTO$184</f>
        <v>0</v>
      </c>
      <c r="MTP77" s="223">
        <f xml:space="preserve"> InputsTS!MTP$184</f>
        <v>0</v>
      </c>
      <c r="MTQ77" s="223">
        <f xml:space="preserve"> InputsTS!MTQ$184</f>
        <v>0</v>
      </c>
      <c r="MTR77" s="223">
        <f xml:space="preserve"> InputsTS!MTR$184</f>
        <v>0</v>
      </c>
      <c r="MTS77" s="223">
        <f xml:space="preserve"> InputsTS!MTS$184</f>
        <v>0</v>
      </c>
      <c r="MTT77" s="223">
        <f xml:space="preserve"> InputsTS!MTT$184</f>
        <v>0</v>
      </c>
      <c r="MTU77" s="223">
        <f xml:space="preserve"> InputsTS!MTU$184</f>
        <v>0</v>
      </c>
      <c r="MTV77" s="223">
        <f xml:space="preserve"> InputsTS!MTV$184</f>
        <v>0</v>
      </c>
      <c r="MTW77" s="223">
        <f xml:space="preserve"> InputsTS!MTW$184</f>
        <v>0</v>
      </c>
      <c r="MTX77" s="223">
        <f xml:space="preserve"> InputsTS!MTX$184</f>
        <v>0</v>
      </c>
      <c r="MTY77" s="223">
        <f xml:space="preserve"> InputsTS!MTY$184</f>
        <v>0</v>
      </c>
      <c r="MTZ77" s="223">
        <f xml:space="preserve"> InputsTS!MTZ$184</f>
        <v>0</v>
      </c>
      <c r="MUA77" s="223">
        <f xml:space="preserve"> InputsTS!MUA$184</f>
        <v>0</v>
      </c>
      <c r="MUB77" s="223">
        <f xml:space="preserve"> InputsTS!MUB$184</f>
        <v>0</v>
      </c>
      <c r="MUC77" s="223">
        <f xml:space="preserve"> InputsTS!MUC$184</f>
        <v>0</v>
      </c>
      <c r="MUD77" s="223">
        <f xml:space="preserve"> InputsTS!MUD$184</f>
        <v>0</v>
      </c>
      <c r="MUE77" s="223">
        <f xml:space="preserve"> InputsTS!MUE$184</f>
        <v>0</v>
      </c>
      <c r="MUF77" s="223">
        <f xml:space="preserve"> InputsTS!MUF$184</f>
        <v>0</v>
      </c>
      <c r="MUG77" s="223">
        <f xml:space="preserve"> InputsTS!MUG$184</f>
        <v>0</v>
      </c>
      <c r="MUH77" s="223">
        <f xml:space="preserve"> InputsTS!MUH$184</f>
        <v>0</v>
      </c>
      <c r="MUI77" s="223">
        <f xml:space="preserve"> InputsTS!MUI$184</f>
        <v>0</v>
      </c>
      <c r="MUJ77" s="223">
        <f xml:space="preserve"> InputsTS!MUJ$184</f>
        <v>0</v>
      </c>
      <c r="MUK77" s="223">
        <f xml:space="preserve"> InputsTS!MUK$184</f>
        <v>0</v>
      </c>
      <c r="MUL77" s="223">
        <f xml:space="preserve"> InputsTS!MUL$184</f>
        <v>0</v>
      </c>
      <c r="MUM77" s="223">
        <f xml:space="preserve"> InputsTS!MUM$184</f>
        <v>0</v>
      </c>
      <c r="MUN77" s="223">
        <f xml:space="preserve"> InputsTS!MUN$184</f>
        <v>0</v>
      </c>
      <c r="MUO77" s="223">
        <f xml:space="preserve"> InputsTS!MUO$184</f>
        <v>0</v>
      </c>
      <c r="MUP77" s="223">
        <f xml:space="preserve"> InputsTS!MUP$184</f>
        <v>0</v>
      </c>
      <c r="MUQ77" s="223">
        <f xml:space="preserve"> InputsTS!MUQ$184</f>
        <v>0</v>
      </c>
      <c r="MUR77" s="223">
        <f xml:space="preserve"> InputsTS!MUR$184</f>
        <v>0</v>
      </c>
      <c r="MUS77" s="223">
        <f xml:space="preserve"> InputsTS!MUS$184</f>
        <v>0</v>
      </c>
      <c r="MUT77" s="223">
        <f xml:space="preserve"> InputsTS!MUT$184</f>
        <v>0</v>
      </c>
      <c r="MUU77" s="223">
        <f xml:space="preserve"> InputsTS!MUU$184</f>
        <v>0</v>
      </c>
      <c r="MUV77" s="223">
        <f xml:space="preserve"> InputsTS!MUV$184</f>
        <v>0</v>
      </c>
      <c r="MUW77" s="223">
        <f xml:space="preserve"> InputsTS!MUW$184</f>
        <v>0</v>
      </c>
      <c r="MUX77" s="223">
        <f xml:space="preserve"> InputsTS!MUX$184</f>
        <v>0</v>
      </c>
      <c r="MUY77" s="223">
        <f xml:space="preserve"> InputsTS!MUY$184</f>
        <v>0</v>
      </c>
      <c r="MUZ77" s="223">
        <f xml:space="preserve"> InputsTS!MUZ$184</f>
        <v>0</v>
      </c>
      <c r="MVA77" s="223">
        <f xml:space="preserve"> InputsTS!MVA$184</f>
        <v>0</v>
      </c>
      <c r="MVB77" s="223">
        <f xml:space="preserve"> InputsTS!MVB$184</f>
        <v>0</v>
      </c>
      <c r="MVC77" s="223">
        <f xml:space="preserve"> InputsTS!MVC$184</f>
        <v>0</v>
      </c>
      <c r="MVD77" s="223">
        <f xml:space="preserve"> InputsTS!MVD$184</f>
        <v>0</v>
      </c>
      <c r="MVE77" s="223">
        <f xml:space="preserve"> InputsTS!MVE$184</f>
        <v>0</v>
      </c>
      <c r="MVF77" s="223">
        <f xml:space="preserve"> InputsTS!MVF$184</f>
        <v>0</v>
      </c>
      <c r="MVG77" s="223">
        <f xml:space="preserve"> InputsTS!MVG$184</f>
        <v>0</v>
      </c>
      <c r="MVH77" s="223">
        <f xml:space="preserve"> InputsTS!MVH$184</f>
        <v>0</v>
      </c>
      <c r="MVI77" s="223">
        <f xml:space="preserve"> InputsTS!MVI$184</f>
        <v>0</v>
      </c>
      <c r="MVJ77" s="223">
        <f xml:space="preserve"> InputsTS!MVJ$184</f>
        <v>0</v>
      </c>
      <c r="MVK77" s="223">
        <f xml:space="preserve"> InputsTS!MVK$184</f>
        <v>0</v>
      </c>
      <c r="MVL77" s="223">
        <f xml:space="preserve"> InputsTS!MVL$184</f>
        <v>0</v>
      </c>
      <c r="MVM77" s="223">
        <f xml:space="preserve"> InputsTS!MVM$184</f>
        <v>0</v>
      </c>
      <c r="MVN77" s="223">
        <f xml:space="preserve"> InputsTS!MVN$184</f>
        <v>0</v>
      </c>
      <c r="MVO77" s="223">
        <f xml:space="preserve"> InputsTS!MVO$184</f>
        <v>0</v>
      </c>
      <c r="MVP77" s="223">
        <f xml:space="preserve"> InputsTS!MVP$184</f>
        <v>0</v>
      </c>
      <c r="MVQ77" s="223">
        <f xml:space="preserve"> InputsTS!MVQ$184</f>
        <v>0</v>
      </c>
      <c r="MVR77" s="223">
        <f xml:space="preserve"> InputsTS!MVR$184</f>
        <v>0</v>
      </c>
      <c r="MVS77" s="223">
        <f xml:space="preserve"> InputsTS!MVS$184</f>
        <v>0</v>
      </c>
      <c r="MVT77" s="223">
        <f xml:space="preserve"> InputsTS!MVT$184</f>
        <v>0</v>
      </c>
      <c r="MVU77" s="223">
        <f xml:space="preserve"> InputsTS!MVU$184</f>
        <v>0</v>
      </c>
      <c r="MVV77" s="223">
        <f xml:space="preserve"> InputsTS!MVV$184</f>
        <v>0</v>
      </c>
      <c r="MVW77" s="223">
        <f xml:space="preserve"> InputsTS!MVW$184</f>
        <v>0</v>
      </c>
      <c r="MVX77" s="223">
        <f xml:space="preserve"> InputsTS!MVX$184</f>
        <v>0</v>
      </c>
      <c r="MVY77" s="223">
        <f xml:space="preserve"> InputsTS!MVY$184</f>
        <v>0</v>
      </c>
      <c r="MVZ77" s="223">
        <f xml:space="preserve"> InputsTS!MVZ$184</f>
        <v>0</v>
      </c>
      <c r="MWA77" s="223">
        <f xml:space="preserve"> InputsTS!MWA$184</f>
        <v>0</v>
      </c>
      <c r="MWB77" s="223">
        <f xml:space="preserve"> InputsTS!MWB$184</f>
        <v>0</v>
      </c>
      <c r="MWC77" s="223">
        <f xml:space="preserve"> InputsTS!MWC$184</f>
        <v>0</v>
      </c>
      <c r="MWD77" s="223">
        <f xml:space="preserve"> InputsTS!MWD$184</f>
        <v>0</v>
      </c>
      <c r="MWE77" s="223">
        <f xml:space="preserve"> InputsTS!MWE$184</f>
        <v>0</v>
      </c>
      <c r="MWF77" s="223">
        <f xml:space="preserve"> InputsTS!MWF$184</f>
        <v>0</v>
      </c>
      <c r="MWG77" s="223">
        <f xml:space="preserve"> InputsTS!MWG$184</f>
        <v>0</v>
      </c>
      <c r="MWH77" s="223">
        <f xml:space="preserve"> InputsTS!MWH$184</f>
        <v>0</v>
      </c>
      <c r="MWI77" s="223">
        <f xml:space="preserve"> InputsTS!MWI$184</f>
        <v>0</v>
      </c>
      <c r="MWJ77" s="223">
        <f xml:space="preserve"> InputsTS!MWJ$184</f>
        <v>0</v>
      </c>
      <c r="MWK77" s="223">
        <f xml:space="preserve"> InputsTS!MWK$184</f>
        <v>0</v>
      </c>
      <c r="MWL77" s="223">
        <f xml:space="preserve"> InputsTS!MWL$184</f>
        <v>0</v>
      </c>
      <c r="MWM77" s="223">
        <f xml:space="preserve"> InputsTS!MWM$184</f>
        <v>0</v>
      </c>
      <c r="MWN77" s="223">
        <f xml:space="preserve"> InputsTS!MWN$184</f>
        <v>0</v>
      </c>
      <c r="MWO77" s="223">
        <f xml:space="preserve"> InputsTS!MWO$184</f>
        <v>0</v>
      </c>
      <c r="MWP77" s="223">
        <f xml:space="preserve"> InputsTS!MWP$184</f>
        <v>0</v>
      </c>
      <c r="MWQ77" s="223">
        <f xml:space="preserve"> InputsTS!MWQ$184</f>
        <v>0</v>
      </c>
      <c r="MWR77" s="223">
        <f xml:space="preserve"> InputsTS!MWR$184</f>
        <v>0</v>
      </c>
      <c r="MWS77" s="223">
        <f xml:space="preserve"> InputsTS!MWS$184</f>
        <v>0</v>
      </c>
      <c r="MWT77" s="223">
        <f xml:space="preserve"> InputsTS!MWT$184</f>
        <v>0</v>
      </c>
      <c r="MWU77" s="223">
        <f xml:space="preserve"> InputsTS!MWU$184</f>
        <v>0</v>
      </c>
      <c r="MWV77" s="223">
        <f xml:space="preserve"> InputsTS!MWV$184</f>
        <v>0</v>
      </c>
      <c r="MWW77" s="223">
        <f xml:space="preserve"> InputsTS!MWW$184</f>
        <v>0</v>
      </c>
      <c r="MWX77" s="223">
        <f xml:space="preserve"> InputsTS!MWX$184</f>
        <v>0</v>
      </c>
      <c r="MWY77" s="223">
        <f xml:space="preserve"> InputsTS!MWY$184</f>
        <v>0</v>
      </c>
      <c r="MWZ77" s="223">
        <f xml:space="preserve"> InputsTS!MWZ$184</f>
        <v>0</v>
      </c>
      <c r="MXA77" s="223">
        <f xml:space="preserve"> InputsTS!MXA$184</f>
        <v>0</v>
      </c>
      <c r="MXB77" s="223">
        <f xml:space="preserve"> InputsTS!MXB$184</f>
        <v>0</v>
      </c>
      <c r="MXC77" s="223">
        <f xml:space="preserve"> InputsTS!MXC$184</f>
        <v>0</v>
      </c>
      <c r="MXD77" s="223">
        <f xml:space="preserve"> InputsTS!MXD$184</f>
        <v>0</v>
      </c>
      <c r="MXE77" s="223">
        <f xml:space="preserve"> InputsTS!MXE$184</f>
        <v>0</v>
      </c>
      <c r="MXF77" s="223">
        <f xml:space="preserve"> InputsTS!MXF$184</f>
        <v>0</v>
      </c>
      <c r="MXG77" s="223">
        <f xml:space="preserve"> InputsTS!MXG$184</f>
        <v>0</v>
      </c>
      <c r="MXH77" s="223">
        <f xml:space="preserve"> InputsTS!MXH$184</f>
        <v>0</v>
      </c>
      <c r="MXI77" s="223">
        <f xml:space="preserve"> InputsTS!MXI$184</f>
        <v>0</v>
      </c>
      <c r="MXJ77" s="223">
        <f xml:space="preserve"> InputsTS!MXJ$184</f>
        <v>0</v>
      </c>
      <c r="MXK77" s="223">
        <f xml:space="preserve"> InputsTS!MXK$184</f>
        <v>0</v>
      </c>
      <c r="MXL77" s="223">
        <f xml:space="preserve"> InputsTS!MXL$184</f>
        <v>0</v>
      </c>
      <c r="MXM77" s="223">
        <f xml:space="preserve"> InputsTS!MXM$184</f>
        <v>0</v>
      </c>
      <c r="MXN77" s="223">
        <f xml:space="preserve"> InputsTS!MXN$184</f>
        <v>0</v>
      </c>
      <c r="MXO77" s="223">
        <f xml:space="preserve"> InputsTS!MXO$184</f>
        <v>0</v>
      </c>
      <c r="MXP77" s="223">
        <f xml:space="preserve"> InputsTS!MXP$184</f>
        <v>0</v>
      </c>
      <c r="MXQ77" s="223">
        <f xml:space="preserve"> InputsTS!MXQ$184</f>
        <v>0</v>
      </c>
      <c r="MXR77" s="223">
        <f xml:space="preserve"> InputsTS!MXR$184</f>
        <v>0</v>
      </c>
      <c r="MXS77" s="223">
        <f xml:space="preserve"> InputsTS!MXS$184</f>
        <v>0</v>
      </c>
      <c r="MXT77" s="223">
        <f xml:space="preserve"> InputsTS!MXT$184</f>
        <v>0</v>
      </c>
      <c r="MXU77" s="223">
        <f xml:space="preserve"> InputsTS!MXU$184</f>
        <v>0</v>
      </c>
      <c r="MXV77" s="223">
        <f xml:space="preserve"> InputsTS!MXV$184</f>
        <v>0</v>
      </c>
      <c r="MXW77" s="223">
        <f xml:space="preserve"> InputsTS!MXW$184</f>
        <v>0</v>
      </c>
      <c r="MXX77" s="223">
        <f xml:space="preserve"> InputsTS!MXX$184</f>
        <v>0</v>
      </c>
      <c r="MXY77" s="223">
        <f xml:space="preserve"> InputsTS!MXY$184</f>
        <v>0</v>
      </c>
      <c r="MXZ77" s="223">
        <f xml:space="preserve"> InputsTS!MXZ$184</f>
        <v>0</v>
      </c>
      <c r="MYA77" s="223">
        <f xml:space="preserve"> InputsTS!MYA$184</f>
        <v>0</v>
      </c>
      <c r="MYB77" s="223">
        <f xml:space="preserve"> InputsTS!MYB$184</f>
        <v>0</v>
      </c>
      <c r="MYC77" s="223">
        <f xml:space="preserve"> InputsTS!MYC$184</f>
        <v>0</v>
      </c>
      <c r="MYD77" s="223">
        <f xml:space="preserve"> InputsTS!MYD$184</f>
        <v>0</v>
      </c>
      <c r="MYE77" s="223">
        <f xml:space="preserve"> InputsTS!MYE$184</f>
        <v>0</v>
      </c>
      <c r="MYF77" s="223">
        <f xml:space="preserve"> InputsTS!MYF$184</f>
        <v>0</v>
      </c>
      <c r="MYG77" s="223">
        <f xml:space="preserve"> InputsTS!MYG$184</f>
        <v>0</v>
      </c>
      <c r="MYH77" s="223">
        <f xml:space="preserve"> InputsTS!MYH$184</f>
        <v>0</v>
      </c>
      <c r="MYI77" s="223">
        <f xml:space="preserve"> InputsTS!MYI$184</f>
        <v>0</v>
      </c>
      <c r="MYJ77" s="223">
        <f xml:space="preserve"> InputsTS!MYJ$184</f>
        <v>0</v>
      </c>
      <c r="MYK77" s="223">
        <f xml:space="preserve"> InputsTS!MYK$184</f>
        <v>0</v>
      </c>
      <c r="MYL77" s="223">
        <f xml:space="preserve"> InputsTS!MYL$184</f>
        <v>0</v>
      </c>
      <c r="MYM77" s="223">
        <f xml:space="preserve"> InputsTS!MYM$184</f>
        <v>0</v>
      </c>
      <c r="MYN77" s="223">
        <f xml:space="preserve"> InputsTS!MYN$184</f>
        <v>0</v>
      </c>
      <c r="MYO77" s="223">
        <f xml:space="preserve"> InputsTS!MYO$184</f>
        <v>0</v>
      </c>
      <c r="MYP77" s="223">
        <f xml:space="preserve"> InputsTS!MYP$184</f>
        <v>0</v>
      </c>
      <c r="MYQ77" s="223">
        <f xml:space="preserve"> InputsTS!MYQ$184</f>
        <v>0</v>
      </c>
      <c r="MYR77" s="223">
        <f xml:space="preserve"> InputsTS!MYR$184</f>
        <v>0</v>
      </c>
      <c r="MYS77" s="223">
        <f xml:space="preserve"> InputsTS!MYS$184</f>
        <v>0</v>
      </c>
      <c r="MYT77" s="223">
        <f xml:space="preserve"> InputsTS!MYT$184</f>
        <v>0</v>
      </c>
      <c r="MYU77" s="223">
        <f xml:space="preserve"> InputsTS!MYU$184</f>
        <v>0</v>
      </c>
      <c r="MYV77" s="223">
        <f xml:space="preserve"> InputsTS!MYV$184</f>
        <v>0</v>
      </c>
      <c r="MYW77" s="223">
        <f xml:space="preserve"> InputsTS!MYW$184</f>
        <v>0</v>
      </c>
      <c r="MYX77" s="223">
        <f xml:space="preserve"> InputsTS!MYX$184</f>
        <v>0</v>
      </c>
      <c r="MYY77" s="223">
        <f xml:space="preserve"> InputsTS!MYY$184</f>
        <v>0</v>
      </c>
      <c r="MYZ77" s="223">
        <f xml:space="preserve"> InputsTS!MYZ$184</f>
        <v>0</v>
      </c>
      <c r="MZA77" s="223">
        <f xml:space="preserve"> InputsTS!MZA$184</f>
        <v>0</v>
      </c>
      <c r="MZB77" s="223">
        <f xml:space="preserve"> InputsTS!MZB$184</f>
        <v>0</v>
      </c>
      <c r="MZC77" s="223">
        <f xml:space="preserve"> InputsTS!MZC$184</f>
        <v>0</v>
      </c>
      <c r="MZD77" s="223">
        <f xml:space="preserve"> InputsTS!MZD$184</f>
        <v>0</v>
      </c>
      <c r="MZE77" s="223">
        <f xml:space="preserve"> InputsTS!MZE$184</f>
        <v>0</v>
      </c>
      <c r="MZF77" s="223">
        <f xml:space="preserve"> InputsTS!MZF$184</f>
        <v>0</v>
      </c>
      <c r="MZG77" s="223">
        <f xml:space="preserve"> InputsTS!MZG$184</f>
        <v>0</v>
      </c>
      <c r="MZH77" s="223">
        <f xml:space="preserve"> InputsTS!MZH$184</f>
        <v>0</v>
      </c>
      <c r="MZI77" s="223">
        <f xml:space="preserve"> InputsTS!MZI$184</f>
        <v>0</v>
      </c>
      <c r="MZJ77" s="223">
        <f xml:space="preserve"> InputsTS!MZJ$184</f>
        <v>0</v>
      </c>
      <c r="MZK77" s="223">
        <f xml:space="preserve"> InputsTS!MZK$184</f>
        <v>0</v>
      </c>
      <c r="MZL77" s="223">
        <f xml:space="preserve"> InputsTS!MZL$184</f>
        <v>0</v>
      </c>
      <c r="MZM77" s="223">
        <f xml:space="preserve"> InputsTS!MZM$184</f>
        <v>0</v>
      </c>
      <c r="MZN77" s="223">
        <f xml:space="preserve"> InputsTS!MZN$184</f>
        <v>0</v>
      </c>
      <c r="MZO77" s="223">
        <f xml:space="preserve"> InputsTS!MZO$184</f>
        <v>0</v>
      </c>
      <c r="MZP77" s="223">
        <f xml:space="preserve"> InputsTS!MZP$184</f>
        <v>0</v>
      </c>
      <c r="MZQ77" s="223">
        <f xml:space="preserve"> InputsTS!MZQ$184</f>
        <v>0</v>
      </c>
      <c r="MZR77" s="223">
        <f xml:space="preserve"> InputsTS!MZR$184</f>
        <v>0</v>
      </c>
      <c r="MZS77" s="223">
        <f xml:space="preserve"> InputsTS!MZS$184</f>
        <v>0</v>
      </c>
      <c r="MZT77" s="223">
        <f xml:space="preserve"> InputsTS!MZT$184</f>
        <v>0</v>
      </c>
      <c r="MZU77" s="223">
        <f xml:space="preserve"> InputsTS!MZU$184</f>
        <v>0</v>
      </c>
      <c r="MZV77" s="223">
        <f xml:space="preserve"> InputsTS!MZV$184</f>
        <v>0</v>
      </c>
      <c r="MZW77" s="223">
        <f xml:space="preserve"> InputsTS!MZW$184</f>
        <v>0</v>
      </c>
      <c r="MZX77" s="223">
        <f xml:space="preserve"> InputsTS!MZX$184</f>
        <v>0</v>
      </c>
      <c r="MZY77" s="223">
        <f xml:space="preserve"> InputsTS!MZY$184</f>
        <v>0</v>
      </c>
      <c r="MZZ77" s="223">
        <f xml:space="preserve"> InputsTS!MZZ$184</f>
        <v>0</v>
      </c>
      <c r="NAA77" s="223">
        <f xml:space="preserve"> InputsTS!NAA$184</f>
        <v>0</v>
      </c>
      <c r="NAB77" s="223">
        <f xml:space="preserve"> InputsTS!NAB$184</f>
        <v>0</v>
      </c>
      <c r="NAC77" s="223">
        <f xml:space="preserve"> InputsTS!NAC$184</f>
        <v>0</v>
      </c>
      <c r="NAD77" s="223">
        <f xml:space="preserve"> InputsTS!NAD$184</f>
        <v>0</v>
      </c>
      <c r="NAE77" s="223">
        <f xml:space="preserve"> InputsTS!NAE$184</f>
        <v>0</v>
      </c>
      <c r="NAF77" s="223">
        <f xml:space="preserve"> InputsTS!NAF$184</f>
        <v>0</v>
      </c>
      <c r="NAG77" s="223">
        <f xml:space="preserve"> InputsTS!NAG$184</f>
        <v>0</v>
      </c>
      <c r="NAH77" s="223">
        <f xml:space="preserve"> InputsTS!NAH$184</f>
        <v>0</v>
      </c>
      <c r="NAI77" s="223">
        <f xml:space="preserve"> InputsTS!NAI$184</f>
        <v>0</v>
      </c>
      <c r="NAJ77" s="223">
        <f xml:space="preserve"> InputsTS!NAJ$184</f>
        <v>0</v>
      </c>
      <c r="NAK77" s="223">
        <f xml:space="preserve"> InputsTS!NAK$184</f>
        <v>0</v>
      </c>
      <c r="NAL77" s="223">
        <f xml:space="preserve"> InputsTS!NAL$184</f>
        <v>0</v>
      </c>
      <c r="NAM77" s="223">
        <f xml:space="preserve"> InputsTS!NAM$184</f>
        <v>0</v>
      </c>
      <c r="NAN77" s="223">
        <f xml:space="preserve"> InputsTS!NAN$184</f>
        <v>0</v>
      </c>
      <c r="NAO77" s="223">
        <f xml:space="preserve"> InputsTS!NAO$184</f>
        <v>0</v>
      </c>
      <c r="NAP77" s="223">
        <f xml:space="preserve"> InputsTS!NAP$184</f>
        <v>0</v>
      </c>
      <c r="NAQ77" s="223">
        <f xml:space="preserve"> InputsTS!NAQ$184</f>
        <v>0</v>
      </c>
      <c r="NAR77" s="223">
        <f xml:space="preserve"> InputsTS!NAR$184</f>
        <v>0</v>
      </c>
      <c r="NAS77" s="223">
        <f xml:space="preserve"> InputsTS!NAS$184</f>
        <v>0</v>
      </c>
      <c r="NAT77" s="223">
        <f xml:space="preserve"> InputsTS!NAT$184</f>
        <v>0</v>
      </c>
      <c r="NAU77" s="223">
        <f xml:space="preserve"> InputsTS!NAU$184</f>
        <v>0</v>
      </c>
      <c r="NAV77" s="223">
        <f xml:space="preserve"> InputsTS!NAV$184</f>
        <v>0</v>
      </c>
      <c r="NAW77" s="223">
        <f xml:space="preserve"> InputsTS!NAW$184</f>
        <v>0</v>
      </c>
      <c r="NAX77" s="223">
        <f xml:space="preserve"> InputsTS!NAX$184</f>
        <v>0</v>
      </c>
      <c r="NAY77" s="223">
        <f xml:space="preserve"> InputsTS!NAY$184</f>
        <v>0</v>
      </c>
      <c r="NAZ77" s="223">
        <f xml:space="preserve"> InputsTS!NAZ$184</f>
        <v>0</v>
      </c>
      <c r="NBA77" s="223">
        <f xml:space="preserve"> InputsTS!NBA$184</f>
        <v>0</v>
      </c>
      <c r="NBB77" s="223">
        <f xml:space="preserve"> InputsTS!NBB$184</f>
        <v>0</v>
      </c>
      <c r="NBC77" s="223">
        <f xml:space="preserve"> InputsTS!NBC$184</f>
        <v>0</v>
      </c>
      <c r="NBD77" s="223">
        <f xml:space="preserve"> InputsTS!NBD$184</f>
        <v>0</v>
      </c>
      <c r="NBE77" s="223">
        <f xml:space="preserve"> InputsTS!NBE$184</f>
        <v>0</v>
      </c>
      <c r="NBF77" s="223">
        <f xml:space="preserve"> InputsTS!NBF$184</f>
        <v>0</v>
      </c>
      <c r="NBG77" s="223">
        <f xml:space="preserve"> InputsTS!NBG$184</f>
        <v>0</v>
      </c>
      <c r="NBH77" s="223">
        <f xml:space="preserve"> InputsTS!NBH$184</f>
        <v>0</v>
      </c>
      <c r="NBI77" s="223">
        <f xml:space="preserve"> InputsTS!NBI$184</f>
        <v>0</v>
      </c>
      <c r="NBJ77" s="223">
        <f xml:space="preserve"> InputsTS!NBJ$184</f>
        <v>0</v>
      </c>
      <c r="NBK77" s="223">
        <f xml:space="preserve"> InputsTS!NBK$184</f>
        <v>0</v>
      </c>
      <c r="NBL77" s="223">
        <f xml:space="preserve"> InputsTS!NBL$184</f>
        <v>0</v>
      </c>
      <c r="NBM77" s="223">
        <f xml:space="preserve"> InputsTS!NBM$184</f>
        <v>0</v>
      </c>
      <c r="NBN77" s="223">
        <f xml:space="preserve"> InputsTS!NBN$184</f>
        <v>0</v>
      </c>
      <c r="NBO77" s="223">
        <f xml:space="preserve"> InputsTS!NBO$184</f>
        <v>0</v>
      </c>
      <c r="NBP77" s="223">
        <f xml:space="preserve"> InputsTS!NBP$184</f>
        <v>0</v>
      </c>
      <c r="NBQ77" s="223">
        <f xml:space="preserve"> InputsTS!NBQ$184</f>
        <v>0</v>
      </c>
      <c r="NBR77" s="223">
        <f xml:space="preserve"> InputsTS!NBR$184</f>
        <v>0</v>
      </c>
      <c r="NBS77" s="223">
        <f xml:space="preserve"> InputsTS!NBS$184</f>
        <v>0</v>
      </c>
      <c r="NBT77" s="223">
        <f xml:space="preserve"> InputsTS!NBT$184</f>
        <v>0</v>
      </c>
      <c r="NBU77" s="223">
        <f xml:space="preserve"> InputsTS!NBU$184</f>
        <v>0</v>
      </c>
      <c r="NBV77" s="223">
        <f xml:space="preserve"> InputsTS!NBV$184</f>
        <v>0</v>
      </c>
      <c r="NBW77" s="223">
        <f xml:space="preserve"> InputsTS!NBW$184</f>
        <v>0</v>
      </c>
      <c r="NBX77" s="223">
        <f xml:space="preserve"> InputsTS!NBX$184</f>
        <v>0</v>
      </c>
      <c r="NBY77" s="223">
        <f xml:space="preserve"> InputsTS!NBY$184</f>
        <v>0</v>
      </c>
      <c r="NBZ77" s="223">
        <f xml:space="preserve"> InputsTS!NBZ$184</f>
        <v>0</v>
      </c>
      <c r="NCA77" s="223">
        <f xml:space="preserve"> InputsTS!NCA$184</f>
        <v>0</v>
      </c>
      <c r="NCB77" s="223">
        <f xml:space="preserve"> InputsTS!NCB$184</f>
        <v>0</v>
      </c>
      <c r="NCC77" s="223">
        <f xml:space="preserve"> InputsTS!NCC$184</f>
        <v>0</v>
      </c>
      <c r="NCD77" s="223">
        <f xml:space="preserve"> InputsTS!NCD$184</f>
        <v>0</v>
      </c>
      <c r="NCE77" s="223">
        <f xml:space="preserve"> InputsTS!NCE$184</f>
        <v>0</v>
      </c>
      <c r="NCF77" s="223">
        <f xml:space="preserve"> InputsTS!NCF$184</f>
        <v>0</v>
      </c>
      <c r="NCG77" s="223">
        <f xml:space="preserve"> InputsTS!NCG$184</f>
        <v>0</v>
      </c>
      <c r="NCH77" s="223">
        <f xml:space="preserve"> InputsTS!NCH$184</f>
        <v>0</v>
      </c>
      <c r="NCI77" s="223">
        <f xml:space="preserve"> InputsTS!NCI$184</f>
        <v>0</v>
      </c>
      <c r="NCJ77" s="223">
        <f xml:space="preserve"> InputsTS!NCJ$184</f>
        <v>0</v>
      </c>
      <c r="NCK77" s="223">
        <f xml:space="preserve"> InputsTS!NCK$184</f>
        <v>0</v>
      </c>
      <c r="NCL77" s="223">
        <f xml:space="preserve"> InputsTS!NCL$184</f>
        <v>0</v>
      </c>
      <c r="NCM77" s="223">
        <f xml:space="preserve"> InputsTS!NCM$184</f>
        <v>0</v>
      </c>
      <c r="NCN77" s="223">
        <f xml:space="preserve"> InputsTS!NCN$184</f>
        <v>0</v>
      </c>
      <c r="NCO77" s="223">
        <f xml:space="preserve"> InputsTS!NCO$184</f>
        <v>0</v>
      </c>
      <c r="NCP77" s="223">
        <f xml:space="preserve"> InputsTS!NCP$184</f>
        <v>0</v>
      </c>
      <c r="NCQ77" s="223">
        <f xml:space="preserve"> InputsTS!NCQ$184</f>
        <v>0</v>
      </c>
      <c r="NCR77" s="223">
        <f xml:space="preserve"> InputsTS!NCR$184</f>
        <v>0</v>
      </c>
      <c r="NCS77" s="223">
        <f xml:space="preserve"> InputsTS!NCS$184</f>
        <v>0</v>
      </c>
      <c r="NCT77" s="223">
        <f xml:space="preserve"> InputsTS!NCT$184</f>
        <v>0</v>
      </c>
      <c r="NCU77" s="223">
        <f xml:space="preserve"> InputsTS!NCU$184</f>
        <v>0</v>
      </c>
      <c r="NCV77" s="223">
        <f xml:space="preserve"> InputsTS!NCV$184</f>
        <v>0</v>
      </c>
      <c r="NCW77" s="223">
        <f xml:space="preserve"> InputsTS!NCW$184</f>
        <v>0</v>
      </c>
      <c r="NCX77" s="223">
        <f xml:space="preserve"> InputsTS!NCX$184</f>
        <v>0</v>
      </c>
      <c r="NCY77" s="223">
        <f xml:space="preserve"> InputsTS!NCY$184</f>
        <v>0</v>
      </c>
      <c r="NCZ77" s="223">
        <f xml:space="preserve"> InputsTS!NCZ$184</f>
        <v>0</v>
      </c>
      <c r="NDA77" s="223">
        <f xml:space="preserve"> InputsTS!NDA$184</f>
        <v>0</v>
      </c>
      <c r="NDB77" s="223">
        <f xml:space="preserve"> InputsTS!NDB$184</f>
        <v>0</v>
      </c>
      <c r="NDC77" s="223">
        <f xml:space="preserve"> InputsTS!NDC$184</f>
        <v>0</v>
      </c>
      <c r="NDD77" s="223">
        <f xml:space="preserve"> InputsTS!NDD$184</f>
        <v>0</v>
      </c>
      <c r="NDE77" s="223">
        <f xml:space="preserve"> InputsTS!NDE$184</f>
        <v>0</v>
      </c>
      <c r="NDF77" s="223">
        <f xml:space="preserve"> InputsTS!NDF$184</f>
        <v>0</v>
      </c>
      <c r="NDG77" s="223">
        <f xml:space="preserve"> InputsTS!NDG$184</f>
        <v>0</v>
      </c>
      <c r="NDH77" s="223">
        <f xml:space="preserve"> InputsTS!NDH$184</f>
        <v>0</v>
      </c>
      <c r="NDI77" s="223">
        <f xml:space="preserve"> InputsTS!NDI$184</f>
        <v>0</v>
      </c>
      <c r="NDJ77" s="223">
        <f xml:space="preserve"> InputsTS!NDJ$184</f>
        <v>0</v>
      </c>
      <c r="NDK77" s="223">
        <f xml:space="preserve"> InputsTS!NDK$184</f>
        <v>0</v>
      </c>
      <c r="NDL77" s="223">
        <f xml:space="preserve"> InputsTS!NDL$184</f>
        <v>0</v>
      </c>
      <c r="NDM77" s="223">
        <f xml:space="preserve"> InputsTS!NDM$184</f>
        <v>0</v>
      </c>
      <c r="NDN77" s="223">
        <f xml:space="preserve"> InputsTS!NDN$184</f>
        <v>0</v>
      </c>
      <c r="NDO77" s="223">
        <f xml:space="preserve"> InputsTS!NDO$184</f>
        <v>0</v>
      </c>
      <c r="NDP77" s="223">
        <f xml:space="preserve"> InputsTS!NDP$184</f>
        <v>0</v>
      </c>
      <c r="NDQ77" s="223">
        <f xml:space="preserve"> InputsTS!NDQ$184</f>
        <v>0</v>
      </c>
      <c r="NDR77" s="223">
        <f xml:space="preserve"> InputsTS!NDR$184</f>
        <v>0</v>
      </c>
      <c r="NDS77" s="223">
        <f xml:space="preserve"> InputsTS!NDS$184</f>
        <v>0</v>
      </c>
      <c r="NDT77" s="223">
        <f xml:space="preserve"> InputsTS!NDT$184</f>
        <v>0</v>
      </c>
      <c r="NDU77" s="223">
        <f xml:space="preserve"> InputsTS!NDU$184</f>
        <v>0</v>
      </c>
      <c r="NDV77" s="223">
        <f xml:space="preserve"> InputsTS!NDV$184</f>
        <v>0</v>
      </c>
      <c r="NDW77" s="223">
        <f xml:space="preserve"> InputsTS!NDW$184</f>
        <v>0</v>
      </c>
      <c r="NDX77" s="223">
        <f xml:space="preserve"> InputsTS!NDX$184</f>
        <v>0</v>
      </c>
      <c r="NDY77" s="223">
        <f xml:space="preserve"> InputsTS!NDY$184</f>
        <v>0</v>
      </c>
      <c r="NDZ77" s="223">
        <f xml:space="preserve"> InputsTS!NDZ$184</f>
        <v>0</v>
      </c>
      <c r="NEA77" s="223">
        <f xml:space="preserve"> InputsTS!NEA$184</f>
        <v>0</v>
      </c>
      <c r="NEB77" s="223">
        <f xml:space="preserve"> InputsTS!NEB$184</f>
        <v>0</v>
      </c>
      <c r="NEC77" s="223">
        <f xml:space="preserve"> InputsTS!NEC$184</f>
        <v>0</v>
      </c>
      <c r="NED77" s="223">
        <f xml:space="preserve"> InputsTS!NED$184</f>
        <v>0</v>
      </c>
      <c r="NEE77" s="223">
        <f xml:space="preserve"> InputsTS!NEE$184</f>
        <v>0</v>
      </c>
      <c r="NEF77" s="223">
        <f xml:space="preserve"> InputsTS!NEF$184</f>
        <v>0</v>
      </c>
      <c r="NEG77" s="223">
        <f xml:space="preserve"> InputsTS!NEG$184</f>
        <v>0</v>
      </c>
      <c r="NEH77" s="223">
        <f xml:space="preserve"> InputsTS!NEH$184</f>
        <v>0</v>
      </c>
      <c r="NEI77" s="223">
        <f xml:space="preserve"> InputsTS!NEI$184</f>
        <v>0</v>
      </c>
      <c r="NEJ77" s="223">
        <f xml:space="preserve"> InputsTS!NEJ$184</f>
        <v>0</v>
      </c>
      <c r="NEK77" s="223">
        <f xml:space="preserve"> InputsTS!NEK$184</f>
        <v>0</v>
      </c>
      <c r="NEL77" s="223">
        <f xml:space="preserve"> InputsTS!NEL$184</f>
        <v>0</v>
      </c>
      <c r="NEM77" s="223">
        <f xml:space="preserve"> InputsTS!NEM$184</f>
        <v>0</v>
      </c>
      <c r="NEN77" s="223">
        <f xml:space="preserve"> InputsTS!NEN$184</f>
        <v>0</v>
      </c>
      <c r="NEO77" s="223">
        <f xml:space="preserve"> InputsTS!NEO$184</f>
        <v>0</v>
      </c>
      <c r="NEP77" s="223">
        <f xml:space="preserve"> InputsTS!NEP$184</f>
        <v>0</v>
      </c>
      <c r="NEQ77" s="223">
        <f xml:space="preserve"> InputsTS!NEQ$184</f>
        <v>0</v>
      </c>
      <c r="NER77" s="223">
        <f xml:space="preserve"> InputsTS!NER$184</f>
        <v>0</v>
      </c>
      <c r="NES77" s="223">
        <f xml:space="preserve"> InputsTS!NES$184</f>
        <v>0</v>
      </c>
      <c r="NET77" s="223">
        <f xml:space="preserve"> InputsTS!NET$184</f>
        <v>0</v>
      </c>
      <c r="NEU77" s="223">
        <f xml:space="preserve"> InputsTS!NEU$184</f>
        <v>0</v>
      </c>
      <c r="NEV77" s="223">
        <f xml:space="preserve"> InputsTS!NEV$184</f>
        <v>0</v>
      </c>
      <c r="NEW77" s="223">
        <f xml:space="preserve"> InputsTS!NEW$184</f>
        <v>0</v>
      </c>
      <c r="NEX77" s="223">
        <f xml:space="preserve"> InputsTS!NEX$184</f>
        <v>0</v>
      </c>
      <c r="NEY77" s="223">
        <f xml:space="preserve"> InputsTS!NEY$184</f>
        <v>0</v>
      </c>
      <c r="NEZ77" s="223">
        <f xml:space="preserve"> InputsTS!NEZ$184</f>
        <v>0</v>
      </c>
      <c r="NFA77" s="223">
        <f xml:space="preserve"> InputsTS!NFA$184</f>
        <v>0</v>
      </c>
      <c r="NFB77" s="223">
        <f xml:space="preserve"> InputsTS!NFB$184</f>
        <v>0</v>
      </c>
      <c r="NFC77" s="223">
        <f xml:space="preserve"> InputsTS!NFC$184</f>
        <v>0</v>
      </c>
      <c r="NFD77" s="223">
        <f xml:space="preserve"> InputsTS!NFD$184</f>
        <v>0</v>
      </c>
      <c r="NFE77" s="223">
        <f xml:space="preserve"> InputsTS!NFE$184</f>
        <v>0</v>
      </c>
      <c r="NFF77" s="223">
        <f xml:space="preserve"> InputsTS!NFF$184</f>
        <v>0</v>
      </c>
      <c r="NFG77" s="223">
        <f xml:space="preserve"> InputsTS!NFG$184</f>
        <v>0</v>
      </c>
      <c r="NFH77" s="223">
        <f xml:space="preserve"> InputsTS!NFH$184</f>
        <v>0</v>
      </c>
      <c r="NFI77" s="223">
        <f xml:space="preserve"> InputsTS!NFI$184</f>
        <v>0</v>
      </c>
      <c r="NFJ77" s="223">
        <f xml:space="preserve"> InputsTS!NFJ$184</f>
        <v>0</v>
      </c>
      <c r="NFK77" s="223">
        <f xml:space="preserve"> InputsTS!NFK$184</f>
        <v>0</v>
      </c>
      <c r="NFL77" s="223">
        <f xml:space="preserve"> InputsTS!NFL$184</f>
        <v>0</v>
      </c>
      <c r="NFM77" s="223">
        <f xml:space="preserve"> InputsTS!NFM$184</f>
        <v>0</v>
      </c>
      <c r="NFN77" s="223">
        <f xml:space="preserve"> InputsTS!NFN$184</f>
        <v>0</v>
      </c>
      <c r="NFO77" s="223">
        <f xml:space="preserve"> InputsTS!NFO$184</f>
        <v>0</v>
      </c>
      <c r="NFP77" s="223">
        <f xml:space="preserve"> InputsTS!NFP$184</f>
        <v>0</v>
      </c>
      <c r="NFQ77" s="223">
        <f xml:space="preserve"> InputsTS!NFQ$184</f>
        <v>0</v>
      </c>
      <c r="NFR77" s="223">
        <f xml:space="preserve"> InputsTS!NFR$184</f>
        <v>0</v>
      </c>
      <c r="NFS77" s="223">
        <f xml:space="preserve"> InputsTS!NFS$184</f>
        <v>0</v>
      </c>
      <c r="NFT77" s="223">
        <f xml:space="preserve"> InputsTS!NFT$184</f>
        <v>0</v>
      </c>
      <c r="NFU77" s="223">
        <f xml:space="preserve"> InputsTS!NFU$184</f>
        <v>0</v>
      </c>
      <c r="NFV77" s="223">
        <f xml:space="preserve"> InputsTS!NFV$184</f>
        <v>0</v>
      </c>
      <c r="NFW77" s="223">
        <f xml:space="preserve"> InputsTS!NFW$184</f>
        <v>0</v>
      </c>
      <c r="NFX77" s="223">
        <f xml:space="preserve"> InputsTS!NFX$184</f>
        <v>0</v>
      </c>
      <c r="NFY77" s="223">
        <f xml:space="preserve"> InputsTS!NFY$184</f>
        <v>0</v>
      </c>
      <c r="NFZ77" s="223">
        <f xml:space="preserve"> InputsTS!NFZ$184</f>
        <v>0</v>
      </c>
      <c r="NGA77" s="223">
        <f xml:space="preserve"> InputsTS!NGA$184</f>
        <v>0</v>
      </c>
      <c r="NGB77" s="223">
        <f xml:space="preserve"> InputsTS!NGB$184</f>
        <v>0</v>
      </c>
      <c r="NGC77" s="223">
        <f xml:space="preserve"> InputsTS!NGC$184</f>
        <v>0</v>
      </c>
      <c r="NGD77" s="223">
        <f xml:space="preserve"> InputsTS!NGD$184</f>
        <v>0</v>
      </c>
      <c r="NGE77" s="223">
        <f xml:space="preserve"> InputsTS!NGE$184</f>
        <v>0</v>
      </c>
      <c r="NGF77" s="223">
        <f xml:space="preserve"> InputsTS!NGF$184</f>
        <v>0</v>
      </c>
      <c r="NGG77" s="223">
        <f xml:space="preserve"> InputsTS!NGG$184</f>
        <v>0</v>
      </c>
      <c r="NGH77" s="223">
        <f xml:space="preserve"> InputsTS!NGH$184</f>
        <v>0</v>
      </c>
      <c r="NGI77" s="223">
        <f xml:space="preserve"> InputsTS!NGI$184</f>
        <v>0</v>
      </c>
      <c r="NGJ77" s="223">
        <f xml:space="preserve"> InputsTS!NGJ$184</f>
        <v>0</v>
      </c>
      <c r="NGK77" s="223">
        <f xml:space="preserve"> InputsTS!NGK$184</f>
        <v>0</v>
      </c>
      <c r="NGL77" s="223">
        <f xml:space="preserve"> InputsTS!NGL$184</f>
        <v>0</v>
      </c>
      <c r="NGM77" s="223">
        <f xml:space="preserve"> InputsTS!NGM$184</f>
        <v>0</v>
      </c>
      <c r="NGN77" s="223">
        <f xml:space="preserve"> InputsTS!NGN$184</f>
        <v>0</v>
      </c>
      <c r="NGO77" s="223">
        <f xml:space="preserve"> InputsTS!NGO$184</f>
        <v>0</v>
      </c>
      <c r="NGP77" s="223">
        <f xml:space="preserve"> InputsTS!NGP$184</f>
        <v>0</v>
      </c>
      <c r="NGQ77" s="223">
        <f xml:space="preserve"> InputsTS!NGQ$184</f>
        <v>0</v>
      </c>
      <c r="NGR77" s="223">
        <f xml:space="preserve"> InputsTS!NGR$184</f>
        <v>0</v>
      </c>
      <c r="NGS77" s="223">
        <f xml:space="preserve"> InputsTS!NGS$184</f>
        <v>0</v>
      </c>
      <c r="NGT77" s="223">
        <f xml:space="preserve"> InputsTS!NGT$184</f>
        <v>0</v>
      </c>
      <c r="NGU77" s="223">
        <f xml:space="preserve"> InputsTS!NGU$184</f>
        <v>0</v>
      </c>
      <c r="NGV77" s="223">
        <f xml:space="preserve"> InputsTS!NGV$184</f>
        <v>0</v>
      </c>
      <c r="NGW77" s="223">
        <f xml:space="preserve"> InputsTS!NGW$184</f>
        <v>0</v>
      </c>
      <c r="NGX77" s="223">
        <f xml:space="preserve"> InputsTS!NGX$184</f>
        <v>0</v>
      </c>
      <c r="NGY77" s="223">
        <f xml:space="preserve"> InputsTS!NGY$184</f>
        <v>0</v>
      </c>
      <c r="NGZ77" s="223">
        <f xml:space="preserve"> InputsTS!NGZ$184</f>
        <v>0</v>
      </c>
      <c r="NHA77" s="223">
        <f xml:space="preserve"> InputsTS!NHA$184</f>
        <v>0</v>
      </c>
      <c r="NHB77" s="223">
        <f xml:space="preserve"> InputsTS!NHB$184</f>
        <v>0</v>
      </c>
      <c r="NHC77" s="223">
        <f xml:space="preserve"> InputsTS!NHC$184</f>
        <v>0</v>
      </c>
      <c r="NHD77" s="223">
        <f xml:space="preserve"> InputsTS!NHD$184</f>
        <v>0</v>
      </c>
      <c r="NHE77" s="223">
        <f xml:space="preserve"> InputsTS!NHE$184</f>
        <v>0</v>
      </c>
      <c r="NHF77" s="223">
        <f xml:space="preserve"> InputsTS!NHF$184</f>
        <v>0</v>
      </c>
      <c r="NHG77" s="223">
        <f xml:space="preserve"> InputsTS!NHG$184</f>
        <v>0</v>
      </c>
      <c r="NHH77" s="223">
        <f xml:space="preserve"> InputsTS!NHH$184</f>
        <v>0</v>
      </c>
      <c r="NHI77" s="223">
        <f xml:space="preserve"> InputsTS!NHI$184</f>
        <v>0</v>
      </c>
      <c r="NHJ77" s="223">
        <f xml:space="preserve"> InputsTS!NHJ$184</f>
        <v>0</v>
      </c>
      <c r="NHK77" s="223">
        <f xml:space="preserve"> InputsTS!NHK$184</f>
        <v>0</v>
      </c>
      <c r="NHL77" s="223">
        <f xml:space="preserve"> InputsTS!NHL$184</f>
        <v>0</v>
      </c>
      <c r="NHM77" s="223">
        <f xml:space="preserve"> InputsTS!NHM$184</f>
        <v>0</v>
      </c>
      <c r="NHN77" s="223">
        <f xml:space="preserve"> InputsTS!NHN$184</f>
        <v>0</v>
      </c>
      <c r="NHO77" s="223">
        <f xml:space="preserve"> InputsTS!NHO$184</f>
        <v>0</v>
      </c>
      <c r="NHP77" s="223">
        <f xml:space="preserve"> InputsTS!NHP$184</f>
        <v>0</v>
      </c>
      <c r="NHQ77" s="223">
        <f xml:space="preserve"> InputsTS!NHQ$184</f>
        <v>0</v>
      </c>
      <c r="NHR77" s="223">
        <f xml:space="preserve"> InputsTS!NHR$184</f>
        <v>0</v>
      </c>
      <c r="NHS77" s="223">
        <f xml:space="preserve"> InputsTS!NHS$184</f>
        <v>0</v>
      </c>
      <c r="NHT77" s="223">
        <f xml:space="preserve"> InputsTS!NHT$184</f>
        <v>0</v>
      </c>
      <c r="NHU77" s="223">
        <f xml:space="preserve"> InputsTS!NHU$184</f>
        <v>0</v>
      </c>
      <c r="NHV77" s="223">
        <f xml:space="preserve"> InputsTS!NHV$184</f>
        <v>0</v>
      </c>
      <c r="NHW77" s="223">
        <f xml:space="preserve"> InputsTS!NHW$184</f>
        <v>0</v>
      </c>
      <c r="NHX77" s="223">
        <f xml:space="preserve"> InputsTS!NHX$184</f>
        <v>0</v>
      </c>
      <c r="NHY77" s="223">
        <f xml:space="preserve"> InputsTS!NHY$184</f>
        <v>0</v>
      </c>
      <c r="NHZ77" s="223">
        <f xml:space="preserve"> InputsTS!NHZ$184</f>
        <v>0</v>
      </c>
      <c r="NIA77" s="223">
        <f xml:space="preserve"> InputsTS!NIA$184</f>
        <v>0</v>
      </c>
      <c r="NIB77" s="223">
        <f xml:space="preserve"> InputsTS!NIB$184</f>
        <v>0</v>
      </c>
      <c r="NIC77" s="223">
        <f xml:space="preserve"> InputsTS!NIC$184</f>
        <v>0</v>
      </c>
      <c r="NID77" s="223">
        <f xml:space="preserve"> InputsTS!NID$184</f>
        <v>0</v>
      </c>
      <c r="NIE77" s="223">
        <f xml:space="preserve"> InputsTS!NIE$184</f>
        <v>0</v>
      </c>
      <c r="NIF77" s="223">
        <f xml:space="preserve"> InputsTS!NIF$184</f>
        <v>0</v>
      </c>
      <c r="NIG77" s="223">
        <f xml:space="preserve"> InputsTS!NIG$184</f>
        <v>0</v>
      </c>
      <c r="NIH77" s="223">
        <f xml:space="preserve"> InputsTS!NIH$184</f>
        <v>0</v>
      </c>
      <c r="NII77" s="223">
        <f xml:space="preserve"> InputsTS!NII$184</f>
        <v>0</v>
      </c>
      <c r="NIJ77" s="223">
        <f xml:space="preserve"> InputsTS!NIJ$184</f>
        <v>0</v>
      </c>
      <c r="NIK77" s="223">
        <f xml:space="preserve"> InputsTS!NIK$184</f>
        <v>0</v>
      </c>
      <c r="NIL77" s="223">
        <f xml:space="preserve"> InputsTS!NIL$184</f>
        <v>0</v>
      </c>
      <c r="NIM77" s="223">
        <f xml:space="preserve"> InputsTS!NIM$184</f>
        <v>0</v>
      </c>
      <c r="NIN77" s="223">
        <f xml:space="preserve"> InputsTS!NIN$184</f>
        <v>0</v>
      </c>
      <c r="NIO77" s="223">
        <f xml:space="preserve"> InputsTS!NIO$184</f>
        <v>0</v>
      </c>
      <c r="NIP77" s="223">
        <f xml:space="preserve"> InputsTS!NIP$184</f>
        <v>0</v>
      </c>
      <c r="NIQ77" s="223">
        <f xml:space="preserve"> InputsTS!NIQ$184</f>
        <v>0</v>
      </c>
      <c r="NIR77" s="223">
        <f xml:space="preserve"> InputsTS!NIR$184</f>
        <v>0</v>
      </c>
      <c r="NIS77" s="223">
        <f xml:space="preserve"> InputsTS!NIS$184</f>
        <v>0</v>
      </c>
      <c r="NIT77" s="223">
        <f xml:space="preserve"> InputsTS!NIT$184</f>
        <v>0</v>
      </c>
      <c r="NIU77" s="223">
        <f xml:space="preserve"> InputsTS!NIU$184</f>
        <v>0</v>
      </c>
      <c r="NIV77" s="223">
        <f xml:space="preserve"> InputsTS!NIV$184</f>
        <v>0</v>
      </c>
      <c r="NIW77" s="223">
        <f xml:space="preserve"> InputsTS!NIW$184</f>
        <v>0</v>
      </c>
      <c r="NIX77" s="223">
        <f xml:space="preserve"> InputsTS!NIX$184</f>
        <v>0</v>
      </c>
      <c r="NIY77" s="223">
        <f xml:space="preserve"> InputsTS!NIY$184</f>
        <v>0</v>
      </c>
      <c r="NIZ77" s="223">
        <f xml:space="preserve"> InputsTS!NIZ$184</f>
        <v>0</v>
      </c>
      <c r="NJA77" s="223">
        <f xml:space="preserve"> InputsTS!NJA$184</f>
        <v>0</v>
      </c>
      <c r="NJB77" s="223">
        <f xml:space="preserve"> InputsTS!NJB$184</f>
        <v>0</v>
      </c>
      <c r="NJC77" s="223">
        <f xml:space="preserve"> InputsTS!NJC$184</f>
        <v>0</v>
      </c>
      <c r="NJD77" s="223">
        <f xml:space="preserve"> InputsTS!NJD$184</f>
        <v>0</v>
      </c>
      <c r="NJE77" s="223">
        <f xml:space="preserve"> InputsTS!NJE$184</f>
        <v>0</v>
      </c>
      <c r="NJF77" s="223">
        <f xml:space="preserve"> InputsTS!NJF$184</f>
        <v>0</v>
      </c>
      <c r="NJG77" s="223">
        <f xml:space="preserve"> InputsTS!NJG$184</f>
        <v>0</v>
      </c>
      <c r="NJH77" s="223">
        <f xml:space="preserve"> InputsTS!NJH$184</f>
        <v>0</v>
      </c>
      <c r="NJI77" s="223">
        <f xml:space="preserve"> InputsTS!NJI$184</f>
        <v>0</v>
      </c>
      <c r="NJJ77" s="223">
        <f xml:space="preserve"> InputsTS!NJJ$184</f>
        <v>0</v>
      </c>
      <c r="NJK77" s="223">
        <f xml:space="preserve"> InputsTS!NJK$184</f>
        <v>0</v>
      </c>
      <c r="NJL77" s="223">
        <f xml:space="preserve"> InputsTS!NJL$184</f>
        <v>0</v>
      </c>
      <c r="NJM77" s="223">
        <f xml:space="preserve"> InputsTS!NJM$184</f>
        <v>0</v>
      </c>
      <c r="NJN77" s="223">
        <f xml:space="preserve"> InputsTS!NJN$184</f>
        <v>0</v>
      </c>
      <c r="NJO77" s="223">
        <f xml:space="preserve"> InputsTS!NJO$184</f>
        <v>0</v>
      </c>
      <c r="NJP77" s="223">
        <f xml:space="preserve"> InputsTS!NJP$184</f>
        <v>0</v>
      </c>
      <c r="NJQ77" s="223">
        <f xml:space="preserve"> InputsTS!NJQ$184</f>
        <v>0</v>
      </c>
      <c r="NJR77" s="223">
        <f xml:space="preserve"> InputsTS!NJR$184</f>
        <v>0</v>
      </c>
      <c r="NJS77" s="223">
        <f xml:space="preserve"> InputsTS!NJS$184</f>
        <v>0</v>
      </c>
      <c r="NJT77" s="223">
        <f xml:space="preserve"> InputsTS!NJT$184</f>
        <v>0</v>
      </c>
      <c r="NJU77" s="223">
        <f xml:space="preserve"> InputsTS!NJU$184</f>
        <v>0</v>
      </c>
      <c r="NJV77" s="223">
        <f xml:space="preserve"> InputsTS!NJV$184</f>
        <v>0</v>
      </c>
      <c r="NJW77" s="223">
        <f xml:space="preserve"> InputsTS!NJW$184</f>
        <v>0</v>
      </c>
      <c r="NJX77" s="223">
        <f xml:space="preserve"> InputsTS!NJX$184</f>
        <v>0</v>
      </c>
      <c r="NJY77" s="223">
        <f xml:space="preserve"> InputsTS!NJY$184</f>
        <v>0</v>
      </c>
      <c r="NJZ77" s="223">
        <f xml:space="preserve"> InputsTS!NJZ$184</f>
        <v>0</v>
      </c>
      <c r="NKA77" s="223">
        <f xml:space="preserve"> InputsTS!NKA$184</f>
        <v>0</v>
      </c>
      <c r="NKB77" s="223">
        <f xml:space="preserve"> InputsTS!NKB$184</f>
        <v>0</v>
      </c>
      <c r="NKC77" s="223">
        <f xml:space="preserve"> InputsTS!NKC$184</f>
        <v>0</v>
      </c>
      <c r="NKD77" s="223">
        <f xml:space="preserve"> InputsTS!NKD$184</f>
        <v>0</v>
      </c>
      <c r="NKE77" s="223">
        <f xml:space="preserve"> InputsTS!NKE$184</f>
        <v>0</v>
      </c>
      <c r="NKF77" s="223">
        <f xml:space="preserve"> InputsTS!NKF$184</f>
        <v>0</v>
      </c>
      <c r="NKG77" s="223">
        <f xml:space="preserve"> InputsTS!NKG$184</f>
        <v>0</v>
      </c>
      <c r="NKH77" s="223">
        <f xml:space="preserve"> InputsTS!NKH$184</f>
        <v>0</v>
      </c>
      <c r="NKI77" s="223">
        <f xml:space="preserve"> InputsTS!NKI$184</f>
        <v>0</v>
      </c>
      <c r="NKJ77" s="223">
        <f xml:space="preserve"> InputsTS!NKJ$184</f>
        <v>0</v>
      </c>
      <c r="NKK77" s="223">
        <f xml:space="preserve"> InputsTS!NKK$184</f>
        <v>0</v>
      </c>
      <c r="NKL77" s="223">
        <f xml:space="preserve"> InputsTS!NKL$184</f>
        <v>0</v>
      </c>
      <c r="NKM77" s="223">
        <f xml:space="preserve"> InputsTS!NKM$184</f>
        <v>0</v>
      </c>
      <c r="NKN77" s="223">
        <f xml:space="preserve"> InputsTS!NKN$184</f>
        <v>0</v>
      </c>
      <c r="NKO77" s="223">
        <f xml:space="preserve"> InputsTS!NKO$184</f>
        <v>0</v>
      </c>
      <c r="NKP77" s="223">
        <f xml:space="preserve"> InputsTS!NKP$184</f>
        <v>0</v>
      </c>
      <c r="NKQ77" s="223">
        <f xml:space="preserve"> InputsTS!NKQ$184</f>
        <v>0</v>
      </c>
      <c r="NKR77" s="223">
        <f xml:space="preserve"> InputsTS!NKR$184</f>
        <v>0</v>
      </c>
      <c r="NKS77" s="223">
        <f xml:space="preserve"> InputsTS!NKS$184</f>
        <v>0</v>
      </c>
      <c r="NKT77" s="223">
        <f xml:space="preserve"> InputsTS!NKT$184</f>
        <v>0</v>
      </c>
      <c r="NKU77" s="223">
        <f xml:space="preserve"> InputsTS!NKU$184</f>
        <v>0</v>
      </c>
      <c r="NKV77" s="223">
        <f xml:space="preserve"> InputsTS!NKV$184</f>
        <v>0</v>
      </c>
      <c r="NKW77" s="223">
        <f xml:space="preserve"> InputsTS!NKW$184</f>
        <v>0</v>
      </c>
      <c r="NKX77" s="223">
        <f xml:space="preserve"> InputsTS!NKX$184</f>
        <v>0</v>
      </c>
      <c r="NKY77" s="223">
        <f xml:space="preserve"> InputsTS!NKY$184</f>
        <v>0</v>
      </c>
      <c r="NKZ77" s="223">
        <f xml:space="preserve"> InputsTS!NKZ$184</f>
        <v>0</v>
      </c>
      <c r="NLA77" s="223">
        <f xml:space="preserve"> InputsTS!NLA$184</f>
        <v>0</v>
      </c>
      <c r="NLB77" s="223">
        <f xml:space="preserve"> InputsTS!NLB$184</f>
        <v>0</v>
      </c>
      <c r="NLC77" s="223">
        <f xml:space="preserve"> InputsTS!NLC$184</f>
        <v>0</v>
      </c>
      <c r="NLD77" s="223">
        <f xml:space="preserve"> InputsTS!NLD$184</f>
        <v>0</v>
      </c>
      <c r="NLE77" s="223">
        <f xml:space="preserve"> InputsTS!NLE$184</f>
        <v>0</v>
      </c>
      <c r="NLF77" s="223">
        <f xml:space="preserve"> InputsTS!NLF$184</f>
        <v>0</v>
      </c>
      <c r="NLG77" s="223">
        <f xml:space="preserve"> InputsTS!NLG$184</f>
        <v>0</v>
      </c>
      <c r="NLH77" s="223">
        <f xml:space="preserve"> InputsTS!NLH$184</f>
        <v>0</v>
      </c>
      <c r="NLI77" s="223">
        <f xml:space="preserve"> InputsTS!NLI$184</f>
        <v>0</v>
      </c>
      <c r="NLJ77" s="223">
        <f xml:space="preserve"> InputsTS!NLJ$184</f>
        <v>0</v>
      </c>
      <c r="NLK77" s="223">
        <f xml:space="preserve"> InputsTS!NLK$184</f>
        <v>0</v>
      </c>
      <c r="NLL77" s="223">
        <f xml:space="preserve"> InputsTS!NLL$184</f>
        <v>0</v>
      </c>
      <c r="NLM77" s="223">
        <f xml:space="preserve"> InputsTS!NLM$184</f>
        <v>0</v>
      </c>
      <c r="NLN77" s="223">
        <f xml:space="preserve"> InputsTS!NLN$184</f>
        <v>0</v>
      </c>
      <c r="NLO77" s="223">
        <f xml:space="preserve"> InputsTS!NLO$184</f>
        <v>0</v>
      </c>
      <c r="NLP77" s="223">
        <f xml:space="preserve"> InputsTS!NLP$184</f>
        <v>0</v>
      </c>
      <c r="NLQ77" s="223">
        <f xml:space="preserve"> InputsTS!NLQ$184</f>
        <v>0</v>
      </c>
      <c r="NLR77" s="223">
        <f xml:space="preserve"> InputsTS!NLR$184</f>
        <v>0</v>
      </c>
      <c r="NLS77" s="223">
        <f xml:space="preserve"> InputsTS!NLS$184</f>
        <v>0</v>
      </c>
      <c r="NLT77" s="223">
        <f xml:space="preserve"> InputsTS!NLT$184</f>
        <v>0</v>
      </c>
      <c r="NLU77" s="223">
        <f xml:space="preserve"> InputsTS!NLU$184</f>
        <v>0</v>
      </c>
      <c r="NLV77" s="223">
        <f xml:space="preserve"> InputsTS!NLV$184</f>
        <v>0</v>
      </c>
      <c r="NLW77" s="223">
        <f xml:space="preserve"> InputsTS!NLW$184</f>
        <v>0</v>
      </c>
      <c r="NLX77" s="223">
        <f xml:space="preserve"> InputsTS!NLX$184</f>
        <v>0</v>
      </c>
      <c r="NLY77" s="223">
        <f xml:space="preserve"> InputsTS!NLY$184</f>
        <v>0</v>
      </c>
      <c r="NLZ77" s="223">
        <f xml:space="preserve"> InputsTS!NLZ$184</f>
        <v>0</v>
      </c>
      <c r="NMA77" s="223">
        <f xml:space="preserve"> InputsTS!NMA$184</f>
        <v>0</v>
      </c>
      <c r="NMB77" s="223">
        <f xml:space="preserve"> InputsTS!NMB$184</f>
        <v>0</v>
      </c>
      <c r="NMC77" s="223">
        <f xml:space="preserve"> InputsTS!NMC$184</f>
        <v>0</v>
      </c>
      <c r="NMD77" s="223">
        <f xml:space="preserve"> InputsTS!NMD$184</f>
        <v>0</v>
      </c>
      <c r="NME77" s="223">
        <f xml:space="preserve"> InputsTS!NME$184</f>
        <v>0</v>
      </c>
      <c r="NMF77" s="223">
        <f xml:space="preserve"> InputsTS!NMF$184</f>
        <v>0</v>
      </c>
      <c r="NMG77" s="223">
        <f xml:space="preserve"> InputsTS!NMG$184</f>
        <v>0</v>
      </c>
      <c r="NMH77" s="223">
        <f xml:space="preserve"> InputsTS!NMH$184</f>
        <v>0</v>
      </c>
      <c r="NMI77" s="223">
        <f xml:space="preserve"> InputsTS!NMI$184</f>
        <v>0</v>
      </c>
      <c r="NMJ77" s="223">
        <f xml:space="preserve"> InputsTS!NMJ$184</f>
        <v>0</v>
      </c>
      <c r="NMK77" s="223">
        <f xml:space="preserve"> InputsTS!NMK$184</f>
        <v>0</v>
      </c>
      <c r="NML77" s="223">
        <f xml:space="preserve"> InputsTS!NML$184</f>
        <v>0</v>
      </c>
      <c r="NMM77" s="223">
        <f xml:space="preserve"> InputsTS!NMM$184</f>
        <v>0</v>
      </c>
      <c r="NMN77" s="223">
        <f xml:space="preserve"> InputsTS!NMN$184</f>
        <v>0</v>
      </c>
      <c r="NMO77" s="223">
        <f xml:space="preserve"> InputsTS!NMO$184</f>
        <v>0</v>
      </c>
      <c r="NMP77" s="223">
        <f xml:space="preserve"> InputsTS!NMP$184</f>
        <v>0</v>
      </c>
      <c r="NMQ77" s="223">
        <f xml:space="preserve"> InputsTS!NMQ$184</f>
        <v>0</v>
      </c>
      <c r="NMR77" s="223">
        <f xml:space="preserve"> InputsTS!NMR$184</f>
        <v>0</v>
      </c>
      <c r="NMS77" s="223">
        <f xml:space="preserve"> InputsTS!NMS$184</f>
        <v>0</v>
      </c>
      <c r="NMT77" s="223">
        <f xml:space="preserve"> InputsTS!NMT$184</f>
        <v>0</v>
      </c>
      <c r="NMU77" s="223">
        <f xml:space="preserve"> InputsTS!NMU$184</f>
        <v>0</v>
      </c>
      <c r="NMV77" s="223">
        <f xml:space="preserve"> InputsTS!NMV$184</f>
        <v>0</v>
      </c>
      <c r="NMW77" s="223">
        <f xml:space="preserve"> InputsTS!NMW$184</f>
        <v>0</v>
      </c>
      <c r="NMX77" s="223">
        <f xml:space="preserve"> InputsTS!NMX$184</f>
        <v>0</v>
      </c>
      <c r="NMY77" s="223">
        <f xml:space="preserve"> InputsTS!NMY$184</f>
        <v>0</v>
      </c>
      <c r="NMZ77" s="223">
        <f xml:space="preserve"> InputsTS!NMZ$184</f>
        <v>0</v>
      </c>
      <c r="NNA77" s="223">
        <f xml:space="preserve"> InputsTS!NNA$184</f>
        <v>0</v>
      </c>
      <c r="NNB77" s="223">
        <f xml:space="preserve"> InputsTS!NNB$184</f>
        <v>0</v>
      </c>
      <c r="NNC77" s="223">
        <f xml:space="preserve"> InputsTS!NNC$184</f>
        <v>0</v>
      </c>
      <c r="NND77" s="223">
        <f xml:space="preserve"> InputsTS!NND$184</f>
        <v>0</v>
      </c>
      <c r="NNE77" s="223">
        <f xml:space="preserve"> InputsTS!NNE$184</f>
        <v>0</v>
      </c>
      <c r="NNF77" s="223">
        <f xml:space="preserve"> InputsTS!NNF$184</f>
        <v>0</v>
      </c>
      <c r="NNG77" s="223">
        <f xml:space="preserve"> InputsTS!NNG$184</f>
        <v>0</v>
      </c>
      <c r="NNH77" s="223">
        <f xml:space="preserve"> InputsTS!NNH$184</f>
        <v>0</v>
      </c>
      <c r="NNI77" s="223">
        <f xml:space="preserve"> InputsTS!NNI$184</f>
        <v>0</v>
      </c>
      <c r="NNJ77" s="223">
        <f xml:space="preserve"> InputsTS!NNJ$184</f>
        <v>0</v>
      </c>
      <c r="NNK77" s="223">
        <f xml:space="preserve"> InputsTS!NNK$184</f>
        <v>0</v>
      </c>
      <c r="NNL77" s="223">
        <f xml:space="preserve"> InputsTS!NNL$184</f>
        <v>0</v>
      </c>
      <c r="NNM77" s="223">
        <f xml:space="preserve"> InputsTS!NNM$184</f>
        <v>0</v>
      </c>
      <c r="NNN77" s="223">
        <f xml:space="preserve"> InputsTS!NNN$184</f>
        <v>0</v>
      </c>
      <c r="NNO77" s="223">
        <f xml:space="preserve"> InputsTS!NNO$184</f>
        <v>0</v>
      </c>
      <c r="NNP77" s="223">
        <f xml:space="preserve"> InputsTS!NNP$184</f>
        <v>0</v>
      </c>
      <c r="NNQ77" s="223">
        <f xml:space="preserve"> InputsTS!NNQ$184</f>
        <v>0</v>
      </c>
      <c r="NNR77" s="223">
        <f xml:space="preserve"> InputsTS!NNR$184</f>
        <v>0</v>
      </c>
      <c r="NNS77" s="223">
        <f xml:space="preserve"> InputsTS!NNS$184</f>
        <v>0</v>
      </c>
      <c r="NNT77" s="223">
        <f xml:space="preserve"> InputsTS!NNT$184</f>
        <v>0</v>
      </c>
      <c r="NNU77" s="223">
        <f xml:space="preserve"> InputsTS!NNU$184</f>
        <v>0</v>
      </c>
      <c r="NNV77" s="223">
        <f xml:space="preserve"> InputsTS!NNV$184</f>
        <v>0</v>
      </c>
      <c r="NNW77" s="223">
        <f xml:space="preserve"> InputsTS!NNW$184</f>
        <v>0</v>
      </c>
      <c r="NNX77" s="223">
        <f xml:space="preserve"> InputsTS!NNX$184</f>
        <v>0</v>
      </c>
      <c r="NNY77" s="223">
        <f xml:space="preserve"> InputsTS!NNY$184</f>
        <v>0</v>
      </c>
      <c r="NNZ77" s="223">
        <f xml:space="preserve"> InputsTS!NNZ$184</f>
        <v>0</v>
      </c>
      <c r="NOA77" s="223">
        <f xml:space="preserve"> InputsTS!NOA$184</f>
        <v>0</v>
      </c>
      <c r="NOB77" s="223">
        <f xml:space="preserve"> InputsTS!NOB$184</f>
        <v>0</v>
      </c>
      <c r="NOC77" s="223">
        <f xml:space="preserve"> InputsTS!NOC$184</f>
        <v>0</v>
      </c>
      <c r="NOD77" s="223">
        <f xml:space="preserve"> InputsTS!NOD$184</f>
        <v>0</v>
      </c>
      <c r="NOE77" s="223">
        <f xml:space="preserve"> InputsTS!NOE$184</f>
        <v>0</v>
      </c>
      <c r="NOF77" s="223">
        <f xml:space="preserve"> InputsTS!NOF$184</f>
        <v>0</v>
      </c>
      <c r="NOG77" s="223">
        <f xml:space="preserve"> InputsTS!NOG$184</f>
        <v>0</v>
      </c>
      <c r="NOH77" s="223">
        <f xml:space="preserve"> InputsTS!NOH$184</f>
        <v>0</v>
      </c>
      <c r="NOI77" s="223">
        <f xml:space="preserve"> InputsTS!NOI$184</f>
        <v>0</v>
      </c>
      <c r="NOJ77" s="223">
        <f xml:space="preserve"> InputsTS!NOJ$184</f>
        <v>0</v>
      </c>
      <c r="NOK77" s="223">
        <f xml:space="preserve"> InputsTS!NOK$184</f>
        <v>0</v>
      </c>
      <c r="NOL77" s="223">
        <f xml:space="preserve"> InputsTS!NOL$184</f>
        <v>0</v>
      </c>
      <c r="NOM77" s="223">
        <f xml:space="preserve"> InputsTS!NOM$184</f>
        <v>0</v>
      </c>
      <c r="NON77" s="223">
        <f xml:space="preserve"> InputsTS!NON$184</f>
        <v>0</v>
      </c>
      <c r="NOO77" s="223">
        <f xml:space="preserve"> InputsTS!NOO$184</f>
        <v>0</v>
      </c>
      <c r="NOP77" s="223">
        <f xml:space="preserve"> InputsTS!NOP$184</f>
        <v>0</v>
      </c>
      <c r="NOQ77" s="223">
        <f xml:space="preserve"> InputsTS!NOQ$184</f>
        <v>0</v>
      </c>
      <c r="NOR77" s="223">
        <f xml:space="preserve"> InputsTS!NOR$184</f>
        <v>0</v>
      </c>
      <c r="NOS77" s="223">
        <f xml:space="preserve"> InputsTS!NOS$184</f>
        <v>0</v>
      </c>
      <c r="NOT77" s="223">
        <f xml:space="preserve"> InputsTS!NOT$184</f>
        <v>0</v>
      </c>
      <c r="NOU77" s="223">
        <f xml:space="preserve"> InputsTS!NOU$184</f>
        <v>0</v>
      </c>
      <c r="NOV77" s="223">
        <f xml:space="preserve"> InputsTS!NOV$184</f>
        <v>0</v>
      </c>
      <c r="NOW77" s="223">
        <f xml:space="preserve"> InputsTS!NOW$184</f>
        <v>0</v>
      </c>
      <c r="NOX77" s="223">
        <f xml:space="preserve"> InputsTS!NOX$184</f>
        <v>0</v>
      </c>
      <c r="NOY77" s="223">
        <f xml:space="preserve"> InputsTS!NOY$184</f>
        <v>0</v>
      </c>
      <c r="NOZ77" s="223">
        <f xml:space="preserve"> InputsTS!NOZ$184</f>
        <v>0</v>
      </c>
      <c r="NPA77" s="223">
        <f xml:space="preserve"> InputsTS!NPA$184</f>
        <v>0</v>
      </c>
      <c r="NPB77" s="223">
        <f xml:space="preserve"> InputsTS!NPB$184</f>
        <v>0</v>
      </c>
      <c r="NPC77" s="223">
        <f xml:space="preserve"> InputsTS!NPC$184</f>
        <v>0</v>
      </c>
      <c r="NPD77" s="223">
        <f xml:space="preserve"> InputsTS!NPD$184</f>
        <v>0</v>
      </c>
      <c r="NPE77" s="223">
        <f xml:space="preserve"> InputsTS!NPE$184</f>
        <v>0</v>
      </c>
      <c r="NPF77" s="223">
        <f xml:space="preserve"> InputsTS!NPF$184</f>
        <v>0</v>
      </c>
      <c r="NPG77" s="223">
        <f xml:space="preserve"> InputsTS!NPG$184</f>
        <v>0</v>
      </c>
      <c r="NPH77" s="223">
        <f xml:space="preserve"> InputsTS!NPH$184</f>
        <v>0</v>
      </c>
      <c r="NPI77" s="223">
        <f xml:space="preserve"> InputsTS!NPI$184</f>
        <v>0</v>
      </c>
      <c r="NPJ77" s="223">
        <f xml:space="preserve"> InputsTS!NPJ$184</f>
        <v>0</v>
      </c>
      <c r="NPK77" s="223">
        <f xml:space="preserve"> InputsTS!NPK$184</f>
        <v>0</v>
      </c>
      <c r="NPL77" s="223">
        <f xml:space="preserve"> InputsTS!NPL$184</f>
        <v>0</v>
      </c>
      <c r="NPM77" s="223">
        <f xml:space="preserve"> InputsTS!NPM$184</f>
        <v>0</v>
      </c>
      <c r="NPN77" s="223">
        <f xml:space="preserve"> InputsTS!NPN$184</f>
        <v>0</v>
      </c>
      <c r="NPO77" s="223">
        <f xml:space="preserve"> InputsTS!NPO$184</f>
        <v>0</v>
      </c>
      <c r="NPP77" s="223">
        <f xml:space="preserve"> InputsTS!NPP$184</f>
        <v>0</v>
      </c>
      <c r="NPQ77" s="223">
        <f xml:space="preserve"> InputsTS!NPQ$184</f>
        <v>0</v>
      </c>
      <c r="NPR77" s="223">
        <f xml:space="preserve"> InputsTS!NPR$184</f>
        <v>0</v>
      </c>
      <c r="NPS77" s="223">
        <f xml:space="preserve"> InputsTS!NPS$184</f>
        <v>0</v>
      </c>
      <c r="NPT77" s="223">
        <f xml:space="preserve"> InputsTS!NPT$184</f>
        <v>0</v>
      </c>
      <c r="NPU77" s="223">
        <f xml:space="preserve"> InputsTS!NPU$184</f>
        <v>0</v>
      </c>
      <c r="NPV77" s="223">
        <f xml:space="preserve"> InputsTS!NPV$184</f>
        <v>0</v>
      </c>
      <c r="NPW77" s="223">
        <f xml:space="preserve"> InputsTS!NPW$184</f>
        <v>0</v>
      </c>
      <c r="NPX77" s="223">
        <f xml:space="preserve"> InputsTS!NPX$184</f>
        <v>0</v>
      </c>
      <c r="NPY77" s="223">
        <f xml:space="preserve"> InputsTS!NPY$184</f>
        <v>0</v>
      </c>
      <c r="NPZ77" s="223">
        <f xml:space="preserve"> InputsTS!NPZ$184</f>
        <v>0</v>
      </c>
      <c r="NQA77" s="223">
        <f xml:space="preserve"> InputsTS!NQA$184</f>
        <v>0</v>
      </c>
      <c r="NQB77" s="223">
        <f xml:space="preserve"> InputsTS!NQB$184</f>
        <v>0</v>
      </c>
      <c r="NQC77" s="223">
        <f xml:space="preserve"> InputsTS!NQC$184</f>
        <v>0</v>
      </c>
      <c r="NQD77" s="223">
        <f xml:space="preserve"> InputsTS!NQD$184</f>
        <v>0</v>
      </c>
      <c r="NQE77" s="223">
        <f xml:space="preserve"> InputsTS!NQE$184</f>
        <v>0</v>
      </c>
      <c r="NQF77" s="223">
        <f xml:space="preserve"> InputsTS!NQF$184</f>
        <v>0</v>
      </c>
      <c r="NQG77" s="223">
        <f xml:space="preserve"> InputsTS!NQG$184</f>
        <v>0</v>
      </c>
      <c r="NQH77" s="223">
        <f xml:space="preserve"> InputsTS!NQH$184</f>
        <v>0</v>
      </c>
      <c r="NQI77" s="223">
        <f xml:space="preserve"> InputsTS!NQI$184</f>
        <v>0</v>
      </c>
      <c r="NQJ77" s="223">
        <f xml:space="preserve"> InputsTS!NQJ$184</f>
        <v>0</v>
      </c>
      <c r="NQK77" s="223">
        <f xml:space="preserve"> InputsTS!NQK$184</f>
        <v>0</v>
      </c>
      <c r="NQL77" s="223">
        <f xml:space="preserve"> InputsTS!NQL$184</f>
        <v>0</v>
      </c>
      <c r="NQM77" s="223">
        <f xml:space="preserve"> InputsTS!NQM$184</f>
        <v>0</v>
      </c>
      <c r="NQN77" s="223">
        <f xml:space="preserve"> InputsTS!NQN$184</f>
        <v>0</v>
      </c>
      <c r="NQO77" s="223">
        <f xml:space="preserve"> InputsTS!NQO$184</f>
        <v>0</v>
      </c>
      <c r="NQP77" s="223">
        <f xml:space="preserve"> InputsTS!NQP$184</f>
        <v>0</v>
      </c>
      <c r="NQQ77" s="223">
        <f xml:space="preserve"> InputsTS!NQQ$184</f>
        <v>0</v>
      </c>
      <c r="NQR77" s="223">
        <f xml:space="preserve"> InputsTS!NQR$184</f>
        <v>0</v>
      </c>
      <c r="NQS77" s="223">
        <f xml:space="preserve"> InputsTS!NQS$184</f>
        <v>0</v>
      </c>
      <c r="NQT77" s="223">
        <f xml:space="preserve"> InputsTS!NQT$184</f>
        <v>0</v>
      </c>
      <c r="NQU77" s="223">
        <f xml:space="preserve"> InputsTS!NQU$184</f>
        <v>0</v>
      </c>
      <c r="NQV77" s="223">
        <f xml:space="preserve"> InputsTS!NQV$184</f>
        <v>0</v>
      </c>
      <c r="NQW77" s="223">
        <f xml:space="preserve"> InputsTS!NQW$184</f>
        <v>0</v>
      </c>
      <c r="NQX77" s="223">
        <f xml:space="preserve"> InputsTS!NQX$184</f>
        <v>0</v>
      </c>
      <c r="NQY77" s="223">
        <f xml:space="preserve"> InputsTS!NQY$184</f>
        <v>0</v>
      </c>
      <c r="NQZ77" s="223">
        <f xml:space="preserve"> InputsTS!NQZ$184</f>
        <v>0</v>
      </c>
      <c r="NRA77" s="223">
        <f xml:space="preserve"> InputsTS!NRA$184</f>
        <v>0</v>
      </c>
      <c r="NRB77" s="223">
        <f xml:space="preserve"> InputsTS!NRB$184</f>
        <v>0</v>
      </c>
      <c r="NRC77" s="223">
        <f xml:space="preserve"> InputsTS!NRC$184</f>
        <v>0</v>
      </c>
      <c r="NRD77" s="223">
        <f xml:space="preserve"> InputsTS!NRD$184</f>
        <v>0</v>
      </c>
      <c r="NRE77" s="223">
        <f xml:space="preserve"> InputsTS!NRE$184</f>
        <v>0</v>
      </c>
      <c r="NRF77" s="223">
        <f xml:space="preserve"> InputsTS!NRF$184</f>
        <v>0</v>
      </c>
      <c r="NRG77" s="223">
        <f xml:space="preserve"> InputsTS!NRG$184</f>
        <v>0</v>
      </c>
      <c r="NRH77" s="223">
        <f xml:space="preserve"> InputsTS!NRH$184</f>
        <v>0</v>
      </c>
      <c r="NRI77" s="223">
        <f xml:space="preserve"> InputsTS!NRI$184</f>
        <v>0</v>
      </c>
      <c r="NRJ77" s="223">
        <f xml:space="preserve"> InputsTS!NRJ$184</f>
        <v>0</v>
      </c>
      <c r="NRK77" s="223">
        <f xml:space="preserve"> InputsTS!NRK$184</f>
        <v>0</v>
      </c>
      <c r="NRL77" s="223">
        <f xml:space="preserve"> InputsTS!NRL$184</f>
        <v>0</v>
      </c>
      <c r="NRM77" s="223">
        <f xml:space="preserve"> InputsTS!NRM$184</f>
        <v>0</v>
      </c>
      <c r="NRN77" s="223">
        <f xml:space="preserve"> InputsTS!NRN$184</f>
        <v>0</v>
      </c>
      <c r="NRO77" s="223">
        <f xml:space="preserve"> InputsTS!NRO$184</f>
        <v>0</v>
      </c>
      <c r="NRP77" s="223">
        <f xml:space="preserve"> InputsTS!NRP$184</f>
        <v>0</v>
      </c>
      <c r="NRQ77" s="223">
        <f xml:space="preserve"> InputsTS!NRQ$184</f>
        <v>0</v>
      </c>
      <c r="NRR77" s="223">
        <f xml:space="preserve"> InputsTS!NRR$184</f>
        <v>0</v>
      </c>
      <c r="NRS77" s="223">
        <f xml:space="preserve"> InputsTS!NRS$184</f>
        <v>0</v>
      </c>
      <c r="NRT77" s="223">
        <f xml:space="preserve"> InputsTS!NRT$184</f>
        <v>0</v>
      </c>
      <c r="NRU77" s="223">
        <f xml:space="preserve"> InputsTS!NRU$184</f>
        <v>0</v>
      </c>
      <c r="NRV77" s="223">
        <f xml:space="preserve"> InputsTS!NRV$184</f>
        <v>0</v>
      </c>
      <c r="NRW77" s="223">
        <f xml:space="preserve"> InputsTS!NRW$184</f>
        <v>0</v>
      </c>
      <c r="NRX77" s="223">
        <f xml:space="preserve"> InputsTS!NRX$184</f>
        <v>0</v>
      </c>
      <c r="NRY77" s="223">
        <f xml:space="preserve"> InputsTS!NRY$184</f>
        <v>0</v>
      </c>
      <c r="NRZ77" s="223">
        <f xml:space="preserve"> InputsTS!NRZ$184</f>
        <v>0</v>
      </c>
      <c r="NSA77" s="223">
        <f xml:space="preserve"> InputsTS!NSA$184</f>
        <v>0</v>
      </c>
      <c r="NSB77" s="223">
        <f xml:space="preserve"> InputsTS!NSB$184</f>
        <v>0</v>
      </c>
      <c r="NSC77" s="223">
        <f xml:space="preserve"> InputsTS!NSC$184</f>
        <v>0</v>
      </c>
      <c r="NSD77" s="223">
        <f xml:space="preserve"> InputsTS!NSD$184</f>
        <v>0</v>
      </c>
      <c r="NSE77" s="223">
        <f xml:space="preserve"> InputsTS!NSE$184</f>
        <v>0</v>
      </c>
      <c r="NSF77" s="223">
        <f xml:space="preserve"> InputsTS!NSF$184</f>
        <v>0</v>
      </c>
      <c r="NSG77" s="223">
        <f xml:space="preserve"> InputsTS!NSG$184</f>
        <v>0</v>
      </c>
      <c r="NSH77" s="223">
        <f xml:space="preserve"> InputsTS!NSH$184</f>
        <v>0</v>
      </c>
      <c r="NSI77" s="223">
        <f xml:space="preserve"> InputsTS!NSI$184</f>
        <v>0</v>
      </c>
      <c r="NSJ77" s="223">
        <f xml:space="preserve"> InputsTS!NSJ$184</f>
        <v>0</v>
      </c>
      <c r="NSK77" s="223">
        <f xml:space="preserve"> InputsTS!NSK$184</f>
        <v>0</v>
      </c>
      <c r="NSL77" s="223">
        <f xml:space="preserve"> InputsTS!NSL$184</f>
        <v>0</v>
      </c>
      <c r="NSM77" s="223">
        <f xml:space="preserve"> InputsTS!NSM$184</f>
        <v>0</v>
      </c>
      <c r="NSN77" s="223">
        <f xml:space="preserve"> InputsTS!NSN$184</f>
        <v>0</v>
      </c>
      <c r="NSO77" s="223">
        <f xml:space="preserve"> InputsTS!NSO$184</f>
        <v>0</v>
      </c>
      <c r="NSP77" s="223">
        <f xml:space="preserve"> InputsTS!NSP$184</f>
        <v>0</v>
      </c>
      <c r="NSQ77" s="223">
        <f xml:space="preserve"> InputsTS!NSQ$184</f>
        <v>0</v>
      </c>
      <c r="NSR77" s="223">
        <f xml:space="preserve"> InputsTS!NSR$184</f>
        <v>0</v>
      </c>
      <c r="NSS77" s="223">
        <f xml:space="preserve"> InputsTS!NSS$184</f>
        <v>0</v>
      </c>
      <c r="NST77" s="223">
        <f xml:space="preserve"> InputsTS!NST$184</f>
        <v>0</v>
      </c>
      <c r="NSU77" s="223">
        <f xml:space="preserve"> InputsTS!NSU$184</f>
        <v>0</v>
      </c>
      <c r="NSV77" s="223">
        <f xml:space="preserve"> InputsTS!NSV$184</f>
        <v>0</v>
      </c>
      <c r="NSW77" s="223">
        <f xml:space="preserve"> InputsTS!NSW$184</f>
        <v>0</v>
      </c>
      <c r="NSX77" s="223">
        <f xml:space="preserve"> InputsTS!NSX$184</f>
        <v>0</v>
      </c>
      <c r="NSY77" s="223">
        <f xml:space="preserve"> InputsTS!NSY$184</f>
        <v>0</v>
      </c>
      <c r="NSZ77" s="223">
        <f xml:space="preserve"> InputsTS!NSZ$184</f>
        <v>0</v>
      </c>
      <c r="NTA77" s="223">
        <f xml:space="preserve"> InputsTS!NTA$184</f>
        <v>0</v>
      </c>
      <c r="NTB77" s="223">
        <f xml:space="preserve"> InputsTS!NTB$184</f>
        <v>0</v>
      </c>
      <c r="NTC77" s="223">
        <f xml:space="preserve"> InputsTS!NTC$184</f>
        <v>0</v>
      </c>
      <c r="NTD77" s="223">
        <f xml:space="preserve"> InputsTS!NTD$184</f>
        <v>0</v>
      </c>
      <c r="NTE77" s="223">
        <f xml:space="preserve"> InputsTS!NTE$184</f>
        <v>0</v>
      </c>
      <c r="NTF77" s="223">
        <f xml:space="preserve"> InputsTS!NTF$184</f>
        <v>0</v>
      </c>
      <c r="NTG77" s="223">
        <f xml:space="preserve"> InputsTS!NTG$184</f>
        <v>0</v>
      </c>
      <c r="NTH77" s="223">
        <f xml:space="preserve"> InputsTS!NTH$184</f>
        <v>0</v>
      </c>
      <c r="NTI77" s="223">
        <f xml:space="preserve"> InputsTS!NTI$184</f>
        <v>0</v>
      </c>
      <c r="NTJ77" s="223">
        <f xml:space="preserve"> InputsTS!NTJ$184</f>
        <v>0</v>
      </c>
      <c r="NTK77" s="223">
        <f xml:space="preserve"> InputsTS!NTK$184</f>
        <v>0</v>
      </c>
      <c r="NTL77" s="223">
        <f xml:space="preserve"> InputsTS!NTL$184</f>
        <v>0</v>
      </c>
      <c r="NTM77" s="223">
        <f xml:space="preserve"> InputsTS!NTM$184</f>
        <v>0</v>
      </c>
      <c r="NTN77" s="223">
        <f xml:space="preserve"> InputsTS!NTN$184</f>
        <v>0</v>
      </c>
      <c r="NTO77" s="223">
        <f xml:space="preserve"> InputsTS!NTO$184</f>
        <v>0</v>
      </c>
      <c r="NTP77" s="223">
        <f xml:space="preserve"> InputsTS!NTP$184</f>
        <v>0</v>
      </c>
      <c r="NTQ77" s="223">
        <f xml:space="preserve"> InputsTS!NTQ$184</f>
        <v>0</v>
      </c>
      <c r="NTR77" s="223">
        <f xml:space="preserve"> InputsTS!NTR$184</f>
        <v>0</v>
      </c>
      <c r="NTS77" s="223">
        <f xml:space="preserve"> InputsTS!NTS$184</f>
        <v>0</v>
      </c>
      <c r="NTT77" s="223">
        <f xml:space="preserve"> InputsTS!NTT$184</f>
        <v>0</v>
      </c>
      <c r="NTU77" s="223">
        <f xml:space="preserve"> InputsTS!NTU$184</f>
        <v>0</v>
      </c>
      <c r="NTV77" s="223">
        <f xml:space="preserve"> InputsTS!NTV$184</f>
        <v>0</v>
      </c>
      <c r="NTW77" s="223">
        <f xml:space="preserve"> InputsTS!NTW$184</f>
        <v>0</v>
      </c>
      <c r="NTX77" s="223">
        <f xml:space="preserve"> InputsTS!NTX$184</f>
        <v>0</v>
      </c>
      <c r="NTY77" s="223">
        <f xml:space="preserve"> InputsTS!NTY$184</f>
        <v>0</v>
      </c>
      <c r="NTZ77" s="223">
        <f xml:space="preserve"> InputsTS!NTZ$184</f>
        <v>0</v>
      </c>
      <c r="NUA77" s="223">
        <f xml:space="preserve"> InputsTS!NUA$184</f>
        <v>0</v>
      </c>
      <c r="NUB77" s="223">
        <f xml:space="preserve"> InputsTS!NUB$184</f>
        <v>0</v>
      </c>
      <c r="NUC77" s="223">
        <f xml:space="preserve"> InputsTS!NUC$184</f>
        <v>0</v>
      </c>
      <c r="NUD77" s="223">
        <f xml:space="preserve"> InputsTS!NUD$184</f>
        <v>0</v>
      </c>
      <c r="NUE77" s="223">
        <f xml:space="preserve"> InputsTS!NUE$184</f>
        <v>0</v>
      </c>
      <c r="NUF77" s="223">
        <f xml:space="preserve"> InputsTS!NUF$184</f>
        <v>0</v>
      </c>
      <c r="NUG77" s="223">
        <f xml:space="preserve"> InputsTS!NUG$184</f>
        <v>0</v>
      </c>
      <c r="NUH77" s="223">
        <f xml:space="preserve"> InputsTS!NUH$184</f>
        <v>0</v>
      </c>
      <c r="NUI77" s="223">
        <f xml:space="preserve"> InputsTS!NUI$184</f>
        <v>0</v>
      </c>
      <c r="NUJ77" s="223">
        <f xml:space="preserve"> InputsTS!NUJ$184</f>
        <v>0</v>
      </c>
      <c r="NUK77" s="223">
        <f xml:space="preserve"> InputsTS!NUK$184</f>
        <v>0</v>
      </c>
      <c r="NUL77" s="223">
        <f xml:space="preserve"> InputsTS!NUL$184</f>
        <v>0</v>
      </c>
      <c r="NUM77" s="223">
        <f xml:space="preserve"> InputsTS!NUM$184</f>
        <v>0</v>
      </c>
      <c r="NUN77" s="223">
        <f xml:space="preserve"> InputsTS!NUN$184</f>
        <v>0</v>
      </c>
      <c r="NUO77" s="223">
        <f xml:space="preserve"> InputsTS!NUO$184</f>
        <v>0</v>
      </c>
      <c r="NUP77" s="223">
        <f xml:space="preserve"> InputsTS!NUP$184</f>
        <v>0</v>
      </c>
      <c r="NUQ77" s="223">
        <f xml:space="preserve"> InputsTS!NUQ$184</f>
        <v>0</v>
      </c>
      <c r="NUR77" s="223">
        <f xml:space="preserve"> InputsTS!NUR$184</f>
        <v>0</v>
      </c>
      <c r="NUS77" s="223">
        <f xml:space="preserve"> InputsTS!NUS$184</f>
        <v>0</v>
      </c>
      <c r="NUT77" s="223">
        <f xml:space="preserve"> InputsTS!NUT$184</f>
        <v>0</v>
      </c>
      <c r="NUU77" s="223">
        <f xml:space="preserve"> InputsTS!NUU$184</f>
        <v>0</v>
      </c>
      <c r="NUV77" s="223">
        <f xml:space="preserve"> InputsTS!NUV$184</f>
        <v>0</v>
      </c>
      <c r="NUW77" s="223">
        <f xml:space="preserve"> InputsTS!NUW$184</f>
        <v>0</v>
      </c>
      <c r="NUX77" s="223">
        <f xml:space="preserve"> InputsTS!NUX$184</f>
        <v>0</v>
      </c>
      <c r="NUY77" s="223">
        <f xml:space="preserve"> InputsTS!NUY$184</f>
        <v>0</v>
      </c>
      <c r="NUZ77" s="223">
        <f xml:space="preserve"> InputsTS!NUZ$184</f>
        <v>0</v>
      </c>
      <c r="NVA77" s="223">
        <f xml:space="preserve"> InputsTS!NVA$184</f>
        <v>0</v>
      </c>
      <c r="NVB77" s="223">
        <f xml:space="preserve"> InputsTS!NVB$184</f>
        <v>0</v>
      </c>
      <c r="NVC77" s="223">
        <f xml:space="preserve"> InputsTS!NVC$184</f>
        <v>0</v>
      </c>
      <c r="NVD77" s="223">
        <f xml:space="preserve"> InputsTS!NVD$184</f>
        <v>0</v>
      </c>
      <c r="NVE77" s="223">
        <f xml:space="preserve"> InputsTS!NVE$184</f>
        <v>0</v>
      </c>
      <c r="NVF77" s="223">
        <f xml:space="preserve"> InputsTS!NVF$184</f>
        <v>0</v>
      </c>
      <c r="NVG77" s="223">
        <f xml:space="preserve"> InputsTS!NVG$184</f>
        <v>0</v>
      </c>
      <c r="NVH77" s="223">
        <f xml:space="preserve"> InputsTS!NVH$184</f>
        <v>0</v>
      </c>
      <c r="NVI77" s="223">
        <f xml:space="preserve"> InputsTS!NVI$184</f>
        <v>0</v>
      </c>
      <c r="NVJ77" s="223">
        <f xml:space="preserve"> InputsTS!NVJ$184</f>
        <v>0</v>
      </c>
      <c r="NVK77" s="223">
        <f xml:space="preserve"> InputsTS!NVK$184</f>
        <v>0</v>
      </c>
      <c r="NVL77" s="223">
        <f xml:space="preserve"> InputsTS!NVL$184</f>
        <v>0</v>
      </c>
      <c r="NVM77" s="223">
        <f xml:space="preserve"> InputsTS!NVM$184</f>
        <v>0</v>
      </c>
      <c r="NVN77" s="223">
        <f xml:space="preserve"> InputsTS!NVN$184</f>
        <v>0</v>
      </c>
      <c r="NVO77" s="223">
        <f xml:space="preserve"> InputsTS!NVO$184</f>
        <v>0</v>
      </c>
      <c r="NVP77" s="223">
        <f xml:space="preserve"> InputsTS!NVP$184</f>
        <v>0</v>
      </c>
      <c r="NVQ77" s="223">
        <f xml:space="preserve"> InputsTS!NVQ$184</f>
        <v>0</v>
      </c>
      <c r="NVR77" s="223">
        <f xml:space="preserve"> InputsTS!NVR$184</f>
        <v>0</v>
      </c>
      <c r="NVS77" s="223">
        <f xml:space="preserve"> InputsTS!NVS$184</f>
        <v>0</v>
      </c>
      <c r="NVT77" s="223">
        <f xml:space="preserve"> InputsTS!NVT$184</f>
        <v>0</v>
      </c>
      <c r="NVU77" s="223">
        <f xml:space="preserve"> InputsTS!NVU$184</f>
        <v>0</v>
      </c>
      <c r="NVV77" s="223">
        <f xml:space="preserve"> InputsTS!NVV$184</f>
        <v>0</v>
      </c>
      <c r="NVW77" s="223">
        <f xml:space="preserve"> InputsTS!NVW$184</f>
        <v>0</v>
      </c>
      <c r="NVX77" s="223">
        <f xml:space="preserve"> InputsTS!NVX$184</f>
        <v>0</v>
      </c>
      <c r="NVY77" s="223">
        <f xml:space="preserve"> InputsTS!NVY$184</f>
        <v>0</v>
      </c>
      <c r="NVZ77" s="223">
        <f xml:space="preserve"> InputsTS!NVZ$184</f>
        <v>0</v>
      </c>
      <c r="NWA77" s="223">
        <f xml:space="preserve"> InputsTS!NWA$184</f>
        <v>0</v>
      </c>
      <c r="NWB77" s="223">
        <f xml:space="preserve"> InputsTS!NWB$184</f>
        <v>0</v>
      </c>
      <c r="NWC77" s="223">
        <f xml:space="preserve"> InputsTS!NWC$184</f>
        <v>0</v>
      </c>
      <c r="NWD77" s="223">
        <f xml:space="preserve"> InputsTS!NWD$184</f>
        <v>0</v>
      </c>
      <c r="NWE77" s="223">
        <f xml:space="preserve"> InputsTS!NWE$184</f>
        <v>0</v>
      </c>
      <c r="NWF77" s="223">
        <f xml:space="preserve"> InputsTS!NWF$184</f>
        <v>0</v>
      </c>
      <c r="NWG77" s="223">
        <f xml:space="preserve"> InputsTS!NWG$184</f>
        <v>0</v>
      </c>
      <c r="NWH77" s="223">
        <f xml:space="preserve"> InputsTS!NWH$184</f>
        <v>0</v>
      </c>
      <c r="NWI77" s="223">
        <f xml:space="preserve"> InputsTS!NWI$184</f>
        <v>0</v>
      </c>
      <c r="NWJ77" s="223">
        <f xml:space="preserve"> InputsTS!NWJ$184</f>
        <v>0</v>
      </c>
      <c r="NWK77" s="223">
        <f xml:space="preserve"> InputsTS!NWK$184</f>
        <v>0</v>
      </c>
      <c r="NWL77" s="223">
        <f xml:space="preserve"> InputsTS!NWL$184</f>
        <v>0</v>
      </c>
      <c r="NWM77" s="223">
        <f xml:space="preserve"> InputsTS!NWM$184</f>
        <v>0</v>
      </c>
      <c r="NWN77" s="223">
        <f xml:space="preserve"> InputsTS!NWN$184</f>
        <v>0</v>
      </c>
      <c r="NWO77" s="223">
        <f xml:space="preserve"> InputsTS!NWO$184</f>
        <v>0</v>
      </c>
      <c r="NWP77" s="223">
        <f xml:space="preserve"> InputsTS!NWP$184</f>
        <v>0</v>
      </c>
      <c r="NWQ77" s="223">
        <f xml:space="preserve"> InputsTS!NWQ$184</f>
        <v>0</v>
      </c>
      <c r="NWR77" s="223">
        <f xml:space="preserve"> InputsTS!NWR$184</f>
        <v>0</v>
      </c>
      <c r="NWS77" s="223">
        <f xml:space="preserve"> InputsTS!NWS$184</f>
        <v>0</v>
      </c>
      <c r="NWT77" s="223">
        <f xml:space="preserve"> InputsTS!NWT$184</f>
        <v>0</v>
      </c>
      <c r="NWU77" s="223">
        <f xml:space="preserve"> InputsTS!NWU$184</f>
        <v>0</v>
      </c>
      <c r="NWV77" s="223">
        <f xml:space="preserve"> InputsTS!NWV$184</f>
        <v>0</v>
      </c>
      <c r="NWW77" s="223">
        <f xml:space="preserve"> InputsTS!NWW$184</f>
        <v>0</v>
      </c>
      <c r="NWX77" s="223">
        <f xml:space="preserve"> InputsTS!NWX$184</f>
        <v>0</v>
      </c>
      <c r="NWY77" s="223">
        <f xml:space="preserve"> InputsTS!NWY$184</f>
        <v>0</v>
      </c>
      <c r="NWZ77" s="223">
        <f xml:space="preserve"> InputsTS!NWZ$184</f>
        <v>0</v>
      </c>
      <c r="NXA77" s="223">
        <f xml:space="preserve"> InputsTS!NXA$184</f>
        <v>0</v>
      </c>
      <c r="NXB77" s="223">
        <f xml:space="preserve"> InputsTS!NXB$184</f>
        <v>0</v>
      </c>
      <c r="NXC77" s="223">
        <f xml:space="preserve"> InputsTS!NXC$184</f>
        <v>0</v>
      </c>
      <c r="NXD77" s="223">
        <f xml:space="preserve"> InputsTS!NXD$184</f>
        <v>0</v>
      </c>
      <c r="NXE77" s="223">
        <f xml:space="preserve"> InputsTS!NXE$184</f>
        <v>0</v>
      </c>
      <c r="NXF77" s="223">
        <f xml:space="preserve"> InputsTS!NXF$184</f>
        <v>0</v>
      </c>
      <c r="NXG77" s="223">
        <f xml:space="preserve"> InputsTS!NXG$184</f>
        <v>0</v>
      </c>
      <c r="NXH77" s="223">
        <f xml:space="preserve"> InputsTS!NXH$184</f>
        <v>0</v>
      </c>
      <c r="NXI77" s="223">
        <f xml:space="preserve"> InputsTS!NXI$184</f>
        <v>0</v>
      </c>
      <c r="NXJ77" s="223">
        <f xml:space="preserve"> InputsTS!NXJ$184</f>
        <v>0</v>
      </c>
      <c r="NXK77" s="223">
        <f xml:space="preserve"> InputsTS!NXK$184</f>
        <v>0</v>
      </c>
      <c r="NXL77" s="223">
        <f xml:space="preserve"> InputsTS!NXL$184</f>
        <v>0</v>
      </c>
      <c r="NXM77" s="223">
        <f xml:space="preserve"> InputsTS!NXM$184</f>
        <v>0</v>
      </c>
      <c r="NXN77" s="223">
        <f xml:space="preserve"> InputsTS!NXN$184</f>
        <v>0</v>
      </c>
      <c r="NXO77" s="223">
        <f xml:space="preserve"> InputsTS!NXO$184</f>
        <v>0</v>
      </c>
      <c r="NXP77" s="223">
        <f xml:space="preserve"> InputsTS!NXP$184</f>
        <v>0</v>
      </c>
      <c r="NXQ77" s="223">
        <f xml:space="preserve"> InputsTS!NXQ$184</f>
        <v>0</v>
      </c>
      <c r="NXR77" s="223">
        <f xml:space="preserve"> InputsTS!NXR$184</f>
        <v>0</v>
      </c>
      <c r="NXS77" s="223">
        <f xml:space="preserve"> InputsTS!NXS$184</f>
        <v>0</v>
      </c>
      <c r="NXT77" s="223">
        <f xml:space="preserve"> InputsTS!NXT$184</f>
        <v>0</v>
      </c>
      <c r="NXU77" s="223">
        <f xml:space="preserve"> InputsTS!NXU$184</f>
        <v>0</v>
      </c>
      <c r="NXV77" s="223">
        <f xml:space="preserve"> InputsTS!NXV$184</f>
        <v>0</v>
      </c>
      <c r="NXW77" s="223">
        <f xml:space="preserve"> InputsTS!NXW$184</f>
        <v>0</v>
      </c>
      <c r="NXX77" s="223">
        <f xml:space="preserve"> InputsTS!NXX$184</f>
        <v>0</v>
      </c>
      <c r="NXY77" s="223">
        <f xml:space="preserve"> InputsTS!NXY$184</f>
        <v>0</v>
      </c>
      <c r="NXZ77" s="223">
        <f xml:space="preserve"> InputsTS!NXZ$184</f>
        <v>0</v>
      </c>
      <c r="NYA77" s="223">
        <f xml:space="preserve"> InputsTS!NYA$184</f>
        <v>0</v>
      </c>
      <c r="NYB77" s="223">
        <f xml:space="preserve"> InputsTS!NYB$184</f>
        <v>0</v>
      </c>
      <c r="NYC77" s="223">
        <f xml:space="preserve"> InputsTS!NYC$184</f>
        <v>0</v>
      </c>
      <c r="NYD77" s="223">
        <f xml:space="preserve"> InputsTS!NYD$184</f>
        <v>0</v>
      </c>
      <c r="NYE77" s="223">
        <f xml:space="preserve"> InputsTS!NYE$184</f>
        <v>0</v>
      </c>
      <c r="NYF77" s="223">
        <f xml:space="preserve"> InputsTS!NYF$184</f>
        <v>0</v>
      </c>
      <c r="NYG77" s="223">
        <f xml:space="preserve"> InputsTS!NYG$184</f>
        <v>0</v>
      </c>
      <c r="NYH77" s="223">
        <f xml:space="preserve"> InputsTS!NYH$184</f>
        <v>0</v>
      </c>
      <c r="NYI77" s="223">
        <f xml:space="preserve"> InputsTS!NYI$184</f>
        <v>0</v>
      </c>
      <c r="NYJ77" s="223">
        <f xml:space="preserve"> InputsTS!NYJ$184</f>
        <v>0</v>
      </c>
      <c r="NYK77" s="223">
        <f xml:space="preserve"> InputsTS!NYK$184</f>
        <v>0</v>
      </c>
      <c r="NYL77" s="223">
        <f xml:space="preserve"> InputsTS!NYL$184</f>
        <v>0</v>
      </c>
      <c r="NYM77" s="223">
        <f xml:space="preserve"> InputsTS!NYM$184</f>
        <v>0</v>
      </c>
      <c r="NYN77" s="223">
        <f xml:space="preserve"> InputsTS!NYN$184</f>
        <v>0</v>
      </c>
      <c r="NYO77" s="223">
        <f xml:space="preserve"> InputsTS!NYO$184</f>
        <v>0</v>
      </c>
      <c r="NYP77" s="223">
        <f xml:space="preserve"> InputsTS!NYP$184</f>
        <v>0</v>
      </c>
      <c r="NYQ77" s="223">
        <f xml:space="preserve"> InputsTS!NYQ$184</f>
        <v>0</v>
      </c>
      <c r="NYR77" s="223">
        <f xml:space="preserve"> InputsTS!NYR$184</f>
        <v>0</v>
      </c>
      <c r="NYS77" s="223">
        <f xml:space="preserve"> InputsTS!NYS$184</f>
        <v>0</v>
      </c>
      <c r="NYT77" s="223">
        <f xml:space="preserve"> InputsTS!NYT$184</f>
        <v>0</v>
      </c>
      <c r="NYU77" s="223">
        <f xml:space="preserve"> InputsTS!NYU$184</f>
        <v>0</v>
      </c>
      <c r="NYV77" s="223">
        <f xml:space="preserve"> InputsTS!NYV$184</f>
        <v>0</v>
      </c>
      <c r="NYW77" s="223">
        <f xml:space="preserve"> InputsTS!NYW$184</f>
        <v>0</v>
      </c>
      <c r="NYX77" s="223">
        <f xml:space="preserve"> InputsTS!NYX$184</f>
        <v>0</v>
      </c>
      <c r="NYY77" s="223">
        <f xml:space="preserve"> InputsTS!NYY$184</f>
        <v>0</v>
      </c>
      <c r="NYZ77" s="223">
        <f xml:space="preserve"> InputsTS!NYZ$184</f>
        <v>0</v>
      </c>
      <c r="NZA77" s="223">
        <f xml:space="preserve"> InputsTS!NZA$184</f>
        <v>0</v>
      </c>
      <c r="NZB77" s="223">
        <f xml:space="preserve"> InputsTS!NZB$184</f>
        <v>0</v>
      </c>
      <c r="NZC77" s="223">
        <f xml:space="preserve"> InputsTS!NZC$184</f>
        <v>0</v>
      </c>
      <c r="NZD77" s="223">
        <f xml:space="preserve"> InputsTS!NZD$184</f>
        <v>0</v>
      </c>
      <c r="NZE77" s="223">
        <f xml:space="preserve"> InputsTS!NZE$184</f>
        <v>0</v>
      </c>
      <c r="NZF77" s="223">
        <f xml:space="preserve"> InputsTS!NZF$184</f>
        <v>0</v>
      </c>
      <c r="NZG77" s="223">
        <f xml:space="preserve"> InputsTS!NZG$184</f>
        <v>0</v>
      </c>
      <c r="NZH77" s="223">
        <f xml:space="preserve"> InputsTS!NZH$184</f>
        <v>0</v>
      </c>
      <c r="NZI77" s="223">
        <f xml:space="preserve"> InputsTS!NZI$184</f>
        <v>0</v>
      </c>
      <c r="NZJ77" s="223">
        <f xml:space="preserve"> InputsTS!NZJ$184</f>
        <v>0</v>
      </c>
      <c r="NZK77" s="223">
        <f xml:space="preserve"> InputsTS!NZK$184</f>
        <v>0</v>
      </c>
      <c r="NZL77" s="223">
        <f xml:space="preserve"> InputsTS!NZL$184</f>
        <v>0</v>
      </c>
      <c r="NZM77" s="223">
        <f xml:space="preserve"> InputsTS!NZM$184</f>
        <v>0</v>
      </c>
      <c r="NZN77" s="223">
        <f xml:space="preserve"> InputsTS!NZN$184</f>
        <v>0</v>
      </c>
      <c r="NZO77" s="223">
        <f xml:space="preserve"> InputsTS!NZO$184</f>
        <v>0</v>
      </c>
      <c r="NZP77" s="223">
        <f xml:space="preserve"> InputsTS!NZP$184</f>
        <v>0</v>
      </c>
      <c r="NZQ77" s="223">
        <f xml:space="preserve"> InputsTS!NZQ$184</f>
        <v>0</v>
      </c>
      <c r="NZR77" s="223">
        <f xml:space="preserve"> InputsTS!NZR$184</f>
        <v>0</v>
      </c>
      <c r="NZS77" s="223">
        <f xml:space="preserve"> InputsTS!NZS$184</f>
        <v>0</v>
      </c>
      <c r="NZT77" s="223">
        <f xml:space="preserve"> InputsTS!NZT$184</f>
        <v>0</v>
      </c>
      <c r="NZU77" s="223">
        <f xml:space="preserve"> InputsTS!NZU$184</f>
        <v>0</v>
      </c>
      <c r="NZV77" s="223">
        <f xml:space="preserve"> InputsTS!NZV$184</f>
        <v>0</v>
      </c>
      <c r="NZW77" s="223">
        <f xml:space="preserve"> InputsTS!NZW$184</f>
        <v>0</v>
      </c>
      <c r="NZX77" s="223">
        <f xml:space="preserve"> InputsTS!NZX$184</f>
        <v>0</v>
      </c>
      <c r="NZY77" s="223">
        <f xml:space="preserve"> InputsTS!NZY$184</f>
        <v>0</v>
      </c>
      <c r="NZZ77" s="223">
        <f xml:space="preserve"> InputsTS!NZZ$184</f>
        <v>0</v>
      </c>
      <c r="OAA77" s="223">
        <f xml:space="preserve"> InputsTS!OAA$184</f>
        <v>0</v>
      </c>
      <c r="OAB77" s="223">
        <f xml:space="preserve"> InputsTS!OAB$184</f>
        <v>0</v>
      </c>
      <c r="OAC77" s="223">
        <f xml:space="preserve"> InputsTS!OAC$184</f>
        <v>0</v>
      </c>
      <c r="OAD77" s="223">
        <f xml:space="preserve"> InputsTS!OAD$184</f>
        <v>0</v>
      </c>
      <c r="OAE77" s="223">
        <f xml:space="preserve"> InputsTS!OAE$184</f>
        <v>0</v>
      </c>
      <c r="OAF77" s="223">
        <f xml:space="preserve"> InputsTS!OAF$184</f>
        <v>0</v>
      </c>
      <c r="OAG77" s="223">
        <f xml:space="preserve"> InputsTS!OAG$184</f>
        <v>0</v>
      </c>
      <c r="OAH77" s="223">
        <f xml:space="preserve"> InputsTS!OAH$184</f>
        <v>0</v>
      </c>
      <c r="OAI77" s="223">
        <f xml:space="preserve"> InputsTS!OAI$184</f>
        <v>0</v>
      </c>
      <c r="OAJ77" s="223">
        <f xml:space="preserve"> InputsTS!OAJ$184</f>
        <v>0</v>
      </c>
      <c r="OAK77" s="223">
        <f xml:space="preserve"> InputsTS!OAK$184</f>
        <v>0</v>
      </c>
      <c r="OAL77" s="223">
        <f xml:space="preserve"> InputsTS!OAL$184</f>
        <v>0</v>
      </c>
      <c r="OAM77" s="223">
        <f xml:space="preserve"> InputsTS!OAM$184</f>
        <v>0</v>
      </c>
      <c r="OAN77" s="223">
        <f xml:space="preserve"> InputsTS!OAN$184</f>
        <v>0</v>
      </c>
      <c r="OAO77" s="223">
        <f xml:space="preserve"> InputsTS!OAO$184</f>
        <v>0</v>
      </c>
      <c r="OAP77" s="223">
        <f xml:space="preserve"> InputsTS!OAP$184</f>
        <v>0</v>
      </c>
      <c r="OAQ77" s="223">
        <f xml:space="preserve"> InputsTS!OAQ$184</f>
        <v>0</v>
      </c>
      <c r="OAR77" s="223">
        <f xml:space="preserve"> InputsTS!OAR$184</f>
        <v>0</v>
      </c>
      <c r="OAS77" s="223">
        <f xml:space="preserve"> InputsTS!OAS$184</f>
        <v>0</v>
      </c>
      <c r="OAT77" s="223">
        <f xml:space="preserve"> InputsTS!OAT$184</f>
        <v>0</v>
      </c>
      <c r="OAU77" s="223">
        <f xml:space="preserve"> InputsTS!OAU$184</f>
        <v>0</v>
      </c>
      <c r="OAV77" s="223">
        <f xml:space="preserve"> InputsTS!OAV$184</f>
        <v>0</v>
      </c>
      <c r="OAW77" s="223">
        <f xml:space="preserve"> InputsTS!OAW$184</f>
        <v>0</v>
      </c>
      <c r="OAX77" s="223">
        <f xml:space="preserve"> InputsTS!OAX$184</f>
        <v>0</v>
      </c>
      <c r="OAY77" s="223">
        <f xml:space="preserve"> InputsTS!OAY$184</f>
        <v>0</v>
      </c>
      <c r="OAZ77" s="223">
        <f xml:space="preserve"> InputsTS!OAZ$184</f>
        <v>0</v>
      </c>
      <c r="OBA77" s="223">
        <f xml:space="preserve"> InputsTS!OBA$184</f>
        <v>0</v>
      </c>
      <c r="OBB77" s="223">
        <f xml:space="preserve"> InputsTS!OBB$184</f>
        <v>0</v>
      </c>
      <c r="OBC77" s="223">
        <f xml:space="preserve"> InputsTS!OBC$184</f>
        <v>0</v>
      </c>
      <c r="OBD77" s="223">
        <f xml:space="preserve"> InputsTS!OBD$184</f>
        <v>0</v>
      </c>
      <c r="OBE77" s="223">
        <f xml:space="preserve"> InputsTS!OBE$184</f>
        <v>0</v>
      </c>
      <c r="OBF77" s="223">
        <f xml:space="preserve"> InputsTS!OBF$184</f>
        <v>0</v>
      </c>
      <c r="OBG77" s="223">
        <f xml:space="preserve"> InputsTS!OBG$184</f>
        <v>0</v>
      </c>
      <c r="OBH77" s="223">
        <f xml:space="preserve"> InputsTS!OBH$184</f>
        <v>0</v>
      </c>
      <c r="OBI77" s="223">
        <f xml:space="preserve"> InputsTS!OBI$184</f>
        <v>0</v>
      </c>
      <c r="OBJ77" s="223">
        <f xml:space="preserve"> InputsTS!OBJ$184</f>
        <v>0</v>
      </c>
      <c r="OBK77" s="223">
        <f xml:space="preserve"> InputsTS!OBK$184</f>
        <v>0</v>
      </c>
      <c r="OBL77" s="223">
        <f xml:space="preserve"> InputsTS!OBL$184</f>
        <v>0</v>
      </c>
      <c r="OBM77" s="223">
        <f xml:space="preserve"> InputsTS!OBM$184</f>
        <v>0</v>
      </c>
      <c r="OBN77" s="223">
        <f xml:space="preserve"> InputsTS!OBN$184</f>
        <v>0</v>
      </c>
      <c r="OBO77" s="223">
        <f xml:space="preserve"> InputsTS!OBO$184</f>
        <v>0</v>
      </c>
      <c r="OBP77" s="223">
        <f xml:space="preserve"> InputsTS!OBP$184</f>
        <v>0</v>
      </c>
      <c r="OBQ77" s="223">
        <f xml:space="preserve"> InputsTS!OBQ$184</f>
        <v>0</v>
      </c>
      <c r="OBR77" s="223">
        <f xml:space="preserve"> InputsTS!OBR$184</f>
        <v>0</v>
      </c>
      <c r="OBS77" s="223">
        <f xml:space="preserve"> InputsTS!OBS$184</f>
        <v>0</v>
      </c>
      <c r="OBT77" s="223">
        <f xml:space="preserve"> InputsTS!OBT$184</f>
        <v>0</v>
      </c>
      <c r="OBU77" s="223">
        <f xml:space="preserve"> InputsTS!OBU$184</f>
        <v>0</v>
      </c>
      <c r="OBV77" s="223">
        <f xml:space="preserve"> InputsTS!OBV$184</f>
        <v>0</v>
      </c>
      <c r="OBW77" s="223">
        <f xml:space="preserve"> InputsTS!OBW$184</f>
        <v>0</v>
      </c>
      <c r="OBX77" s="223">
        <f xml:space="preserve"> InputsTS!OBX$184</f>
        <v>0</v>
      </c>
      <c r="OBY77" s="223">
        <f xml:space="preserve"> InputsTS!OBY$184</f>
        <v>0</v>
      </c>
      <c r="OBZ77" s="223">
        <f xml:space="preserve"> InputsTS!OBZ$184</f>
        <v>0</v>
      </c>
      <c r="OCA77" s="223">
        <f xml:space="preserve"> InputsTS!OCA$184</f>
        <v>0</v>
      </c>
      <c r="OCB77" s="223">
        <f xml:space="preserve"> InputsTS!OCB$184</f>
        <v>0</v>
      </c>
      <c r="OCC77" s="223">
        <f xml:space="preserve"> InputsTS!OCC$184</f>
        <v>0</v>
      </c>
      <c r="OCD77" s="223">
        <f xml:space="preserve"> InputsTS!OCD$184</f>
        <v>0</v>
      </c>
      <c r="OCE77" s="223">
        <f xml:space="preserve"> InputsTS!OCE$184</f>
        <v>0</v>
      </c>
      <c r="OCF77" s="223">
        <f xml:space="preserve"> InputsTS!OCF$184</f>
        <v>0</v>
      </c>
      <c r="OCG77" s="223">
        <f xml:space="preserve"> InputsTS!OCG$184</f>
        <v>0</v>
      </c>
      <c r="OCH77" s="223">
        <f xml:space="preserve"> InputsTS!OCH$184</f>
        <v>0</v>
      </c>
      <c r="OCI77" s="223">
        <f xml:space="preserve"> InputsTS!OCI$184</f>
        <v>0</v>
      </c>
      <c r="OCJ77" s="223">
        <f xml:space="preserve"> InputsTS!OCJ$184</f>
        <v>0</v>
      </c>
      <c r="OCK77" s="223">
        <f xml:space="preserve"> InputsTS!OCK$184</f>
        <v>0</v>
      </c>
      <c r="OCL77" s="223">
        <f xml:space="preserve"> InputsTS!OCL$184</f>
        <v>0</v>
      </c>
      <c r="OCM77" s="223">
        <f xml:space="preserve"> InputsTS!OCM$184</f>
        <v>0</v>
      </c>
      <c r="OCN77" s="223">
        <f xml:space="preserve"> InputsTS!OCN$184</f>
        <v>0</v>
      </c>
      <c r="OCO77" s="223">
        <f xml:space="preserve"> InputsTS!OCO$184</f>
        <v>0</v>
      </c>
      <c r="OCP77" s="223">
        <f xml:space="preserve"> InputsTS!OCP$184</f>
        <v>0</v>
      </c>
      <c r="OCQ77" s="223">
        <f xml:space="preserve"> InputsTS!OCQ$184</f>
        <v>0</v>
      </c>
      <c r="OCR77" s="223">
        <f xml:space="preserve"> InputsTS!OCR$184</f>
        <v>0</v>
      </c>
      <c r="OCS77" s="223">
        <f xml:space="preserve"> InputsTS!OCS$184</f>
        <v>0</v>
      </c>
      <c r="OCT77" s="223">
        <f xml:space="preserve"> InputsTS!OCT$184</f>
        <v>0</v>
      </c>
      <c r="OCU77" s="223">
        <f xml:space="preserve"> InputsTS!OCU$184</f>
        <v>0</v>
      </c>
      <c r="OCV77" s="223">
        <f xml:space="preserve"> InputsTS!OCV$184</f>
        <v>0</v>
      </c>
      <c r="OCW77" s="223">
        <f xml:space="preserve"> InputsTS!OCW$184</f>
        <v>0</v>
      </c>
      <c r="OCX77" s="223">
        <f xml:space="preserve"> InputsTS!OCX$184</f>
        <v>0</v>
      </c>
      <c r="OCY77" s="223">
        <f xml:space="preserve"> InputsTS!OCY$184</f>
        <v>0</v>
      </c>
      <c r="OCZ77" s="223">
        <f xml:space="preserve"> InputsTS!OCZ$184</f>
        <v>0</v>
      </c>
      <c r="ODA77" s="223">
        <f xml:space="preserve"> InputsTS!ODA$184</f>
        <v>0</v>
      </c>
      <c r="ODB77" s="223">
        <f xml:space="preserve"> InputsTS!ODB$184</f>
        <v>0</v>
      </c>
      <c r="ODC77" s="223">
        <f xml:space="preserve"> InputsTS!ODC$184</f>
        <v>0</v>
      </c>
      <c r="ODD77" s="223">
        <f xml:space="preserve"> InputsTS!ODD$184</f>
        <v>0</v>
      </c>
      <c r="ODE77" s="223">
        <f xml:space="preserve"> InputsTS!ODE$184</f>
        <v>0</v>
      </c>
      <c r="ODF77" s="223">
        <f xml:space="preserve"> InputsTS!ODF$184</f>
        <v>0</v>
      </c>
      <c r="ODG77" s="223">
        <f xml:space="preserve"> InputsTS!ODG$184</f>
        <v>0</v>
      </c>
      <c r="ODH77" s="223">
        <f xml:space="preserve"> InputsTS!ODH$184</f>
        <v>0</v>
      </c>
      <c r="ODI77" s="223">
        <f xml:space="preserve"> InputsTS!ODI$184</f>
        <v>0</v>
      </c>
      <c r="ODJ77" s="223">
        <f xml:space="preserve"> InputsTS!ODJ$184</f>
        <v>0</v>
      </c>
      <c r="ODK77" s="223">
        <f xml:space="preserve"> InputsTS!ODK$184</f>
        <v>0</v>
      </c>
      <c r="ODL77" s="223">
        <f xml:space="preserve"> InputsTS!ODL$184</f>
        <v>0</v>
      </c>
      <c r="ODM77" s="223">
        <f xml:space="preserve"> InputsTS!ODM$184</f>
        <v>0</v>
      </c>
      <c r="ODN77" s="223">
        <f xml:space="preserve"> InputsTS!ODN$184</f>
        <v>0</v>
      </c>
      <c r="ODO77" s="223">
        <f xml:space="preserve"> InputsTS!ODO$184</f>
        <v>0</v>
      </c>
      <c r="ODP77" s="223">
        <f xml:space="preserve"> InputsTS!ODP$184</f>
        <v>0</v>
      </c>
      <c r="ODQ77" s="223">
        <f xml:space="preserve"> InputsTS!ODQ$184</f>
        <v>0</v>
      </c>
      <c r="ODR77" s="223">
        <f xml:space="preserve"> InputsTS!ODR$184</f>
        <v>0</v>
      </c>
      <c r="ODS77" s="223">
        <f xml:space="preserve"> InputsTS!ODS$184</f>
        <v>0</v>
      </c>
      <c r="ODT77" s="223">
        <f xml:space="preserve"> InputsTS!ODT$184</f>
        <v>0</v>
      </c>
      <c r="ODU77" s="223">
        <f xml:space="preserve"> InputsTS!ODU$184</f>
        <v>0</v>
      </c>
      <c r="ODV77" s="223">
        <f xml:space="preserve"> InputsTS!ODV$184</f>
        <v>0</v>
      </c>
      <c r="ODW77" s="223">
        <f xml:space="preserve"> InputsTS!ODW$184</f>
        <v>0</v>
      </c>
      <c r="ODX77" s="223">
        <f xml:space="preserve"> InputsTS!ODX$184</f>
        <v>0</v>
      </c>
      <c r="ODY77" s="223">
        <f xml:space="preserve"> InputsTS!ODY$184</f>
        <v>0</v>
      </c>
      <c r="ODZ77" s="223">
        <f xml:space="preserve"> InputsTS!ODZ$184</f>
        <v>0</v>
      </c>
      <c r="OEA77" s="223">
        <f xml:space="preserve"> InputsTS!OEA$184</f>
        <v>0</v>
      </c>
      <c r="OEB77" s="223">
        <f xml:space="preserve"> InputsTS!OEB$184</f>
        <v>0</v>
      </c>
      <c r="OEC77" s="223">
        <f xml:space="preserve"> InputsTS!OEC$184</f>
        <v>0</v>
      </c>
      <c r="OED77" s="223">
        <f xml:space="preserve"> InputsTS!OED$184</f>
        <v>0</v>
      </c>
      <c r="OEE77" s="223">
        <f xml:space="preserve"> InputsTS!OEE$184</f>
        <v>0</v>
      </c>
      <c r="OEF77" s="223">
        <f xml:space="preserve"> InputsTS!OEF$184</f>
        <v>0</v>
      </c>
      <c r="OEG77" s="223">
        <f xml:space="preserve"> InputsTS!OEG$184</f>
        <v>0</v>
      </c>
      <c r="OEH77" s="223">
        <f xml:space="preserve"> InputsTS!OEH$184</f>
        <v>0</v>
      </c>
      <c r="OEI77" s="223">
        <f xml:space="preserve"> InputsTS!OEI$184</f>
        <v>0</v>
      </c>
      <c r="OEJ77" s="223">
        <f xml:space="preserve"> InputsTS!OEJ$184</f>
        <v>0</v>
      </c>
      <c r="OEK77" s="223">
        <f xml:space="preserve"> InputsTS!OEK$184</f>
        <v>0</v>
      </c>
      <c r="OEL77" s="223">
        <f xml:space="preserve"> InputsTS!OEL$184</f>
        <v>0</v>
      </c>
      <c r="OEM77" s="223">
        <f xml:space="preserve"> InputsTS!OEM$184</f>
        <v>0</v>
      </c>
      <c r="OEN77" s="223">
        <f xml:space="preserve"> InputsTS!OEN$184</f>
        <v>0</v>
      </c>
      <c r="OEO77" s="223">
        <f xml:space="preserve"> InputsTS!OEO$184</f>
        <v>0</v>
      </c>
      <c r="OEP77" s="223">
        <f xml:space="preserve"> InputsTS!OEP$184</f>
        <v>0</v>
      </c>
      <c r="OEQ77" s="223">
        <f xml:space="preserve"> InputsTS!OEQ$184</f>
        <v>0</v>
      </c>
      <c r="OER77" s="223">
        <f xml:space="preserve"> InputsTS!OER$184</f>
        <v>0</v>
      </c>
      <c r="OES77" s="223">
        <f xml:space="preserve"> InputsTS!OES$184</f>
        <v>0</v>
      </c>
      <c r="OET77" s="223">
        <f xml:space="preserve"> InputsTS!OET$184</f>
        <v>0</v>
      </c>
      <c r="OEU77" s="223">
        <f xml:space="preserve"> InputsTS!OEU$184</f>
        <v>0</v>
      </c>
      <c r="OEV77" s="223">
        <f xml:space="preserve"> InputsTS!OEV$184</f>
        <v>0</v>
      </c>
      <c r="OEW77" s="223">
        <f xml:space="preserve"> InputsTS!OEW$184</f>
        <v>0</v>
      </c>
      <c r="OEX77" s="223">
        <f xml:space="preserve"> InputsTS!OEX$184</f>
        <v>0</v>
      </c>
      <c r="OEY77" s="223">
        <f xml:space="preserve"> InputsTS!OEY$184</f>
        <v>0</v>
      </c>
      <c r="OEZ77" s="223">
        <f xml:space="preserve"> InputsTS!OEZ$184</f>
        <v>0</v>
      </c>
      <c r="OFA77" s="223">
        <f xml:space="preserve"> InputsTS!OFA$184</f>
        <v>0</v>
      </c>
      <c r="OFB77" s="223">
        <f xml:space="preserve"> InputsTS!OFB$184</f>
        <v>0</v>
      </c>
      <c r="OFC77" s="223">
        <f xml:space="preserve"> InputsTS!OFC$184</f>
        <v>0</v>
      </c>
      <c r="OFD77" s="223">
        <f xml:space="preserve"> InputsTS!OFD$184</f>
        <v>0</v>
      </c>
      <c r="OFE77" s="223">
        <f xml:space="preserve"> InputsTS!OFE$184</f>
        <v>0</v>
      </c>
      <c r="OFF77" s="223">
        <f xml:space="preserve"> InputsTS!OFF$184</f>
        <v>0</v>
      </c>
      <c r="OFG77" s="223">
        <f xml:space="preserve"> InputsTS!OFG$184</f>
        <v>0</v>
      </c>
      <c r="OFH77" s="223">
        <f xml:space="preserve"> InputsTS!OFH$184</f>
        <v>0</v>
      </c>
      <c r="OFI77" s="223">
        <f xml:space="preserve"> InputsTS!OFI$184</f>
        <v>0</v>
      </c>
      <c r="OFJ77" s="223">
        <f xml:space="preserve"> InputsTS!OFJ$184</f>
        <v>0</v>
      </c>
      <c r="OFK77" s="223">
        <f xml:space="preserve"> InputsTS!OFK$184</f>
        <v>0</v>
      </c>
      <c r="OFL77" s="223">
        <f xml:space="preserve"> InputsTS!OFL$184</f>
        <v>0</v>
      </c>
      <c r="OFM77" s="223">
        <f xml:space="preserve"> InputsTS!OFM$184</f>
        <v>0</v>
      </c>
      <c r="OFN77" s="223">
        <f xml:space="preserve"> InputsTS!OFN$184</f>
        <v>0</v>
      </c>
      <c r="OFO77" s="223">
        <f xml:space="preserve"> InputsTS!OFO$184</f>
        <v>0</v>
      </c>
      <c r="OFP77" s="223">
        <f xml:space="preserve"> InputsTS!OFP$184</f>
        <v>0</v>
      </c>
      <c r="OFQ77" s="223">
        <f xml:space="preserve"> InputsTS!OFQ$184</f>
        <v>0</v>
      </c>
      <c r="OFR77" s="223">
        <f xml:space="preserve"> InputsTS!OFR$184</f>
        <v>0</v>
      </c>
      <c r="OFS77" s="223">
        <f xml:space="preserve"> InputsTS!OFS$184</f>
        <v>0</v>
      </c>
      <c r="OFT77" s="223">
        <f xml:space="preserve"> InputsTS!OFT$184</f>
        <v>0</v>
      </c>
      <c r="OFU77" s="223">
        <f xml:space="preserve"> InputsTS!OFU$184</f>
        <v>0</v>
      </c>
      <c r="OFV77" s="223">
        <f xml:space="preserve"> InputsTS!OFV$184</f>
        <v>0</v>
      </c>
      <c r="OFW77" s="223">
        <f xml:space="preserve"> InputsTS!OFW$184</f>
        <v>0</v>
      </c>
      <c r="OFX77" s="223">
        <f xml:space="preserve"> InputsTS!OFX$184</f>
        <v>0</v>
      </c>
      <c r="OFY77" s="223">
        <f xml:space="preserve"> InputsTS!OFY$184</f>
        <v>0</v>
      </c>
      <c r="OFZ77" s="223">
        <f xml:space="preserve"> InputsTS!OFZ$184</f>
        <v>0</v>
      </c>
      <c r="OGA77" s="223">
        <f xml:space="preserve"> InputsTS!OGA$184</f>
        <v>0</v>
      </c>
      <c r="OGB77" s="223">
        <f xml:space="preserve"> InputsTS!OGB$184</f>
        <v>0</v>
      </c>
      <c r="OGC77" s="223">
        <f xml:space="preserve"> InputsTS!OGC$184</f>
        <v>0</v>
      </c>
      <c r="OGD77" s="223">
        <f xml:space="preserve"> InputsTS!OGD$184</f>
        <v>0</v>
      </c>
      <c r="OGE77" s="223">
        <f xml:space="preserve"> InputsTS!OGE$184</f>
        <v>0</v>
      </c>
      <c r="OGF77" s="223">
        <f xml:space="preserve"> InputsTS!OGF$184</f>
        <v>0</v>
      </c>
      <c r="OGG77" s="223">
        <f xml:space="preserve"> InputsTS!OGG$184</f>
        <v>0</v>
      </c>
      <c r="OGH77" s="223">
        <f xml:space="preserve"> InputsTS!OGH$184</f>
        <v>0</v>
      </c>
      <c r="OGI77" s="223">
        <f xml:space="preserve"> InputsTS!OGI$184</f>
        <v>0</v>
      </c>
      <c r="OGJ77" s="223">
        <f xml:space="preserve"> InputsTS!OGJ$184</f>
        <v>0</v>
      </c>
      <c r="OGK77" s="223">
        <f xml:space="preserve"> InputsTS!OGK$184</f>
        <v>0</v>
      </c>
      <c r="OGL77" s="223">
        <f xml:space="preserve"> InputsTS!OGL$184</f>
        <v>0</v>
      </c>
      <c r="OGM77" s="223">
        <f xml:space="preserve"> InputsTS!OGM$184</f>
        <v>0</v>
      </c>
      <c r="OGN77" s="223">
        <f xml:space="preserve"> InputsTS!OGN$184</f>
        <v>0</v>
      </c>
      <c r="OGO77" s="223">
        <f xml:space="preserve"> InputsTS!OGO$184</f>
        <v>0</v>
      </c>
      <c r="OGP77" s="223">
        <f xml:space="preserve"> InputsTS!OGP$184</f>
        <v>0</v>
      </c>
      <c r="OGQ77" s="223">
        <f xml:space="preserve"> InputsTS!OGQ$184</f>
        <v>0</v>
      </c>
      <c r="OGR77" s="223">
        <f xml:space="preserve"> InputsTS!OGR$184</f>
        <v>0</v>
      </c>
      <c r="OGS77" s="223">
        <f xml:space="preserve"> InputsTS!OGS$184</f>
        <v>0</v>
      </c>
      <c r="OGT77" s="223">
        <f xml:space="preserve"> InputsTS!OGT$184</f>
        <v>0</v>
      </c>
      <c r="OGU77" s="223">
        <f xml:space="preserve"> InputsTS!OGU$184</f>
        <v>0</v>
      </c>
      <c r="OGV77" s="223">
        <f xml:space="preserve"> InputsTS!OGV$184</f>
        <v>0</v>
      </c>
      <c r="OGW77" s="223">
        <f xml:space="preserve"> InputsTS!OGW$184</f>
        <v>0</v>
      </c>
      <c r="OGX77" s="223">
        <f xml:space="preserve"> InputsTS!OGX$184</f>
        <v>0</v>
      </c>
      <c r="OGY77" s="223">
        <f xml:space="preserve"> InputsTS!OGY$184</f>
        <v>0</v>
      </c>
      <c r="OGZ77" s="223">
        <f xml:space="preserve"> InputsTS!OGZ$184</f>
        <v>0</v>
      </c>
      <c r="OHA77" s="223">
        <f xml:space="preserve"> InputsTS!OHA$184</f>
        <v>0</v>
      </c>
      <c r="OHB77" s="223">
        <f xml:space="preserve"> InputsTS!OHB$184</f>
        <v>0</v>
      </c>
      <c r="OHC77" s="223">
        <f xml:space="preserve"> InputsTS!OHC$184</f>
        <v>0</v>
      </c>
      <c r="OHD77" s="223">
        <f xml:space="preserve"> InputsTS!OHD$184</f>
        <v>0</v>
      </c>
      <c r="OHE77" s="223">
        <f xml:space="preserve"> InputsTS!OHE$184</f>
        <v>0</v>
      </c>
      <c r="OHF77" s="223">
        <f xml:space="preserve"> InputsTS!OHF$184</f>
        <v>0</v>
      </c>
      <c r="OHG77" s="223">
        <f xml:space="preserve"> InputsTS!OHG$184</f>
        <v>0</v>
      </c>
      <c r="OHH77" s="223">
        <f xml:space="preserve"> InputsTS!OHH$184</f>
        <v>0</v>
      </c>
      <c r="OHI77" s="223">
        <f xml:space="preserve"> InputsTS!OHI$184</f>
        <v>0</v>
      </c>
      <c r="OHJ77" s="223">
        <f xml:space="preserve"> InputsTS!OHJ$184</f>
        <v>0</v>
      </c>
      <c r="OHK77" s="223">
        <f xml:space="preserve"> InputsTS!OHK$184</f>
        <v>0</v>
      </c>
      <c r="OHL77" s="223">
        <f xml:space="preserve"> InputsTS!OHL$184</f>
        <v>0</v>
      </c>
      <c r="OHM77" s="223">
        <f xml:space="preserve"> InputsTS!OHM$184</f>
        <v>0</v>
      </c>
      <c r="OHN77" s="223">
        <f xml:space="preserve"> InputsTS!OHN$184</f>
        <v>0</v>
      </c>
      <c r="OHO77" s="223">
        <f xml:space="preserve"> InputsTS!OHO$184</f>
        <v>0</v>
      </c>
      <c r="OHP77" s="223">
        <f xml:space="preserve"> InputsTS!OHP$184</f>
        <v>0</v>
      </c>
      <c r="OHQ77" s="223">
        <f xml:space="preserve"> InputsTS!OHQ$184</f>
        <v>0</v>
      </c>
      <c r="OHR77" s="223">
        <f xml:space="preserve"> InputsTS!OHR$184</f>
        <v>0</v>
      </c>
      <c r="OHS77" s="223">
        <f xml:space="preserve"> InputsTS!OHS$184</f>
        <v>0</v>
      </c>
      <c r="OHT77" s="223">
        <f xml:space="preserve"> InputsTS!OHT$184</f>
        <v>0</v>
      </c>
      <c r="OHU77" s="223">
        <f xml:space="preserve"> InputsTS!OHU$184</f>
        <v>0</v>
      </c>
      <c r="OHV77" s="223">
        <f xml:space="preserve"> InputsTS!OHV$184</f>
        <v>0</v>
      </c>
      <c r="OHW77" s="223">
        <f xml:space="preserve"> InputsTS!OHW$184</f>
        <v>0</v>
      </c>
      <c r="OHX77" s="223">
        <f xml:space="preserve"> InputsTS!OHX$184</f>
        <v>0</v>
      </c>
      <c r="OHY77" s="223">
        <f xml:space="preserve"> InputsTS!OHY$184</f>
        <v>0</v>
      </c>
      <c r="OHZ77" s="223">
        <f xml:space="preserve"> InputsTS!OHZ$184</f>
        <v>0</v>
      </c>
      <c r="OIA77" s="223">
        <f xml:space="preserve"> InputsTS!OIA$184</f>
        <v>0</v>
      </c>
      <c r="OIB77" s="223">
        <f xml:space="preserve"> InputsTS!OIB$184</f>
        <v>0</v>
      </c>
      <c r="OIC77" s="223">
        <f xml:space="preserve"> InputsTS!OIC$184</f>
        <v>0</v>
      </c>
      <c r="OID77" s="223">
        <f xml:space="preserve"> InputsTS!OID$184</f>
        <v>0</v>
      </c>
      <c r="OIE77" s="223">
        <f xml:space="preserve"> InputsTS!OIE$184</f>
        <v>0</v>
      </c>
      <c r="OIF77" s="223">
        <f xml:space="preserve"> InputsTS!OIF$184</f>
        <v>0</v>
      </c>
      <c r="OIG77" s="223">
        <f xml:space="preserve"> InputsTS!OIG$184</f>
        <v>0</v>
      </c>
      <c r="OIH77" s="223">
        <f xml:space="preserve"> InputsTS!OIH$184</f>
        <v>0</v>
      </c>
      <c r="OII77" s="223">
        <f xml:space="preserve"> InputsTS!OII$184</f>
        <v>0</v>
      </c>
      <c r="OIJ77" s="223">
        <f xml:space="preserve"> InputsTS!OIJ$184</f>
        <v>0</v>
      </c>
      <c r="OIK77" s="223">
        <f xml:space="preserve"> InputsTS!OIK$184</f>
        <v>0</v>
      </c>
      <c r="OIL77" s="223">
        <f xml:space="preserve"> InputsTS!OIL$184</f>
        <v>0</v>
      </c>
      <c r="OIM77" s="223">
        <f xml:space="preserve"> InputsTS!OIM$184</f>
        <v>0</v>
      </c>
      <c r="OIN77" s="223">
        <f xml:space="preserve"> InputsTS!OIN$184</f>
        <v>0</v>
      </c>
      <c r="OIO77" s="223">
        <f xml:space="preserve"> InputsTS!OIO$184</f>
        <v>0</v>
      </c>
      <c r="OIP77" s="223">
        <f xml:space="preserve"> InputsTS!OIP$184</f>
        <v>0</v>
      </c>
      <c r="OIQ77" s="223">
        <f xml:space="preserve"> InputsTS!OIQ$184</f>
        <v>0</v>
      </c>
      <c r="OIR77" s="223">
        <f xml:space="preserve"> InputsTS!OIR$184</f>
        <v>0</v>
      </c>
      <c r="OIS77" s="223">
        <f xml:space="preserve"> InputsTS!OIS$184</f>
        <v>0</v>
      </c>
      <c r="OIT77" s="223">
        <f xml:space="preserve"> InputsTS!OIT$184</f>
        <v>0</v>
      </c>
      <c r="OIU77" s="223">
        <f xml:space="preserve"> InputsTS!OIU$184</f>
        <v>0</v>
      </c>
      <c r="OIV77" s="223">
        <f xml:space="preserve"> InputsTS!OIV$184</f>
        <v>0</v>
      </c>
      <c r="OIW77" s="223">
        <f xml:space="preserve"> InputsTS!OIW$184</f>
        <v>0</v>
      </c>
      <c r="OIX77" s="223">
        <f xml:space="preserve"> InputsTS!OIX$184</f>
        <v>0</v>
      </c>
      <c r="OIY77" s="223">
        <f xml:space="preserve"> InputsTS!OIY$184</f>
        <v>0</v>
      </c>
      <c r="OIZ77" s="223">
        <f xml:space="preserve"> InputsTS!OIZ$184</f>
        <v>0</v>
      </c>
      <c r="OJA77" s="223">
        <f xml:space="preserve"> InputsTS!OJA$184</f>
        <v>0</v>
      </c>
      <c r="OJB77" s="223">
        <f xml:space="preserve"> InputsTS!OJB$184</f>
        <v>0</v>
      </c>
      <c r="OJC77" s="223">
        <f xml:space="preserve"> InputsTS!OJC$184</f>
        <v>0</v>
      </c>
      <c r="OJD77" s="223">
        <f xml:space="preserve"> InputsTS!OJD$184</f>
        <v>0</v>
      </c>
      <c r="OJE77" s="223">
        <f xml:space="preserve"> InputsTS!OJE$184</f>
        <v>0</v>
      </c>
      <c r="OJF77" s="223">
        <f xml:space="preserve"> InputsTS!OJF$184</f>
        <v>0</v>
      </c>
      <c r="OJG77" s="223">
        <f xml:space="preserve"> InputsTS!OJG$184</f>
        <v>0</v>
      </c>
      <c r="OJH77" s="223">
        <f xml:space="preserve"> InputsTS!OJH$184</f>
        <v>0</v>
      </c>
      <c r="OJI77" s="223">
        <f xml:space="preserve"> InputsTS!OJI$184</f>
        <v>0</v>
      </c>
      <c r="OJJ77" s="223">
        <f xml:space="preserve"> InputsTS!OJJ$184</f>
        <v>0</v>
      </c>
      <c r="OJK77" s="223">
        <f xml:space="preserve"> InputsTS!OJK$184</f>
        <v>0</v>
      </c>
      <c r="OJL77" s="223">
        <f xml:space="preserve"> InputsTS!OJL$184</f>
        <v>0</v>
      </c>
      <c r="OJM77" s="223">
        <f xml:space="preserve"> InputsTS!OJM$184</f>
        <v>0</v>
      </c>
      <c r="OJN77" s="223">
        <f xml:space="preserve"> InputsTS!OJN$184</f>
        <v>0</v>
      </c>
      <c r="OJO77" s="223">
        <f xml:space="preserve"> InputsTS!OJO$184</f>
        <v>0</v>
      </c>
      <c r="OJP77" s="223">
        <f xml:space="preserve"> InputsTS!OJP$184</f>
        <v>0</v>
      </c>
      <c r="OJQ77" s="223">
        <f xml:space="preserve"> InputsTS!OJQ$184</f>
        <v>0</v>
      </c>
      <c r="OJR77" s="223">
        <f xml:space="preserve"> InputsTS!OJR$184</f>
        <v>0</v>
      </c>
      <c r="OJS77" s="223">
        <f xml:space="preserve"> InputsTS!OJS$184</f>
        <v>0</v>
      </c>
      <c r="OJT77" s="223">
        <f xml:space="preserve"> InputsTS!OJT$184</f>
        <v>0</v>
      </c>
      <c r="OJU77" s="223">
        <f xml:space="preserve"> InputsTS!OJU$184</f>
        <v>0</v>
      </c>
      <c r="OJV77" s="223">
        <f xml:space="preserve"> InputsTS!OJV$184</f>
        <v>0</v>
      </c>
      <c r="OJW77" s="223">
        <f xml:space="preserve"> InputsTS!OJW$184</f>
        <v>0</v>
      </c>
      <c r="OJX77" s="223">
        <f xml:space="preserve"> InputsTS!OJX$184</f>
        <v>0</v>
      </c>
      <c r="OJY77" s="223">
        <f xml:space="preserve"> InputsTS!OJY$184</f>
        <v>0</v>
      </c>
      <c r="OJZ77" s="223">
        <f xml:space="preserve"> InputsTS!OJZ$184</f>
        <v>0</v>
      </c>
      <c r="OKA77" s="223">
        <f xml:space="preserve"> InputsTS!OKA$184</f>
        <v>0</v>
      </c>
      <c r="OKB77" s="223">
        <f xml:space="preserve"> InputsTS!OKB$184</f>
        <v>0</v>
      </c>
      <c r="OKC77" s="223">
        <f xml:space="preserve"> InputsTS!OKC$184</f>
        <v>0</v>
      </c>
      <c r="OKD77" s="223">
        <f xml:space="preserve"> InputsTS!OKD$184</f>
        <v>0</v>
      </c>
      <c r="OKE77" s="223">
        <f xml:space="preserve"> InputsTS!OKE$184</f>
        <v>0</v>
      </c>
      <c r="OKF77" s="223">
        <f xml:space="preserve"> InputsTS!OKF$184</f>
        <v>0</v>
      </c>
      <c r="OKG77" s="223">
        <f xml:space="preserve"> InputsTS!OKG$184</f>
        <v>0</v>
      </c>
      <c r="OKH77" s="223">
        <f xml:space="preserve"> InputsTS!OKH$184</f>
        <v>0</v>
      </c>
      <c r="OKI77" s="223">
        <f xml:space="preserve"> InputsTS!OKI$184</f>
        <v>0</v>
      </c>
      <c r="OKJ77" s="223">
        <f xml:space="preserve"> InputsTS!OKJ$184</f>
        <v>0</v>
      </c>
      <c r="OKK77" s="223">
        <f xml:space="preserve"> InputsTS!OKK$184</f>
        <v>0</v>
      </c>
      <c r="OKL77" s="223">
        <f xml:space="preserve"> InputsTS!OKL$184</f>
        <v>0</v>
      </c>
      <c r="OKM77" s="223">
        <f xml:space="preserve"> InputsTS!OKM$184</f>
        <v>0</v>
      </c>
      <c r="OKN77" s="223">
        <f xml:space="preserve"> InputsTS!OKN$184</f>
        <v>0</v>
      </c>
      <c r="OKO77" s="223">
        <f xml:space="preserve"> InputsTS!OKO$184</f>
        <v>0</v>
      </c>
      <c r="OKP77" s="223">
        <f xml:space="preserve"> InputsTS!OKP$184</f>
        <v>0</v>
      </c>
      <c r="OKQ77" s="223">
        <f xml:space="preserve"> InputsTS!OKQ$184</f>
        <v>0</v>
      </c>
      <c r="OKR77" s="223">
        <f xml:space="preserve"> InputsTS!OKR$184</f>
        <v>0</v>
      </c>
      <c r="OKS77" s="223">
        <f xml:space="preserve"> InputsTS!OKS$184</f>
        <v>0</v>
      </c>
      <c r="OKT77" s="223">
        <f xml:space="preserve"> InputsTS!OKT$184</f>
        <v>0</v>
      </c>
      <c r="OKU77" s="223">
        <f xml:space="preserve"> InputsTS!OKU$184</f>
        <v>0</v>
      </c>
      <c r="OKV77" s="223">
        <f xml:space="preserve"> InputsTS!OKV$184</f>
        <v>0</v>
      </c>
      <c r="OKW77" s="223">
        <f xml:space="preserve"> InputsTS!OKW$184</f>
        <v>0</v>
      </c>
      <c r="OKX77" s="223">
        <f xml:space="preserve"> InputsTS!OKX$184</f>
        <v>0</v>
      </c>
      <c r="OKY77" s="223">
        <f xml:space="preserve"> InputsTS!OKY$184</f>
        <v>0</v>
      </c>
      <c r="OKZ77" s="223">
        <f xml:space="preserve"> InputsTS!OKZ$184</f>
        <v>0</v>
      </c>
      <c r="OLA77" s="223">
        <f xml:space="preserve"> InputsTS!OLA$184</f>
        <v>0</v>
      </c>
      <c r="OLB77" s="223">
        <f xml:space="preserve"> InputsTS!OLB$184</f>
        <v>0</v>
      </c>
      <c r="OLC77" s="223">
        <f xml:space="preserve"> InputsTS!OLC$184</f>
        <v>0</v>
      </c>
      <c r="OLD77" s="223">
        <f xml:space="preserve"> InputsTS!OLD$184</f>
        <v>0</v>
      </c>
      <c r="OLE77" s="223">
        <f xml:space="preserve"> InputsTS!OLE$184</f>
        <v>0</v>
      </c>
      <c r="OLF77" s="223">
        <f xml:space="preserve"> InputsTS!OLF$184</f>
        <v>0</v>
      </c>
      <c r="OLG77" s="223">
        <f xml:space="preserve"> InputsTS!OLG$184</f>
        <v>0</v>
      </c>
      <c r="OLH77" s="223">
        <f xml:space="preserve"> InputsTS!OLH$184</f>
        <v>0</v>
      </c>
      <c r="OLI77" s="223">
        <f xml:space="preserve"> InputsTS!OLI$184</f>
        <v>0</v>
      </c>
      <c r="OLJ77" s="223">
        <f xml:space="preserve"> InputsTS!OLJ$184</f>
        <v>0</v>
      </c>
      <c r="OLK77" s="223">
        <f xml:space="preserve"> InputsTS!OLK$184</f>
        <v>0</v>
      </c>
      <c r="OLL77" s="223">
        <f xml:space="preserve"> InputsTS!OLL$184</f>
        <v>0</v>
      </c>
      <c r="OLM77" s="223">
        <f xml:space="preserve"> InputsTS!OLM$184</f>
        <v>0</v>
      </c>
      <c r="OLN77" s="223">
        <f xml:space="preserve"> InputsTS!OLN$184</f>
        <v>0</v>
      </c>
      <c r="OLO77" s="223">
        <f xml:space="preserve"> InputsTS!OLO$184</f>
        <v>0</v>
      </c>
      <c r="OLP77" s="223">
        <f xml:space="preserve"> InputsTS!OLP$184</f>
        <v>0</v>
      </c>
      <c r="OLQ77" s="223">
        <f xml:space="preserve"> InputsTS!OLQ$184</f>
        <v>0</v>
      </c>
      <c r="OLR77" s="223">
        <f xml:space="preserve"> InputsTS!OLR$184</f>
        <v>0</v>
      </c>
      <c r="OLS77" s="223">
        <f xml:space="preserve"> InputsTS!OLS$184</f>
        <v>0</v>
      </c>
      <c r="OLT77" s="223">
        <f xml:space="preserve"> InputsTS!OLT$184</f>
        <v>0</v>
      </c>
      <c r="OLU77" s="223">
        <f xml:space="preserve"> InputsTS!OLU$184</f>
        <v>0</v>
      </c>
      <c r="OLV77" s="223">
        <f xml:space="preserve"> InputsTS!OLV$184</f>
        <v>0</v>
      </c>
      <c r="OLW77" s="223">
        <f xml:space="preserve"> InputsTS!OLW$184</f>
        <v>0</v>
      </c>
      <c r="OLX77" s="223">
        <f xml:space="preserve"> InputsTS!OLX$184</f>
        <v>0</v>
      </c>
      <c r="OLY77" s="223">
        <f xml:space="preserve"> InputsTS!OLY$184</f>
        <v>0</v>
      </c>
      <c r="OLZ77" s="223">
        <f xml:space="preserve"> InputsTS!OLZ$184</f>
        <v>0</v>
      </c>
      <c r="OMA77" s="223">
        <f xml:space="preserve"> InputsTS!OMA$184</f>
        <v>0</v>
      </c>
      <c r="OMB77" s="223">
        <f xml:space="preserve"> InputsTS!OMB$184</f>
        <v>0</v>
      </c>
      <c r="OMC77" s="223">
        <f xml:space="preserve"> InputsTS!OMC$184</f>
        <v>0</v>
      </c>
      <c r="OMD77" s="223">
        <f xml:space="preserve"> InputsTS!OMD$184</f>
        <v>0</v>
      </c>
      <c r="OME77" s="223">
        <f xml:space="preserve"> InputsTS!OME$184</f>
        <v>0</v>
      </c>
      <c r="OMF77" s="223">
        <f xml:space="preserve"> InputsTS!OMF$184</f>
        <v>0</v>
      </c>
      <c r="OMG77" s="223">
        <f xml:space="preserve"> InputsTS!OMG$184</f>
        <v>0</v>
      </c>
      <c r="OMH77" s="223">
        <f xml:space="preserve"> InputsTS!OMH$184</f>
        <v>0</v>
      </c>
      <c r="OMI77" s="223">
        <f xml:space="preserve"> InputsTS!OMI$184</f>
        <v>0</v>
      </c>
      <c r="OMJ77" s="223">
        <f xml:space="preserve"> InputsTS!OMJ$184</f>
        <v>0</v>
      </c>
      <c r="OMK77" s="223">
        <f xml:space="preserve"> InputsTS!OMK$184</f>
        <v>0</v>
      </c>
      <c r="OML77" s="223">
        <f xml:space="preserve"> InputsTS!OML$184</f>
        <v>0</v>
      </c>
      <c r="OMM77" s="223">
        <f xml:space="preserve"> InputsTS!OMM$184</f>
        <v>0</v>
      </c>
      <c r="OMN77" s="223">
        <f xml:space="preserve"> InputsTS!OMN$184</f>
        <v>0</v>
      </c>
      <c r="OMO77" s="223">
        <f xml:space="preserve"> InputsTS!OMO$184</f>
        <v>0</v>
      </c>
      <c r="OMP77" s="223">
        <f xml:space="preserve"> InputsTS!OMP$184</f>
        <v>0</v>
      </c>
      <c r="OMQ77" s="223">
        <f xml:space="preserve"> InputsTS!OMQ$184</f>
        <v>0</v>
      </c>
      <c r="OMR77" s="223">
        <f xml:space="preserve"> InputsTS!OMR$184</f>
        <v>0</v>
      </c>
      <c r="OMS77" s="223">
        <f xml:space="preserve"> InputsTS!OMS$184</f>
        <v>0</v>
      </c>
      <c r="OMT77" s="223">
        <f xml:space="preserve"> InputsTS!OMT$184</f>
        <v>0</v>
      </c>
      <c r="OMU77" s="223">
        <f xml:space="preserve"> InputsTS!OMU$184</f>
        <v>0</v>
      </c>
      <c r="OMV77" s="223">
        <f xml:space="preserve"> InputsTS!OMV$184</f>
        <v>0</v>
      </c>
      <c r="OMW77" s="223">
        <f xml:space="preserve"> InputsTS!OMW$184</f>
        <v>0</v>
      </c>
      <c r="OMX77" s="223">
        <f xml:space="preserve"> InputsTS!OMX$184</f>
        <v>0</v>
      </c>
      <c r="OMY77" s="223">
        <f xml:space="preserve"> InputsTS!OMY$184</f>
        <v>0</v>
      </c>
      <c r="OMZ77" s="223">
        <f xml:space="preserve"> InputsTS!OMZ$184</f>
        <v>0</v>
      </c>
      <c r="ONA77" s="223">
        <f xml:space="preserve"> InputsTS!ONA$184</f>
        <v>0</v>
      </c>
      <c r="ONB77" s="223">
        <f xml:space="preserve"> InputsTS!ONB$184</f>
        <v>0</v>
      </c>
      <c r="ONC77" s="223">
        <f xml:space="preserve"> InputsTS!ONC$184</f>
        <v>0</v>
      </c>
      <c r="OND77" s="223">
        <f xml:space="preserve"> InputsTS!OND$184</f>
        <v>0</v>
      </c>
      <c r="ONE77" s="223">
        <f xml:space="preserve"> InputsTS!ONE$184</f>
        <v>0</v>
      </c>
      <c r="ONF77" s="223">
        <f xml:space="preserve"> InputsTS!ONF$184</f>
        <v>0</v>
      </c>
      <c r="ONG77" s="223">
        <f xml:space="preserve"> InputsTS!ONG$184</f>
        <v>0</v>
      </c>
      <c r="ONH77" s="223">
        <f xml:space="preserve"> InputsTS!ONH$184</f>
        <v>0</v>
      </c>
      <c r="ONI77" s="223">
        <f xml:space="preserve"> InputsTS!ONI$184</f>
        <v>0</v>
      </c>
      <c r="ONJ77" s="223">
        <f xml:space="preserve"> InputsTS!ONJ$184</f>
        <v>0</v>
      </c>
      <c r="ONK77" s="223">
        <f xml:space="preserve"> InputsTS!ONK$184</f>
        <v>0</v>
      </c>
      <c r="ONL77" s="223">
        <f xml:space="preserve"> InputsTS!ONL$184</f>
        <v>0</v>
      </c>
      <c r="ONM77" s="223">
        <f xml:space="preserve"> InputsTS!ONM$184</f>
        <v>0</v>
      </c>
      <c r="ONN77" s="223">
        <f xml:space="preserve"> InputsTS!ONN$184</f>
        <v>0</v>
      </c>
      <c r="ONO77" s="223">
        <f xml:space="preserve"> InputsTS!ONO$184</f>
        <v>0</v>
      </c>
      <c r="ONP77" s="223">
        <f xml:space="preserve"> InputsTS!ONP$184</f>
        <v>0</v>
      </c>
      <c r="ONQ77" s="223">
        <f xml:space="preserve"> InputsTS!ONQ$184</f>
        <v>0</v>
      </c>
      <c r="ONR77" s="223">
        <f xml:space="preserve"> InputsTS!ONR$184</f>
        <v>0</v>
      </c>
      <c r="ONS77" s="223">
        <f xml:space="preserve"> InputsTS!ONS$184</f>
        <v>0</v>
      </c>
      <c r="ONT77" s="223">
        <f xml:space="preserve"> InputsTS!ONT$184</f>
        <v>0</v>
      </c>
      <c r="ONU77" s="223">
        <f xml:space="preserve"> InputsTS!ONU$184</f>
        <v>0</v>
      </c>
      <c r="ONV77" s="223">
        <f xml:space="preserve"> InputsTS!ONV$184</f>
        <v>0</v>
      </c>
      <c r="ONW77" s="223">
        <f xml:space="preserve"> InputsTS!ONW$184</f>
        <v>0</v>
      </c>
      <c r="ONX77" s="223">
        <f xml:space="preserve"> InputsTS!ONX$184</f>
        <v>0</v>
      </c>
      <c r="ONY77" s="223">
        <f xml:space="preserve"> InputsTS!ONY$184</f>
        <v>0</v>
      </c>
      <c r="ONZ77" s="223">
        <f xml:space="preserve"> InputsTS!ONZ$184</f>
        <v>0</v>
      </c>
      <c r="OOA77" s="223">
        <f xml:space="preserve"> InputsTS!OOA$184</f>
        <v>0</v>
      </c>
      <c r="OOB77" s="223">
        <f xml:space="preserve"> InputsTS!OOB$184</f>
        <v>0</v>
      </c>
      <c r="OOC77" s="223">
        <f xml:space="preserve"> InputsTS!OOC$184</f>
        <v>0</v>
      </c>
      <c r="OOD77" s="223">
        <f xml:space="preserve"> InputsTS!OOD$184</f>
        <v>0</v>
      </c>
      <c r="OOE77" s="223">
        <f xml:space="preserve"> InputsTS!OOE$184</f>
        <v>0</v>
      </c>
      <c r="OOF77" s="223">
        <f xml:space="preserve"> InputsTS!OOF$184</f>
        <v>0</v>
      </c>
      <c r="OOG77" s="223">
        <f xml:space="preserve"> InputsTS!OOG$184</f>
        <v>0</v>
      </c>
      <c r="OOH77" s="223">
        <f xml:space="preserve"> InputsTS!OOH$184</f>
        <v>0</v>
      </c>
      <c r="OOI77" s="223">
        <f xml:space="preserve"> InputsTS!OOI$184</f>
        <v>0</v>
      </c>
      <c r="OOJ77" s="223">
        <f xml:space="preserve"> InputsTS!OOJ$184</f>
        <v>0</v>
      </c>
      <c r="OOK77" s="223">
        <f xml:space="preserve"> InputsTS!OOK$184</f>
        <v>0</v>
      </c>
      <c r="OOL77" s="223">
        <f xml:space="preserve"> InputsTS!OOL$184</f>
        <v>0</v>
      </c>
      <c r="OOM77" s="223">
        <f xml:space="preserve"> InputsTS!OOM$184</f>
        <v>0</v>
      </c>
      <c r="OON77" s="223">
        <f xml:space="preserve"> InputsTS!OON$184</f>
        <v>0</v>
      </c>
      <c r="OOO77" s="223">
        <f xml:space="preserve"> InputsTS!OOO$184</f>
        <v>0</v>
      </c>
      <c r="OOP77" s="223">
        <f xml:space="preserve"> InputsTS!OOP$184</f>
        <v>0</v>
      </c>
      <c r="OOQ77" s="223">
        <f xml:space="preserve"> InputsTS!OOQ$184</f>
        <v>0</v>
      </c>
      <c r="OOR77" s="223">
        <f xml:space="preserve"> InputsTS!OOR$184</f>
        <v>0</v>
      </c>
      <c r="OOS77" s="223">
        <f xml:space="preserve"> InputsTS!OOS$184</f>
        <v>0</v>
      </c>
      <c r="OOT77" s="223">
        <f xml:space="preserve"> InputsTS!OOT$184</f>
        <v>0</v>
      </c>
      <c r="OOU77" s="223">
        <f xml:space="preserve"> InputsTS!OOU$184</f>
        <v>0</v>
      </c>
      <c r="OOV77" s="223">
        <f xml:space="preserve"> InputsTS!OOV$184</f>
        <v>0</v>
      </c>
      <c r="OOW77" s="223">
        <f xml:space="preserve"> InputsTS!OOW$184</f>
        <v>0</v>
      </c>
      <c r="OOX77" s="223">
        <f xml:space="preserve"> InputsTS!OOX$184</f>
        <v>0</v>
      </c>
      <c r="OOY77" s="223">
        <f xml:space="preserve"> InputsTS!OOY$184</f>
        <v>0</v>
      </c>
      <c r="OOZ77" s="223">
        <f xml:space="preserve"> InputsTS!OOZ$184</f>
        <v>0</v>
      </c>
      <c r="OPA77" s="223">
        <f xml:space="preserve"> InputsTS!OPA$184</f>
        <v>0</v>
      </c>
      <c r="OPB77" s="223">
        <f xml:space="preserve"> InputsTS!OPB$184</f>
        <v>0</v>
      </c>
      <c r="OPC77" s="223">
        <f xml:space="preserve"> InputsTS!OPC$184</f>
        <v>0</v>
      </c>
      <c r="OPD77" s="223">
        <f xml:space="preserve"> InputsTS!OPD$184</f>
        <v>0</v>
      </c>
      <c r="OPE77" s="223">
        <f xml:space="preserve"> InputsTS!OPE$184</f>
        <v>0</v>
      </c>
      <c r="OPF77" s="223">
        <f xml:space="preserve"> InputsTS!OPF$184</f>
        <v>0</v>
      </c>
      <c r="OPG77" s="223">
        <f xml:space="preserve"> InputsTS!OPG$184</f>
        <v>0</v>
      </c>
      <c r="OPH77" s="223">
        <f xml:space="preserve"> InputsTS!OPH$184</f>
        <v>0</v>
      </c>
      <c r="OPI77" s="223">
        <f xml:space="preserve"> InputsTS!OPI$184</f>
        <v>0</v>
      </c>
      <c r="OPJ77" s="223">
        <f xml:space="preserve"> InputsTS!OPJ$184</f>
        <v>0</v>
      </c>
      <c r="OPK77" s="223">
        <f xml:space="preserve"> InputsTS!OPK$184</f>
        <v>0</v>
      </c>
      <c r="OPL77" s="223">
        <f xml:space="preserve"> InputsTS!OPL$184</f>
        <v>0</v>
      </c>
      <c r="OPM77" s="223">
        <f xml:space="preserve"> InputsTS!OPM$184</f>
        <v>0</v>
      </c>
      <c r="OPN77" s="223">
        <f xml:space="preserve"> InputsTS!OPN$184</f>
        <v>0</v>
      </c>
      <c r="OPO77" s="223">
        <f xml:space="preserve"> InputsTS!OPO$184</f>
        <v>0</v>
      </c>
      <c r="OPP77" s="223">
        <f xml:space="preserve"> InputsTS!OPP$184</f>
        <v>0</v>
      </c>
      <c r="OPQ77" s="223">
        <f xml:space="preserve"> InputsTS!OPQ$184</f>
        <v>0</v>
      </c>
      <c r="OPR77" s="223">
        <f xml:space="preserve"> InputsTS!OPR$184</f>
        <v>0</v>
      </c>
      <c r="OPS77" s="223">
        <f xml:space="preserve"> InputsTS!OPS$184</f>
        <v>0</v>
      </c>
      <c r="OPT77" s="223">
        <f xml:space="preserve"> InputsTS!OPT$184</f>
        <v>0</v>
      </c>
      <c r="OPU77" s="223">
        <f xml:space="preserve"> InputsTS!OPU$184</f>
        <v>0</v>
      </c>
      <c r="OPV77" s="223">
        <f xml:space="preserve"> InputsTS!OPV$184</f>
        <v>0</v>
      </c>
      <c r="OPW77" s="223">
        <f xml:space="preserve"> InputsTS!OPW$184</f>
        <v>0</v>
      </c>
      <c r="OPX77" s="223">
        <f xml:space="preserve"> InputsTS!OPX$184</f>
        <v>0</v>
      </c>
      <c r="OPY77" s="223">
        <f xml:space="preserve"> InputsTS!OPY$184</f>
        <v>0</v>
      </c>
      <c r="OPZ77" s="223">
        <f xml:space="preserve"> InputsTS!OPZ$184</f>
        <v>0</v>
      </c>
      <c r="OQA77" s="223">
        <f xml:space="preserve"> InputsTS!OQA$184</f>
        <v>0</v>
      </c>
      <c r="OQB77" s="223">
        <f xml:space="preserve"> InputsTS!OQB$184</f>
        <v>0</v>
      </c>
      <c r="OQC77" s="223">
        <f xml:space="preserve"> InputsTS!OQC$184</f>
        <v>0</v>
      </c>
      <c r="OQD77" s="223">
        <f xml:space="preserve"> InputsTS!OQD$184</f>
        <v>0</v>
      </c>
      <c r="OQE77" s="223">
        <f xml:space="preserve"> InputsTS!OQE$184</f>
        <v>0</v>
      </c>
      <c r="OQF77" s="223">
        <f xml:space="preserve"> InputsTS!OQF$184</f>
        <v>0</v>
      </c>
      <c r="OQG77" s="223">
        <f xml:space="preserve"> InputsTS!OQG$184</f>
        <v>0</v>
      </c>
      <c r="OQH77" s="223">
        <f xml:space="preserve"> InputsTS!OQH$184</f>
        <v>0</v>
      </c>
      <c r="OQI77" s="223">
        <f xml:space="preserve"> InputsTS!OQI$184</f>
        <v>0</v>
      </c>
      <c r="OQJ77" s="223">
        <f xml:space="preserve"> InputsTS!OQJ$184</f>
        <v>0</v>
      </c>
      <c r="OQK77" s="223">
        <f xml:space="preserve"> InputsTS!OQK$184</f>
        <v>0</v>
      </c>
      <c r="OQL77" s="223">
        <f xml:space="preserve"> InputsTS!OQL$184</f>
        <v>0</v>
      </c>
      <c r="OQM77" s="223">
        <f xml:space="preserve"> InputsTS!OQM$184</f>
        <v>0</v>
      </c>
      <c r="OQN77" s="223">
        <f xml:space="preserve"> InputsTS!OQN$184</f>
        <v>0</v>
      </c>
      <c r="OQO77" s="223">
        <f xml:space="preserve"> InputsTS!OQO$184</f>
        <v>0</v>
      </c>
      <c r="OQP77" s="223">
        <f xml:space="preserve"> InputsTS!OQP$184</f>
        <v>0</v>
      </c>
      <c r="OQQ77" s="223">
        <f xml:space="preserve"> InputsTS!OQQ$184</f>
        <v>0</v>
      </c>
      <c r="OQR77" s="223">
        <f xml:space="preserve"> InputsTS!OQR$184</f>
        <v>0</v>
      </c>
      <c r="OQS77" s="223">
        <f xml:space="preserve"> InputsTS!OQS$184</f>
        <v>0</v>
      </c>
      <c r="OQT77" s="223">
        <f xml:space="preserve"> InputsTS!OQT$184</f>
        <v>0</v>
      </c>
      <c r="OQU77" s="223">
        <f xml:space="preserve"> InputsTS!OQU$184</f>
        <v>0</v>
      </c>
      <c r="OQV77" s="223">
        <f xml:space="preserve"> InputsTS!OQV$184</f>
        <v>0</v>
      </c>
      <c r="OQW77" s="223">
        <f xml:space="preserve"> InputsTS!OQW$184</f>
        <v>0</v>
      </c>
      <c r="OQX77" s="223">
        <f xml:space="preserve"> InputsTS!OQX$184</f>
        <v>0</v>
      </c>
      <c r="OQY77" s="223">
        <f xml:space="preserve"> InputsTS!OQY$184</f>
        <v>0</v>
      </c>
      <c r="OQZ77" s="223">
        <f xml:space="preserve"> InputsTS!OQZ$184</f>
        <v>0</v>
      </c>
      <c r="ORA77" s="223">
        <f xml:space="preserve"> InputsTS!ORA$184</f>
        <v>0</v>
      </c>
      <c r="ORB77" s="223">
        <f xml:space="preserve"> InputsTS!ORB$184</f>
        <v>0</v>
      </c>
      <c r="ORC77" s="223">
        <f xml:space="preserve"> InputsTS!ORC$184</f>
        <v>0</v>
      </c>
      <c r="ORD77" s="223">
        <f xml:space="preserve"> InputsTS!ORD$184</f>
        <v>0</v>
      </c>
      <c r="ORE77" s="223">
        <f xml:space="preserve"> InputsTS!ORE$184</f>
        <v>0</v>
      </c>
      <c r="ORF77" s="223">
        <f xml:space="preserve"> InputsTS!ORF$184</f>
        <v>0</v>
      </c>
      <c r="ORG77" s="223">
        <f xml:space="preserve"> InputsTS!ORG$184</f>
        <v>0</v>
      </c>
      <c r="ORH77" s="223">
        <f xml:space="preserve"> InputsTS!ORH$184</f>
        <v>0</v>
      </c>
      <c r="ORI77" s="223">
        <f xml:space="preserve"> InputsTS!ORI$184</f>
        <v>0</v>
      </c>
      <c r="ORJ77" s="223">
        <f xml:space="preserve"> InputsTS!ORJ$184</f>
        <v>0</v>
      </c>
      <c r="ORK77" s="223">
        <f xml:space="preserve"> InputsTS!ORK$184</f>
        <v>0</v>
      </c>
      <c r="ORL77" s="223">
        <f xml:space="preserve"> InputsTS!ORL$184</f>
        <v>0</v>
      </c>
      <c r="ORM77" s="223">
        <f xml:space="preserve"> InputsTS!ORM$184</f>
        <v>0</v>
      </c>
      <c r="ORN77" s="223">
        <f xml:space="preserve"> InputsTS!ORN$184</f>
        <v>0</v>
      </c>
      <c r="ORO77" s="223">
        <f xml:space="preserve"> InputsTS!ORO$184</f>
        <v>0</v>
      </c>
      <c r="ORP77" s="223">
        <f xml:space="preserve"> InputsTS!ORP$184</f>
        <v>0</v>
      </c>
      <c r="ORQ77" s="223">
        <f xml:space="preserve"> InputsTS!ORQ$184</f>
        <v>0</v>
      </c>
      <c r="ORR77" s="223">
        <f xml:space="preserve"> InputsTS!ORR$184</f>
        <v>0</v>
      </c>
      <c r="ORS77" s="223">
        <f xml:space="preserve"> InputsTS!ORS$184</f>
        <v>0</v>
      </c>
      <c r="ORT77" s="223">
        <f xml:space="preserve"> InputsTS!ORT$184</f>
        <v>0</v>
      </c>
      <c r="ORU77" s="223">
        <f xml:space="preserve"> InputsTS!ORU$184</f>
        <v>0</v>
      </c>
      <c r="ORV77" s="223">
        <f xml:space="preserve"> InputsTS!ORV$184</f>
        <v>0</v>
      </c>
      <c r="ORW77" s="223">
        <f xml:space="preserve"> InputsTS!ORW$184</f>
        <v>0</v>
      </c>
      <c r="ORX77" s="223">
        <f xml:space="preserve"> InputsTS!ORX$184</f>
        <v>0</v>
      </c>
      <c r="ORY77" s="223">
        <f xml:space="preserve"> InputsTS!ORY$184</f>
        <v>0</v>
      </c>
      <c r="ORZ77" s="223">
        <f xml:space="preserve"> InputsTS!ORZ$184</f>
        <v>0</v>
      </c>
      <c r="OSA77" s="223">
        <f xml:space="preserve"> InputsTS!OSA$184</f>
        <v>0</v>
      </c>
      <c r="OSB77" s="223">
        <f xml:space="preserve"> InputsTS!OSB$184</f>
        <v>0</v>
      </c>
      <c r="OSC77" s="223">
        <f xml:space="preserve"> InputsTS!OSC$184</f>
        <v>0</v>
      </c>
      <c r="OSD77" s="223">
        <f xml:space="preserve"> InputsTS!OSD$184</f>
        <v>0</v>
      </c>
      <c r="OSE77" s="223">
        <f xml:space="preserve"> InputsTS!OSE$184</f>
        <v>0</v>
      </c>
      <c r="OSF77" s="223">
        <f xml:space="preserve"> InputsTS!OSF$184</f>
        <v>0</v>
      </c>
      <c r="OSG77" s="223">
        <f xml:space="preserve"> InputsTS!OSG$184</f>
        <v>0</v>
      </c>
      <c r="OSH77" s="223">
        <f xml:space="preserve"> InputsTS!OSH$184</f>
        <v>0</v>
      </c>
      <c r="OSI77" s="223">
        <f xml:space="preserve"> InputsTS!OSI$184</f>
        <v>0</v>
      </c>
      <c r="OSJ77" s="223">
        <f xml:space="preserve"> InputsTS!OSJ$184</f>
        <v>0</v>
      </c>
      <c r="OSK77" s="223">
        <f xml:space="preserve"> InputsTS!OSK$184</f>
        <v>0</v>
      </c>
      <c r="OSL77" s="223">
        <f xml:space="preserve"> InputsTS!OSL$184</f>
        <v>0</v>
      </c>
      <c r="OSM77" s="223">
        <f xml:space="preserve"> InputsTS!OSM$184</f>
        <v>0</v>
      </c>
      <c r="OSN77" s="223">
        <f xml:space="preserve"> InputsTS!OSN$184</f>
        <v>0</v>
      </c>
      <c r="OSO77" s="223">
        <f xml:space="preserve"> InputsTS!OSO$184</f>
        <v>0</v>
      </c>
      <c r="OSP77" s="223">
        <f xml:space="preserve"> InputsTS!OSP$184</f>
        <v>0</v>
      </c>
      <c r="OSQ77" s="223">
        <f xml:space="preserve"> InputsTS!OSQ$184</f>
        <v>0</v>
      </c>
      <c r="OSR77" s="223">
        <f xml:space="preserve"> InputsTS!OSR$184</f>
        <v>0</v>
      </c>
      <c r="OSS77" s="223">
        <f xml:space="preserve"> InputsTS!OSS$184</f>
        <v>0</v>
      </c>
      <c r="OST77" s="223">
        <f xml:space="preserve"> InputsTS!OST$184</f>
        <v>0</v>
      </c>
      <c r="OSU77" s="223">
        <f xml:space="preserve"> InputsTS!OSU$184</f>
        <v>0</v>
      </c>
      <c r="OSV77" s="223">
        <f xml:space="preserve"> InputsTS!OSV$184</f>
        <v>0</v>
      </c>
      <c r="OSW77" s="223">
        <f xml:space="preserve"> InputsTS!OSW$184</f>
        <v>0</v>
      </c>
      <c r="OSX77" s="223">
        <f xml:space="preserve"> InputsTS!OSX$184</f>
        <v>0</v>
      </c>
      <c r="OSY77" s="223">
        <f xml:space="preserve"> InputsTS!OSY$184</f>
        <v>0</v>
      </c>
      <c r="OSZ77" s="223">
        <f xml:space="preserve"> InputsTS!OSZ$184</f>
        <v>0</v>
      </c>
      <c r="OTA77" s="223">
        <f xml:space="preserve"> InputsTS!OTA$184</f>
        <v>0</v>
      </c>
      <c r="OTB77" s="223">
        <f xml:space="preserve"> InputsTS!OTB$184</f>
        <v>0</v>
      </c>
      <c r="OTC77" s="223">
        <f xml:space="preserve"> InputsTS!OTC$184</f>
        <v>0</v>
      </c>
      <c r="OTD77" s="223">
        <f xml:space="preserve"> InputsTS!OTD$184</f>
        <v>0</v>
      </c>
      <c r="OTE77" s="223">
        <f xml:space="preserve"> InputsTS!OTE$184</f>
        <v>0</v>
      </c>
      <c r="OTF77" s="223">
        <f xml:space="preserve"> InputsTS!OTF$184</f>
        <v>0</v>
      </c>
      <c r="OTG77" s="223">
        <f xml:space="preserve"> InputsTS!OTG$184</f>
        <v>0</v>
      </c>
      <c r="OTH77" s="223">
        <f xml:space="preserve"> InputsTS!OTH$184</f>
        <v>0</v>
      </c>
      <c r="OTI77" s="223">
        <f xml:space="preserve"> InputsTS!OTI$184</f>
        <v>0</v>
      </c>
      <c r="OTJ77" s="223">
        <f xml:space="preserve"> InputsTS!OTJ$184</f>
        <v>0</v>
      </c>
      <c r="OTK77" s="223">
        <f xml:space="preserve"> InputsTS!OTK$184</f>
        <v>0</v>
      </c>
      <c r="OTL77" s="223">
        <f xml:space="preserve"> InputsTS!OTL$184</f>
        <v>0</v>
      </c>
      <c r="OTM77" s="223">
        <f xml:space="preserve"> InputsTS!OTM$184</f>
        <v>0</v>
      </c>
      <c r="OTN77" s="223">
        <f xml:space="preserve"> InputsTS!OTN$184</f>
        <v>0</v>
      </c>
      <c r="OTO77" s="223">
        <f xml:space="preserve"> InputsTS!OTO$184</f>
        <v>0</v>
      </c>
      <c r="OTP77" s="223">
        <f xml:space="preserve"> InputsTS!OTP$184</f>
        <v>0</v>
      </c>
      <c r="OTQ77" s="223">
        <f xml:space="preserve"> InputsTS!OTQ$184</f>
        <v>0</v>
      </c>
      <c r="OTR77" s="223">
        <f xml:space="preserve"> InputsTS!OTR$184</f>
        <v>0</v>
      </c>
      <c r="OTS77" s="223">
        <f xml:space="preserve"> InputsTS!OTS$184</f>
        <v>0</v>
      </c>
      <c r="OTT77" s="223">
        <f xml:space="preserve"> InputsTS!OTT$184</f>
        <v>0</v>
      </c>
      <c r="OTU77" s="223">
        <f xml:space="preserve"> InputsTS!OTU$184</f>
        <v>0</v>
      </c>
      <c r="OTV77" s="223">
        <f xml:space="preserve"> InputsTS!OTV$184</f>
        <v>0</v>
      </c>
      <c r="OTW77" s="223">
        <f xml:space="preserve"> InputsTS!OTW$184</f>
        <v>0</v>
      </c>
      <c r="OTX77" s="223">
        <f xml:space="preserve"> InputsTS!OTX$184</f>
        <v>0</v>
      </c>
      <c r="OTY77" s="223">
        <f xml:space="preserve"> InputsTS!OTY$184</f>
        <v>0</v>
      </c>
      <c r="OTZ77" s="223">
        <f xml:space="preserve"> InputsTS!OTZ$184</f>
        <v>0</v>
      </c>
      <c r="OUA77" s="223">
        <f xml:space="preserve"> InputsTS!OUA$184</f>
        <v>0</v>
      </c>
      <c r="OUB77" s="223">
        <f xml:space="preserve"> InputsTS!OUB$184</f>
        <v>0</v>
      </c>
      <c r="OUC77" s="223">
        <f xml:space="preserve"> InputsTS!OUC$184</f>
        <v>0</v>
      </c>
      <c r="OUD77" s="223">
        <f xml:space="preserve"> InputsTS!OUD$184</f>
        <v>0</v>
      </c>
      <c r="OUE77" s="223">
        <f xml:space="preserve"> InputsTS!OUE$184</f>
        <v>0</v>
      </c>
      <c r="OUF77" s="223">
        <f xml:space="preserve"> InputsTS!OUF$184</f>
        <v>0</v>
      </c>
      <c r="OUG77" s="223">
        <f xml:space="preserve"> InputsTS!OUG$184</f>
        <v>0</v>
      </c>
      <c r="OUH77" s="223">
        <f xml:space="preserve"> InputsTS!OUH$184</f>
        <v>0</v>
      </c>
      <c r="OUI77" s="223">
        <f xml:space="preserve"> InputsTS!OUI$184</f>
        <v>0</v>
      </c>
      <c r="OUJ77" s="223">
        <f xml:space="preserve"> InputsTS!OUJ$184</f>
        <v>0</v>
      </c>
      <c r="OUK77" s="223">
        <f xml:space="preserve"> InputsTS!OUK$184</f>
        <v>0</v>
      </c>
      <c r="OUL77" s="223">
        <f xml:space="preserve"> InputsTS!OUL$184</f>
        <v>0</v>
      </c>
      <c r="OUM77" s="223">
        <f xml:space="preserve"> InputsTS!OUM$184</f>
        <v>0</v>
      </c>
      <c r="OUN77" s="223">
        <f xml:space="preserve"> InputsTS!OUN$184</f>
        <v>0</v>
      </c>
      <c r="OUO77" s="223">
        <f xml:space="preserve"> InputsTS!OUO$184</f>
        <v>0</v>
      </c>
      <c r="OUP77" s="223">
        <f xml:space="preserve"> InputsTS!OUP$184</f>
        <v>0</v>
      </c>
      <c r="OUQ77" s="223">
        <f xml:space="preserve"> InputsTS!OUQ$184</f>
        <v>0</v>
      </c>
      <c r="OUR77" s="223">
        <f xml:space="preserve"> InputsTS!OUR$184</f>
        <v>0</v>
      </c>
      <c r="OUS77" s="223">
        <f xml:space="preserve"> InputsTS!OUS$184</f>
        <v>0</v>
      </c>
      <c r="OUT77" s="223">
        <f xml:space="preserve"> InputsTS!OUT$184</f>
        <v>0</v>
      </c>
      <c r="OUU77" s="223">
        <f xml:space="preserve"> InputsTS!OUU$184</f>
        <v>0</v>
      </c>
      <c r="OUV77" s="223">
        <f xml:space="preserve"> InputsTS!OUV$184</f>
        <v>0</v>
      </c>
      <c r="OUW77" s="223">
        <f xml:space="preserve"> InputsTS!OUW$184</f>
        <v>0</v>
      </c>
      <c r="OUX77" s="223">
        <f xml:space="preserve"> InputsTS!OUX$184</f>
        <v>0</v>
      </c>
      <c r="OUY77" s="223">
        <f xml:space="preserve"> InputsTS!OUY$184</f>
        <v>0</v>
      </c>
      <c r="OUZ77" s="223">
        <f xml:space="preserve"> InputsTS!OUZ$184</f>
        <v>0</v>
      </c>
      <c r="OVA77" s="223">
        <f xml:space="preserve"> InputsTS!OVA$184</f>
        <v>0</v>
      </c>
      <c r="OVB77" s="223">
        <f xml:space="preserve"> InputsTS!OVB$184</f>
        <v>0</v>
      </c>
      <c r="OVC77" s="223">
        <f xml:space="preserve"> InputsTS!OVC$184</f>
        <v>0</v>
      </c>
      <c r="OVD77" s="223">
        <f xml:space="preserve"> InputsTS!OVD$184</f>
        <v>0</v>
      </c>
      <c r="OVE77" s="223">
        <f xml:space="preserve"> InputsTS!OVE$184</f>
        <v>0</v>
      </c>
      <c r="OVF77" s="223">
        <f xml:space="preserve"> InputsTS!OVF$184</f>
        <v>0</v>
      </c>
      <c r="OVG77" s="223">
        <f xml:space="preserve"> InputsTS!OVG$184</f>
        <v>0</v>
      </c>
      <c r="OVH77" s="223">
        <f xml:space="preserve"> InputsTS!OVH$184</f>
        <v>0</v>
      </c>
      <c r="OVI77" s="223">
        <f xml:space="preserve"> InputsTS!OVI$184</f>
        <v>0</v>
      </c>
      <c r="OVJ77" s="223">
        <f xml:space="preserve"> InputsTS!OVJ$184</f>
        <v>0</v>
      </c>
      <c r="OVK77" s="223">
        <f xml:space="preserve"> InputsTS!OVK$184</f>
        <v>0</v>
      </c>
      <c r="OVL77" s="223">
        <f xml:space="preserve"> InputsTS!OVL$184</f>
        <v>0</v>
      </c>
      <c r="OVM77" s="223">
        <f xml:space="preserve"> InputsTS!OVM$184</f>
        <v>0</v>
      </c>
      <c r="OVN77" s="223">
        <f xml:space="preserve"> InputsTS!OVN$184</f>
        <v>0</v>
      </c>
      <c r="OVO77" s="223">
        <f xml:space="preserve"> InputsTS!OVO$184</f>
        <v>0</v>
      </c>
      <c r="OVP77" s="223">
        <f xml:space="preserve"> InputsTS!OVP$184</f>
        <v>0</v>
      </c>
      <c r="OVQ77" s="223">
        <f xml:space="preserve"> InputsTS!OVQ$184</f>
        <v>0</v>
      </c>
      <c r="OVR77" s="223">
        <f xml:space="preserve"> InputsTS!OVR$184</f>
        <v>0</v>
      </c>
      <c r="OVS77" s="223">
        <f xml:space="preserve"> InputsTS!OVS$184</f>
        <v>0</v>
      </c>
      <c r="OVT77" s="223">
        <f xml:space="preserve"> InputsTS!OVT$184</f>
        <v>0</v>
      </c>
      <c r="OVU77" s="223">
        <f xml:space="preserve"> InputsTS!OVU$184</f>
        <v>0</v>
      </c>
      <c r="OVV77" s="223">
        <f xml:space="preserve"> InputsTS!OVV$184</f>
        <v>0</v>
      </c>
      <c r="OVW77" s="223">
        <f xml:space="preserve"> InputsTS!OVW$184</f>
        <v>0</v>
      </c>
      <c r="OVX77" s="223">
        <f xml:space="preserve"> InputsTS!OVX$184</f>
        <v>0</v>
      </c>
      <c r="OVY77" s="223">
        <f xml:space="preserve"> InputsTS!OVY$184</f>
        <v>0</v>
      </c>
      <c r="OVZ77" s="223">
        <f xml:space="preserve"> InputsTS!OVZ$184</f>
        <v>0</v>
      </c>
      <c r="OWA77" s="223">
        <f xml:space="preserve"> InputsTS!OWA$184</f>
        <v>0</v>
      </c>
      <c r="OWB77" s="223">
        <f xml:space="preserve"> InputsTS!OWB$184</f>
        <v>0</v>
      </c>
      <c r="OWC77" s="223">
        <f xml:space="preserve"> InputsTS!OWC$184</f>
        <v>0</v>
      </c>
      <c r="OWD77" s="223">
        <f xml:space="preserve"> InputsTS!OWD$184</f>
        <v>0</v>
      </c>
      <c r="OWE77" s="223">
        <f xml:space="preserve"> InputsTS!OWE$184</f>
        <v>0</v>
      </c>
      <c r="OWF77" s="223">
        <f xml:space="preserve"> InputsTS!OWF$184</f>
        <v>0</v>
      </c>
      <c r="OWG77" s="223">
        <f xml:space="preserve"> InputsTS!OWG$184</f>
        <v>0</v>
      </c>
      <c r="OWH77" s="223">
        <f xml:space="preserve"> InputsTS!OWH$184</f>
        <v>0</v>
      </c>
      <c r="OWI77" s="223">
        <f xml:space="preserve"> InputsTS!OWI$184</f>
        <v>0</v>
      </c>
      <c r="OWJ77" s="223">
        <f xml:space="preserve"> InputsTS!OWJ$184</f>
        <v>0</v>
      </c>
      <c r="OWK77" s="223">
        <f xml:space="preserve"> InputsTS!OWK$184</f>
        <v>0</v>
      </c>
      <c r="OWL77" s="223">
        <f xml:space="preserve"> InputsTS!OWL$184</f>
        <v>0</v>
      </c>
      <c r="OWM77" s="223">
        <f xml:space="preserve"> InputsTS!OWM$184</f>
        <v>0</v>
      </c>
      <c r="OWN77" s="223">
        <f xml:space="preserve"> InputsTS!OWN$184</f>
        <v>0</v>
      </c>
      <c r="OWO77" s="223">
        <f xml:space="preserve"> InputsTS!OWO$184</f>
        <v>0</v>
      </c>
      <c r="OWP77" s="223">
        <f xml:space="preserve"> InputsTS!OWP$184</f>
        <v>0</v>
      </c>
      <c r="OWQ77" s="223">
        <f xml:space="preserve"> InputsTS!OWQ$184</f>
        <v>0</v>
      </c>
      <c r="OWR77" s="223">
        <f xml:space="preserve"> InputsTS!OWR$184</f>
        <v>0</v>
      </c>
      <c r="OWS77" s="223">
        <f xml:space="preserve"> InputsTS!OWS$184</f>
        <v>0</v>
      </c>
      <c r="OWT77" s="223">
        <f xml:space="preserve"> InputsTS!OWT$184</f>
        <v>0</v>
      </c>
      <c r="OWU77" s="223">
        <f xml:space="preserve"> InputsTS!OWU$184</f>
        <v>0</v>
      </c>
      <c r="OWV77" s="223">
        <f xml:space="preserve"> InputsTS!OWV$184</f>
        <v>0</v>
      </c>
      <c r="OWW77" s="223">
        <f xml:space="preserve"> InputsTS!OWW$184</f>
        <v>0</v>
      </c>
      <c r="OWX77" s="223">
        <f xml:space="preserve"> InputsTS!OWX$184</f>
        <v>0</v>
      </c>
      <c r="OWY77" s="223">
        <f xml:space="preserve"> InputsTS!OWY$184</f>
        <v>0</v>
      </c>
      <c r="OWZ77" s="223">
        <f xml:space="preserve"> InputsTS!OWZ$184</f>
        <v>0</v>
      </c>
      <c r="OXA77" s="223">
        <f xml:space="preserve"> InputsTS!OXA$184</f>
        <v>0</v>
      </c>
      <c r="OXB77" s="223">
        <f xml:space="preserve"> InputsTS!OXB$184</f>
        <v>0</v>
      </c>
      <c r="OXC77" s="223">
        <f xml:space="preserve"> InputsTS!OXC$184</f>
        <v>0</v>
      </c>
      <c r="OXD77" s="223">
        <f xml:space="preserve"> InputsTS!OXD$184</f>
        <v>0</v>
      </c>
      <c r="OXE77" s="223">
        <f xml:space="preserve"> InputsTS!OXE$184</f>
        <v>0</v>
      </c>
      <c r="OXF77" s="223">
        <f xml:space="preserve"> InputsTS!OXF$184</f>
        <v>0</v>
      </c>
      <c r="OXG77" s="223">
        <f xml:space="preserve"> InputsTS!OXG$184</f>
        <v>0</v>
      </c>
      <c r="OXH77" s="223">
        <f xml:space="preserve"> InputsTS!OXH$184</f>
        <v>0</v>
      </c>
      <c r="OXI77" s="223">
        <f xml:space="preserve"> InputsTS!OXI$184</f>
        <v>0</v>
      </c>
      <c r="OXJ77" s="223">
        <f xml:space="preserve"> InputsTS!OXJ$184</f>
        <v>0</v>
      </c>
      <c r="OXK77" s="223">
        <f xml:space="preserve"> InputsTS!OXK$184</f>
        <v>0</v>
      </c>
      <c r="OXL77" s="223">
        <f xml:space="preserve"> InputsTS!OXL$184</f>
        <v>0</v>
      </c>
      <c r="OXM77" s="223">
        <f xml:space="preserve"> InputsTS!OXM$184</f>
        <v>0</v>
      </c>
      <c r="OXN77" s="223">
        <f xml:space="preserve"> InputsTS!OXN$184</f>
        <v>0</v>
      </c>
      <c r="OXO77" s="223">
        <f xml:space="preserve"> InputsTS!OXO$184</f>
        <v>0</v>
      </c>
      <c r="OXP77" s="223">
        <f xml:space="preserve"> InputsTS!OXP$184</f>
        <v>0</v>
      </c>
      <c r="OXQ77" s="223">
        <f xml:space="preserve"> InputsTS!OXQ$184</f>
        <v>0</v>
      </c>
      <c r="OXR77" s="223">
        <f xml:space="preserve"> InputsTS!OXR$184</f>
        <v>0</v>
      </c>
      <c r="OXS77" s="223">
        <f xml:space="preserve"> InputsTS!OXS$184</f>
        <v>0</v>
      </c>
      <c r="OXT77" s="223">
        <f xml:space="preserve"> InputsTS!OXT$184</f>
        <v>0</v>
      </c>
      <c r="OXU77" s="223">
        <f xml:space="preserve"> InputsTS!OXU$184</f>
        <v>0</v>
      </c>
      <c r="OXV77" s="223">
        <f xml:space="preserve"> InputsTS!OXV$184</f>
        <v>0</v>
      </c>
      <c r="OXW77" s="223">
        <f xml:space="preserve"> InputsTS!OXW$184</f>
        <v>0</v>
      </c>
      <c r="OXX77" s="223">
        <f xml:space="preserve"> InputsTS!OXX$184</f>
        <v>0</v>
      </c>
      <c r="OXY77" s="223">
        <f xml:space="preserve"> InputsTS!OXY$184</f>
        <v>0</v>
      </c>
      <c r="OXZ77" s="223">
        <f xml:space="preserve"> InputsTS!OXZ$184</f>
        <v>0</v>
      </c>
      <c r="OYA77" s="223">
        <f xml:space="preserve"> InputsTS!OYA$184</f>
        <v>0</v>
      </c>
      <c r="OYB77" s="223">
        <f xml:space="preserve"> InputsTS!OYB$184</f>
        <v>0</v>
      </c>
      <c r="OYC77" s="223">
        <f xml:space="preserve"> InputsTS!OYC$184</f>
        <v>0</v>
      </c>
      <c r="OYD77" s="223">
        <f xml:space="preserve"> InputsTS!OYD$184</f>
        <v>0</v>
      </c>
      <c r="OYE77" s="223">
        <f xml:space="preserve"> InputsTS!OYE$184</f>
        <v>0</v>
      </c>
      <c r="OYF77" s="223">
        <f xml:space="preserve"> InputsTS!OYF$184</f>
        <v>0</v>
      </c>
      <c r="OYG77" s="223">
        <f xml:space="preserve"> InputsTS!OYG$184</f>
        <v>0</v>
      </c>
      <c r="OYH77" s="223">
        <f xml:space="preserve"> InputsTS!OYH$184</f>
        <v>0</v>
      </c>
      <c r="OYI77" s="223">
        <f xml:space="preserve"> InputsTS!OYI$184</f>
        <v>0</v>
      </c>
      <c r="OYJ77" s="223">
        <f xml:space="preserve"> InputsTS!OYJ$184</f>
        <v>0</v>
      </c>
      <c r="OYK77" s="223">
        <f xml:space="preserve"> InputsTS!OYK$184</f>
        <v>0</v>
      </c>
      <c r="OYL77" s="223">
        <f xml:space="preserve"> InputsTS!OYL$184</f>
        <v>0</v>
      </c>
      <c r="OYM77" s="223">
        <f xml:space="preserve"> InputsTS!OYM$184</f>
        <v>0</v>
      </c>
      <c r="OYN77" s="223">
        <f xml:space="preserve"> InputsTS!OYN$184</f>
        <v>0</v>
      </c>
      <c r="OYO77" s="223">
        <f xml:space="preserve"> InputsTS!OYO$184</f>
        <v>0</v>
      </c>
      <c r="OYP77" s="223">
        <f xml:space="preserve"> InputsTS!OYP$184</f>
        <v>0</v>
      </c>
      <c r="OYQ77" s="223">
        <f xml:space="preserve"> InputsTS!OYQ$184</f>
        <v>0</v>
      </c>
      <c r="OYR77" s="223">
        <f xml:space="preserve"> InputsTS!OYR$184</f>
        <v>0</v>
      </c>
      <c r="OYS77" s="223">
        <f xml:space="preserve"> InputsTS!OYS$184</f>
        <v>0</v>
      </c>
      <c r="OYT77" s="223">
        <f xml:space="preserve"> InputsTS!OYT$184</f>
        <v>0</v>
      </c>
      <c r="OYU77" s="223">
        <f xml:space="preserve"> InputsTS!OYU$184</f>
        <v>0</v>
      </c>
      <c r="OYV77" s="223">
        <f xml:space="preserve"> InputsTS!OYV$184</f>
        <v>0</v>
      </c>
      <c r="OYW77" s="223">
        <f xml:space="preserve"> InputsTS!OYW$184</f>
        <v>0</v>
      </c>
      <c r="OYX77" s="223">
        <f xml:space="preserve"> InputsTS!OYX$184</f>
        <v>0</v>
      </c>
      <c r="OYY77" s="223">
        <f xml:space="preserve"> InputsTS!OYY$184</f>
        <v>0</v>
      </c>
      <c r="OYZ77" s="223">
        <f xml:space="preserve"> InputsTS!OYZ$184</f>
        <v>0</v>
      </c>
      <c r="OZA77" s="223">
        <f xml:space="preserve"> InputsTS!OZA$184</f>
        <v>0</v>
      </c>
      <c r="OZB77" s="223">
        <f xml:space="preserve"> InputsTS!OZB$184</f>
        <v>0</v>
      </c>
      <c r="OZC77" s="223">
        <f xml:space="preserve"> InputsTS!OZC$184</f>
        <v>0</v>
      </c>
      <c r="OZD77" s="223">
        <f xml:space="preserve"> InputsTS!OZD$184</f>
        <v>0</v>
      </c>
      <c r="OZE77" s="223">
        <f xml:space="preserve"> InputsTS!OZE$184</f>
        <v>0</v>
      </c>
      <c r="OZF77" s="223">
        <f xml:space="preserve"> InputsTS!OZF$184</f>
        <v>0</v>
      </c>
      <c r="OZG77" s="223">
        <f xml:space="preserve"> InputsTS!OZG$184</f>
        <v>0</v>
      </c>
      <c r="OZH77" s="223">
        <f xml:space="preserve"> InputsTS!OZH$184</f>
        <v>0</v>
      </c>
      <c r="OZI77" s="223">
        <f xml:space="preserve"> InputsTS!OZI$184</f>
        <v>0</v>
      </c>
      <c r="OZJ77" s="223">
        <f xml:space="preserve"> InputsTS!OZJ$184</f>
        <v>0</v>
      </c>
      <c r="OZK77" s="223">
        <f xml:space="preserve"> InputsTS!OZK$184</f>
        <v>0</v>
      </c>
      <c r="OZL77" s="223">
        <f xml:space="preserve"> InputsTS!OZL$184</f>
        <v>0</v>
      </c>
      <c r="OZM77" s="223">
        <f xml:space="preserve"> InputsTS!OZM$184</f>
        <v>0</v>
      </c>
      <c r="OZN77" s="223">
        <f xml:space="preserve"> InputsTS!OZN$184</f>
        <v>0</v>
      </c>
      <c r="OZO77" s="223">
        <f xml:space="preserve"> InputsTS!OZO$184</f>
        <v>0</v>
      </c>
      <c r="OZP77" s="223">
        <f xml:space="preserve"> InputsTS!OZP$184</f>
        <v>0</v>
      </c>
      <c r="OZQ77" s="223">
        <f xml:space="preserve"> InputsTS!OZQ$184</f>
        <v>0</v>
      </c>
      <c r="OZR77" s="223">
        <f xml:space="preserve"> InputsTS!OZR$184</f>
        <v>0</v>
      </c>
      <c r="OZS77" s="223">
        <f xml:space="preserve"> InputsTS!OZS$184</f>
        <v>0</v>
      </c>
      <c r="OZT77" s="223">
        <f xml:space="preserve"> InputsTS!OZT$184</f>
        <v>0</v>
      </c>
      <c r="OZU77" s="223">
        <f xml:space="preserve"> InputsTS!OZU$184</f>
        <v>0</v>
      </c>
      <c r="OZV77" s="223">
        <f xml:space="preserve"> InputsTS!OZV$184</f>
        <v>0</v>
      </c>
      <c r="OZW77" s="223">
        <f xml:space="preserve"> InputsTS!OZW$184</f>
        <v>0</v>
      </c>
      <c r="OZX77" s="223">
        <f xml:space="preserve"> InputsTS!OZX$184</f>
        <v>0</v>
      </c>
      <c r="OZY77" s="223">
        <f xml:space="preserve"> InputsTS!OZY$184</f>
        <v>0</v>
      </c>
      <c r="OZZ77" s="223">
        <f xml:space="preserve"> InputsTS!OZZ$184</f>
        <v>0</v>
      </c>
      <c r="PAA77" s="223">
        <f xml:space="preserve"> InputsTS!PAA$184</f>
        <v>0</v>
      </c>
      <c r="PAB77" s="223">
        <f xml:space="preserve"> InputsTS!PAB$184</f>
        <v>0</v>
      </c>
      <c r="PAC77" s="223">
        <f xml:space="preserve"> InputsTS!PAC$184</f>
        <v>0</v>
      </c>
      <c r="PAD77" s="223">
        <f xml:space="preserve"> InputsTS!PAD$184</f>
        <v>0</v>
      </c>
      <c r="PAE77" s="223">
        <f xml:space="preserve"> InputsTS!PAE$184</f>
        <v>0</v>
      </c>
      <c r="PAF77" s="223">
        <f xml:space="preserve"> InputsTS!PAF$184</f>
        <v>0</v>
      </c>
      <c r="PAG77" s="223">
        <f xml:space="preserve"> InputsTS!PAG$184</f>
        <v>0</v>
      </c>
      <c r="PAH77" s="223">
        <f xml:space="preserve"> InputsTS!PAH$184</f>
        <v>0</v>
      </c>
      <c r="PAI77" s="223">
        <f xml:space="preserve"> InputsTS!PAI$184</f>
        <v>0</v>
      </c>
      <c r="PAJ77" s="223">
        <f xml:space="preserve"> InputsTS!PAJ$184</f>
        <v>0</v>
      </c>
      <c r="PAK77" s="223">
        <f xml:space="preserve"> InputsTS!PAK$184</f>
        <v>0</v>
      </c>
      <c r="PAL77" s="223">
        <f xml:space="preserve"> InputsTS!PAL$184</f>
        <v>0</v>
      </c>
      <c r="PAM77" s="223">
        <f xml:space="preserve"> InputsTS!PAM$184</f>
        <v>0</v>
      </c>
      <c r="PAN77" s="223">
        <f xml:space="preserve"> InputsTS!PAN$184</f>
        <v>0</v>
      </c>
      <c r="PAO77" s="223">
        <f xml:space="preserve"> InputsTS!PAO$184</f>
        <v>0</v>
      </c>
      <c r="PAP77" s="223">
        <f xml:space="preserve"> InputsTS!PAP$184</f>
        <v>0</v>
      </c>
      <c r="PAQ77" s="223">
        <f xml:space="preserve"> InputsTS!PAQ$184</f>
        <v>0</v>
      </c>
      <c r="PAR77" s="223">
        <f xml:space="preserve"> InputsTS!PAR$184</f>
        <v>0</v>
      </c>
      <c r="PAS77" s="223">
        <f xml:space="preserve"> InputsTS!PAS$184</f>
        <v>0</v>
      </c>
      <c r="PAT77" s="223">
        <f xml:space="preserve"> InputsTS!PAT$184</f>
        <v>0</v>
      </c>
      <c r="PAU77" s="223">
        <f xml:space="preserve"> InputsTS!PAU$184</f>
        <v>0</v>
      </c>
      <c r="PAV77" s="223">
        <f xml:space="preserve"> InputsTS!PAV$184</f>
        <v>0</v>
      </c>
      <c r="PAW77" s="223">
        <f xml:space="preserve"> InputsTS!PAW$184</f>
        <v>0</v>
      </c>
      <c r="PAX77" s="223">
        <f xml:space="preserve"> InputsTS!PAX$184</f>
        <v>0</v>
      </c>
      <c r="PAY77" s="223">
        <f xml:space="preserve"> InputsTS!PAY$184</f>
        <v>0</v>
      </c>
      <c r="PAZ77" s="223">
        <f xml:space="preserve"> InputsTS!PAZ$184</f>
        <v>0</v>
      </c>
      <c r="PBA77" s="223">
        <f xml:space="preserve"> InputsTS!PBA$184</f>
        <v>0</v>
      </c>
      <c r="PBB77" s="223">
        <f xml:space="preserve"> InputsTS!PBB$184</f>
        <v>0</v>
      </c>
      <c r="PBC77" s="223">
        <f xml:space="preserve"> InputsTS!PBC$184</f>
        <v>0</v>
      </c>
      <c r="PBD77" s="223">
        <f xml:space="preserve"> InputsTS!PBD$184</f>
        <v>0</v>
      </c>
      <c r="PBE77" s="223">
        <f xml:space="preserve"> InputsTS!PBE$184</f>
        <v>0</v>
      </c>
      <c r="PBF77" s="223">
        <f xml:space="preserve"> InputsTS!PBF$184</f>
        <v>0</v>
      </c>
      <c r="PBG77" s="223">
        <f xml:space="preserve"> InputsTS!PBG$184</f>
        <v>0</v>
      </c>
      <c r="PBH77" s="223">
        <f xml:space="preserve"> InputsTS!PBH$184</f>
        <v>0</v>
      </c>
      <c r="PBI77" s="223">
        <f xml:space="preserve"> InputsTS!PBI$184</f>
        <v>0</v>
      </c>
      <c r="PBJ77" s="223">
        <f xml:space="preserve"> InputsTS!PBJ$184</f>
        <v>0</v>
      </c>
      <c r="PBK77" s="223">
        <f xml:space="preserve"> InputsTS!PBK$184</f>
        <v>0</v>
      </c>
      <c r="PBL77" s="223">
        <f xml:space="preserve"> InputsTS!PBL$184</f>
        <v>0</v>
      </c>
      <c r="PBM77" s="223">
        <f xml:space="preserve"> InputsTS!PBM$184</f>
        <v>0</v>
      </c>
      <c r="PBN77" s="223">
        <f xml:space="preserve"> InputsTS!PBN$184</f>
        <v>0</v>
      </c>
      <c r="PBO77" s="223">
        <f xml:space="preserve"> InputsTS!PBO$184</f>
        <v>0</v>
      </c>
      <c r="PBP77" s="223">
        <f xml:space="preserve"> InputsTS!PBP$184</f>
        <v>0</v>
      </c>
      <c r="PBQ77" s="223">
        <f xml:space="preserve"> InputsTS!PBQ$184</f>
        <v>0</v>
      </c>
      <c r="PBR77" s="223">
        <f xml:space="preserve"> InputsTS!PBR$184</f>
        <v>0</v>
      </c>
      <c r="PBS77" s="223">
        <f xml:space="preserve"> InputsTS!PBS$184</f>
        <v>0</v>
      </c>
      <c r="PBT77" s="223">
        <f xml:space="preserve"> InputsTS!PBT$184</f>
        <v>0</v>
      </c>
      <c r="PBU77" s="223">
        <f xml:space="preserve"> InputsTS!PBU$184</f>
        <v>0</v>
      </c>
      <c r="PBV77" s="223">
        <f xml:space="preserve"> InputsTS!PBV$184</f>
        <v>0</v>
      </c>
      <c r="PBW77" s="223">
        <f xml:space="preserve"> InputsTS!PBW$184</f>
        <v>0</v>
      </c>
      <c r="PBX77" s="223">
        <f xml:space="preserve"> InputsTS!PBX$184</f>
        <v>0</v>
      </c>
      <c r="PBY77" s="223">
        <f xml:space="preserve"> InputsTS!PBY$184</f>
        <v>0</v>
      </c>
      <c r="PBZ77" s="223">
        <f xml:space="preserve"> InputsTS!PBZ$184</f>
        <v>0</v>
      </c>
      <c r="PCA77" s="223">
        <f xml:space="preserve"> InputsTS!PCA$184</f>
        <v>0</v>
      </c>
      <c r="PCB77" s="223">
        <f xml:space="preserve"> InputsTS!PCB$184</f>
        <v>0</v>
      </c>
      <c r="PCC77" s="223">
        <f xml:space="preserve"> InputsTS!PCC$184</f>
        <v>0</v>
      </c>
      <c r="PCD77" s="223">
        <f xml:space="preserve"> InputsTS!PCD$184</f>
        <v>0</v>
      </c>
      <c r="PCE77" s="223">
        <f xml:space="preserve"> InputsTS!PCE$184</f>
        <v>0</v>
      </c>
      <c r="PCF77" s="223">
        <f xml:space="preserve"> InputsTS!PCF$184</f>
        <v>0</v>
      </c>
      <c r="PCG77" s="223">
        <f xml:space="preserve"> InputsTS!PCG$184</f>
        <v>0</v>
      </c>
      <c r="PCH77" s="223">
        <f xml:space="preserve"> InputsTS!PCH$184</f>
        <v>0</v>
      </c>
      <c r="PCI77" s="223">
        <f xml:space="preserve"> InputsTS!PCI$184</f>
        <v>0</v>
      </c>
      <c r="PCJ77" s="223">
        <f xml:space="preserve"> InputsTS!PCJ$184</f>
        <v>0</v>
      </c>
      <c r="PCK77" s="223">
        <f xml:space="preserve"> InputsTS!PCK$184</f>
        <v>0</v>
      </c>
      <c r="PCL77" s="223">
        <f xml:space="preserve"> InputsTS!PCL$184</f>
        <v>0</v>
      </c>
      <c r="PCM77" s="223">
        <f xml:space="preserve"> InputsTS!PCM$184</f>
        <v>0</v>
      </c>
      <c r="PCN77" s="223">
        <f xml:space="preserve"> InputsTS!PCN$184</f>
        <v>0</v>
      </c>
      <c r="PCO77" s="223">
        <f xml:space="preserve"> InputsTS!PCO$184</f>
        <v>0</v>
      </c>
      <c r="PCP77" s="223">
        <f xml:space="preserve"> InputsTS!PCP$184</f>
        <v>0</v>
      </c>
      <c r="PCQ77" s="223">
        <f xml:space="preserve"> InputsTS!PCQ$184</f>
        <v>0</v>
      </c>
      <c r="PCR77" s="223">
        <f xml:space="preserve"> InputsTS!PCR$184</f>
        <v>0</v>
      </c>
      <c r="PCS77" s="223">
        <f xml:space="preserve"> InputsTS!PCS$184</f>
        <v>0</v>
      </c>
      <c r="PCT77" s="223">
        <f xml:space="preserve"> InputsTS!PCT$184</f>
        <v>0</v>
      </c>
      <c r="PCU77" s="223">
        <f xml:space="preserve"> InputsTS!PCU$184</f>
        <v>0</v>
      </c>
      <c r="PCV77" s="223">
        <f xml:space="preserve"> InputsTS!PCV$184</f>
        <v>0</v>
      </c>
      <c r="PCW77" s="223">
        <f xml:space="preserve"> InputsTS!PCW$184</f>
        <v>0</v>
      </c>
      <c r="PCX77" s="223">
        <f xml:space="preserve"> InputsTS!PCX$184</f>
        <v>0</v>
      </c>
      <c r="PCY77" s="223">
        <f xml:space="preserve"> InputsTS!PCY$184</f>
        <v>0</v>
      </c>
      <c r="PCZ77" s="223">
        <f xml:space="preserve"> InputsTS!PCZ$184</f>
        <v>0</v>
      </c>
      <c r="PDA77" s="223">
        <f xml:space="preserve"> InputsTS!PDA$184</f>
        <v>0</v>
      </c>
      <c r="PDB77" s="223">
        <f xml:space="preserve"> InputsTS!PDB$184</f>
        <v>0</v>
      </c>
      <c r="PDC77" s="223">
        <f xml:space="preserve"> InputsTS!PDC$184</f>
        <v>0</v>
      </c>
      <c r="PDD77" s="223">
        <f xml:space="preserve"> InputsTS!PDD$184</f>
        <v>0</v>
      </c>
      <c r="PDE77" s="223">
        <f xml:space="preserve"> InputsTS!PDE$184</f>
        <v>0</v>
      </c>
      <c r="PDF77" s="223">
        <f xml:space="preserve"> InputsTS!PDF$184</f>
        <v>0</v>
      </c>
      <c r="PDG77" s="223">
        <f xml:space="preserve"> InputsTS!PDG$184</f>
        <v>0</v>
      </c>
      <c r="PDH77" s="223">
        <f xml:space="preserve"> InputsTS!PDH$184</f>
        <v>0</v>
      </c>
      <c r="PDI77" s="223">
        <f xml:space="preserve"> InputsTS!PDI$184</f>
        <v>0</v>
      </c>
      <c r="PDJ77" s="223">
        <f xml:space="preserve"> InputsTS!PDJ$184</f>
        <v>0</v>
      </c>
      <c r="PDK77" s="223">
        <f xml:space="preserve"> InputsTS!PDK$184</f>
        <v>0</v>
      </c>
      <c r="PDL77" s="223">
        <f xml:space="preserve"> InputsTS!PDL$184</f>
        <v>0</v>
      </c>
      <c r="PDM77" s="223">
        <f xml:space="preserve"> InputsTS!PDM$184</f>
        <v>0</v>
      </c>
      <c r="PDN77" s="223">
        <f xml:space="preserve"> InputsTS!PDN$184</f>
        <v>0</v>
      </c>
      <c r="PDO77" s="223">
        <f xml:space="preserve"> InputsTS!PDO$184</f>
        <v>0</v>
      </c>
      <c r="PDP77" s="223">
        <f xml:space="preserve"> InputsTS!PDP$184</f>
        <v>0</v>
      </c>
      <c r="PDQ77" s="223">
        <f xml:space="preserve"> InputsTS!PDQ$184</f>
        <v>0</v>
      </c>
      <c r="PDR77" s="223">
        <f xml:space="preserve"> InputsTS!PDR$184</f>
        <v>0</v>
      </c>
      <c r="PDS77" s="223">
        <f xml:space="preserve"> InputsTS!PDS$184</f>
        <v>0</v>
      </c>
      <c r="PDT77" s="223">
        <f xml:space="preserve"> InputsTS!PDT$184</f>
        <v>0</v>
      </c>
      <c r="PDU77" s="223">
        <f xml:space="preserve"> InputsTS!PDU$184</f>
        <v>0</v>
      </c>
      <c r="PDV77" s="223">
        <f xml:space="preserve"> InputsTS!PDV$184</f>
        <v>0</v>
      </c>
      <c r="PDW77" s="223">
        <f xml:space="preserve"> InputsTS!PDW$184</f>
        <v>0</v>
      </c>
      <c r="PDX77" s="223">
        <f xml:space="preserve"> InputsTS!PDX$184</f>
        <v>0</v>
      </c>
      <c r="PDY77" s="223">
        <f xml:space="preserve"> InputsTS!PDY$184</f>
        <v>0</v>
      </c>
      <c r="PDZ77" s="223">
        <f xml:space="preserve"> InputsTS!PDZ$184</f>
        <v>0</v>
      </c>
      <c r="PEA77" s="223">
        <f xml:space="preserve"> InputsTS!PEA$184</f>
        <v>0</v>
      </c>
      <c r="PEB77" s="223">
        <f xml:space="preserve"> InputsTS!PEB$184</f>
        <v>0</v>
      </c>
      <c r="PEC77" s="223">
        <f xml:space="preserve"> InputsTS!PEC$184</f>
        <v>0</v>
      </c>
      <c r="PED77" s="223">
        <f xml:space="preserve"> InputsTS!PED$184</f>
        <v>0</v>
      </c>
      <c r="PEE77" s="223">
        <f xml:space="preserve"> InputsTS!PEE$184</f>
        <v>0</v>
      </c>
      <c r="PEF77" s="223">
        <f xml:space="preserve"> InputsTS!PEF$184</f>
        <v>0</v>
      </c>
      <c r="PEG77" s="223">
        <f xml:space="preserve"> InputsTS!PEG$184</f>
        <v>0</v>
      </c>
      <c r="PEH77" s="223">
        <f xml:space="preserve"> InputsTS!PEH$184</f>
        <v>0</v>
      </c>
      <c r="PEI77" s="223">
        <f xml:space="preserve"> InputsTS!PEI$184</f>
        <v>0</v>
      </c>
      <c r="PEJ77" s="223">
        <f xml:space="preserve"> InputsTS!PEJ$184</f>
        <v>0</v>
      </c>
      <c r="PEK77" s="223">
        <f xml:space="preserve"> InputsTS!PEK$184</f>
        <v>0</v>
      </c>
      <c r="PEL77" s="223">
        <f xml:space="preserve"> InputsTS!PEL$184</f>
        <v>0</v>
      </c>
      <c r="PEM77" s="223">
        <f xml:space="preserve"> InputsTS!PEM$184</f>
        <v>0</v>
      </c>
      <c r="PEN77" s="223">
        <f xml:space="preserve"> InputsTS!PEN$184</f>
        <v>0</v>
      </c>
      <c r="PEO77" s="223">
        <f xml:space="preserve"> InputsTS!PEO$184</f>
        <v>0</v>
      </c>
      <c r="PEP77" s="223">
        <f xml:space="preserve"> InputsTS!PEP$184</f>
        <v>0</v>
      </c>
      <c r="PEQ77" s="223">
        <f xml:space="preserve"> InputsTS!PEQ$184</f>
        <v>0</v>
      </c>
      <c r="PER77" s="223">
        <f xml:space="preserve"> InputsTS!PER$184</f>
        <v>0</v>
      </c>
      <c r="PES77" s="223">
        <f xml:space="preserve"> InputsTS!PES$184</f>
        <v>0</v>
      </c>
      <c r="PET77" s="223">
        <f xml:space="preserve"> InputsTS!PET$184</f>
        <v>0</v>
      </c>
      <c r="PEU77" s="223">
        <f xml:space="preserve"> InputsTS!PEU$184</f>
        <v>0</v>
      </c>
      <c r="PEV77" s="223">
        <f xml:space="preserve"> InputsTS!PEV$184</f>
        <v>0</v>
      </c>
      <c r="PEW77" s="223">
        <f xml:space="preserve"> InputsTS!PEW$184</f>
        <v>0</v>
      </c>
      <c r="PEX77" s="223">
        <f xml:space="preserve"> InputsTS!PEX$184</f>
        <v>0</v>
      </c>
      <c r="PEY77" s="223">
        <f xml:space="preserve"> InputsTS!PEY$184</f>
        <v>0</v>
      </c>
      <c r="PEZ77" s="223">
        <f xml:space="preserve"> InputsTS!PEZ$184</f>
        <v>0</v>
      </c>
      <c r="PFA77" s="223">
        <f xml:space="preserve"> InputsTS!PFA$184</f>
        <v>0</v>
      </c>
      <c r="PFB77" s="223">
        <f xml:space="preserve"> InputsTS!PFB$184</f>
        <v>0</v>
      </c>
      <c r="PFC77" s="223">
        <f xml:space="preserve"> InputsTS!PFC$184</f>
        <v>0</v>
      </c>
      <c r="PFD77" s="223">
        <f xml:space="preserve"> InputsTS!PFD$184</f>
        <v>0</v>
      </c>
      <c r="PFE77" s="223">
        <f xml:space="preserve"> InputsTS!PFE$184</f>
        <v>0</v>
      </c>
      <c r="PFF77" s="223">
        <f xml:space="preserve"> InputsTS!PFF$184</f>
        <v>0</v>
      </c>
      <c r="PFG77" s="223">
        <f xml:space="preserve"> InputsTS!PFG$184</f>
        <v>0</v>
      </c>
      <c r="PFH77" s="223">
        <f xml:space="preserve"> InputsTS!PFH$184</f>
        <v>0</v>
      </c>
      <c r="PFI77" s="223">
        <f xml:space="preserve"> InputsTS!PFI$184</f>
        <v>0</v>
      </c>
      <c r="PFJ77" s="223">
        <f xml:space="preserve"> InputsTS!PFJ$184</f>
        <v>0</v>
      </c>
      <c r="PFK77" s="223">
        <f xml:space="preserve"> InputsTS!PFK$184</f>
        <v>0</v>
      </c>
      <c r="PFL77" s="223">
        <f xml:space="preserve"> InputsTS!PFL$184</f>
        <v>0</v>
      </c>
      <c r="PFM77" s="223">
        <f xml:space="preserve"> InputsTS!PFM$184</f>
        <v>0</v>
      </c>
      <c r="PFN77" s="223">
        <f xml:space="preserve"> InputsTS!PFN$184</f>
        <v>0</v>
      </c>
      <c r="PFO77" s="223">
        <f xml:space="preserve"> InputsTS!PFO$184</f>
        <v>0</v>
      </c>
      <c r="PFP77" s="223">
        <f xml:space="preserve"> InputsTS!PFP$184</f>
        <v>0</v>
      </c>
      <c r="PFQ77" s="223">
        <f xml:space="preserve"> InputsTS!PFQ$184</f>
        <v>0</v>
      </c>
      <c r="PFR77" s="223">
        <f xml:space="preserve"> InputsTS!PFR$184</f>
        <v>0</v>
      </c>
      <c r="PFS77" s="223">
        <f xml:space="preserve"> InputsTS!PFS$184</f>
        <v>0</v>
      </c>
      <c r="PFT77" s="223">
        <f xml:space="preserve"> InputsTS!PFT$184</f>
        <v>0</v>
      </c>
      <c r="PFU77" s="223">
        <f xml:space="preserve"> InputsTS!PFU$184</f>
        <v>0</v>
      </c>
      <c r="PFV77" s="223">
        <f xml:space="preserve"> InputsTS!PFV$184</f>
        <v>0</v>
      </c>
      <c r="PFW77" s="223">
        <f xml:space="preserve"> InputsTS!PFW$184</f>
        <v>0</v>
      </c>
      <c r="PFX77" s="223">
        <f xml:space="preserve"> InputsTS!PFX$184</f>
        <v>0</v>
      </c>
      <c r="PFY77" s="223">
        <f xml:space="preserve"> InputsTS!PFY$184</f>
        <v>0</v>
      </c>
      <c r="PFZ77" s="223">
        <f xml:space="preserve"> InputsTS!PFZ$184</f>
        <v>0</v>
      </c>
      <c r="PGA77" s="223">
        <f xml:space="preserve"> InputsTS!PGA$184</f>
        <v>0</v>
      </c>
      <c r="PGB77" s="223">
        <f xml:space="preserve"> InputsTS!PGB$184</f>
        <v>0</v>
      </c>
      <c r="PGC77" s="223">
        <f xml:space="preserve"> InputsTS!PGC$184</f>
        <v>0</v>
      </c>
      <c r="PGD77" s="223">
        <f xml:space="preserve"> InputsTS!PGD$184</f>
        <v>0</v>
      </c>
      <c r="PGE77" s="223">
        <f xml:space="preserve"> InputsTS!PGE$184</f>
        <v>0</v>
      </c>
      <c r="PGF77" s="223">
        <f xml:space="preserve"> InputsTS!PGF$184</f>
        <v>0</v>
      </c>
      <c r="PGG77" s="223">
        <f xml:space="preserve"> InputsTS!PGG$184</f>
        <v>0</v>
      </c>
      <c r="PGH77" s="223">
        <f xml:space="preserve"> InputsTS!PGH$184</f>
        <v>0</v>
      </c>
      <c r="PGI77" s="223">
        <f xml:space="preserve"> InputsTS!PGI$184</f>
        <v>0</v>
      </c>
      <c r="PGJ77" s="223">
        <f xml:space="preserve"> InputsTS!PGJ$184</f>
        <v>0</v>
      </c>
      <c r="PGK77" s="223">
        <f xml:space="preserve"> InputsTS!PGK$184</f>
        <v>0</v>
      </c>
      <c r="PGL77" s="223">
        <f xml:space="preserve"> InputsTS!PGL$184</f>
        <v>0</v>
      </c>
      <c r="PGM77" s="223">
        <f xml:space="preserve"> InputsTS!PGM$184</f>
        <v>0</v>
      </c>
      <c r="PGN77" s="223">
        <f xml:space="preserve"> InputsTS!PGN$184</f>
        <v>0</v>
      </c>
      <c r="PGO77" s="223">
        <f xml:space="preserve"> InputsTS!PGO$184</f>
        <v>0</v>
      </c>
      <c r="PGP77" s="223">
        <f xml:space="preserve"> InputsTS!PGP$184</f>
        <v>0</v>
      </c>
      <c r="PGQ77" s="223">
        <f xml:space="preserve"> InputsTS!PGQ$184</f>
        <v>0</v>
      </c>
      <c r="PGR77" s="223">
        <f xml:space="preserve"> InputsTS!PGR$184</f>
        <v>0</v>
      </c>
      <c r="PGS77" s="223">
        <f xml:space="preserve"> InputsTS!PGS$184</f>
        <v>0</v>
      </c>
      <c r="PGT77" s="223">
        <f xml:space="preserve"> InputsTS!PGT$184</f>
        <v>0</v>
      </c>
      <c r="PGU77" s="223">
        <f xml:space="preserve"> InputsTS!PGU$184</f>
        <v>0</v>
      </c>
      <c r="PGV77" s="223">
        <f xml:space="preserve"> InputsTS!PGV$184</f>
        <v>0</v>
      </c>
      <c r="PGW77" s="223">
        <f xml:space="preserve"> InputsTS!PGW$184</f>
        <v>0</v>
      </c>
      <c r="PGX77" s="223">
        <f xml:space="preserve"> InputsTS!PGX$184</f>
        <v>0</v>
      </c>
      <c r="PGY77" s="223">
        <f xml:space="preserve"> InputsTS!PGY$184</f>
        <v>0</v>
      </c>
      <c r="PGZ77" s="223">
        <f xml:space="preserve"> InputsTS!PGZ$184</f>
        <v>0</v>
      </c>
      <c r="PHA77" s="223">
        <f xml:space="preserve"> InputsTS!PHA$184</f>
        <v>0</v>
      </c>
      <c r="PHB77" s="223">
        <f xml:space="preserve"> InputsTS!PHB$184</f>
        <v>0</v>
      </c>
      <c r="PHC77" s="223">
        <f xml:space="preserve"> InputsTS!PHC$184</f>
        <v>0</v>
      </c>
      <c r="PHD77" s="223">
        <f xml:space="preserve"> InputsTS!PHD$184</f>
        <v>0</v>
      </c>
      <c r="PHE77" s="223">
        <f xml:space="preserve"> InputsTS!PHE$184</f>
        <v>0</v>
      </c>
      <c r="PHF77" s="223">
        <f xml:space="preserve"> InputsTS!PHF$184</f>
        <v>0</v>
      </c>
      <c r="PHG77" s="223">
        <f xml:space="preserve"> InputsTS!PHG$184</f>
        <v>0</v>
      </c>
      <c r="PHH77" s="223">
        <f xml:space="preserve"> InputsTS!PHH$184</f>
        <v>0</v>
      </c>
      <c r="PHI77" s="223">
        <f xml:space="preserve"> InputsTS!PHI$184</f>
        <v>0</v>
      </c>
      <c r="PHJ77" s="223">
        <f xml:space="preserve"> InputsTS!PHJ$184</f>
        <v>0</v>
      </c>
      <c r="PHK77" s="223">
        <f xml:space="preserve"> InputsTS!PHK$184</f>
        <v>0</v>
      </c>
      <c r="PHL77" s="223">
        <f xml:space="preserve"> InputsTS!PHL$184</f>
        <v>0</v>
      </c>
      <c r="PHM77" s="223">
        <f xml:space="preserve"> InputsTS!PHM$184</f>
        <v>0</v>
      </c>
      <c r="PHN77" s="223">
        <f xml:space="preserve"> InputsTS!PHN$184</f>
        <v>0</v>
      </c>
      <c r="PHO77" s="223">
        <f xml:space="preserve"> InputsTS!PHO$184</f>
        <v>0</v>
      </c>
      <c r="PHP77" s="223">
        <f xml:space="preserve"> InputsTS!PHP$184</f>
        <v>0</v>
      </c>
      <c r="PHQ77" s="223">
        <f xml:space="preserve"> InputsTS!PHQ$184</f>
        <v>0</v>
      </c>
      <c r="PHR77" s="223">
        <f xml:space="preserve"> InputsTS!PHR$184</f>
        <v>0</v>
      </c>
      <c r="PHS77" s="223">
        <f xml:space="preserve"> InputsTS!PHS$184</f>
        <v>0</v>
      </c>
      <c r="PHT77" s="223">
        <f xml:space="preserve"> InputsTS!PHT$184</f>
        <v>0</v>
      </c>
      <c r="PHU77" s="223">
        <f xml:space="preserve"> InputsTS!PHU$184</f>
        <v>0</v>
      </c>
      <c r="PHV77" s="223">
        <f xml:space="preserve"> InputsTS!PHV$184</f>
        <v>0</v>
      </c>
      <c r="PHW77" s="223">
        <f xml:space="preserve"> InputsTS!PHW$184</f>
        <v>0</v>
      </c>
      <c r="PHX77" s="223">
        <f xml:space="preserve"> InputsTS!PHX$184</f>
        <v>0</v>
      </c>
      <c r="PHY77" s="223">
        <f xml:space="preserve"> InputsTS!PHY$184</f>
        <v>0</v>
      </c>
      <c r="PHZ77" s="223">
        <f xml:space="preserve"> InputsTS!PHZ$184</f>
        <v>0</v>
      </c>
      <c r="PIA77" s="223">
        <f xml:space="preserve"> InputsTS!PIA$184</f>
        <v>0</v>
      </c>
      <c r="PIB77" s="223">
        <f xml:space="preserve"> InputsTS!PIB$184</f>
        <v>0</v>
      </c>
      <c r="PIC77" s="223">
        <f xml:space="preserve"> InputsTS!PIC$184</f>
        <v>0</v>
      </c>
      <c r="PID77" s="223">
        <f xml:space="preserve"> InputsTS!PID$184</f>
        <v>0</v>
      </c>
      <c r="PIE77" s="223">
        <f xml:space="preserve"> InputsTS!PIE$184</f>
        <v>0</v>
      </c>
      <c r="PIF77" s="223">
        <f xml:space="preserve"> InputsTS!PIF$184</f>
        <v>0</v>
      </c>
      <c r="PIG77" s="223">
        <f xml:space="preserve"> InputsTS!PIG$184</f>
        <v>0</v>
      </c>
      <c r="PIH77" s="223">
        <f xml:space="preserve"> InputsTS!PIH$184</f>
        <v>0</v>
      </c>
      <c r="PII77" s="223">
        <f xml:space="preserve"> InputsTS!PII$184</f>
        <v>0</v>
      </c>
      <c r="PIJ77" s="223">
        <f xml:space="preserve"> InputsTS!PIJ$184</f>
        <v>0</v>
      </c>
      <c r="PIK77" s="223">
        <f xml:space="preserve"> InputsTS!PIK$184</f>
        <v>0</v>
      </c>
      <c r="PIL77" s="223">
        <f xml:space="preserve"> InputsTS!PIL$184</f>
        <v>0</v>
      </c>
      <c r="PIM77" s="223">
        <f xml:space="preserve"> InputsTS!PIM$184</f>
        <v>0</v>
      </c>
      <c r="PIN77" s="223">
        <f xml:space="preserve"> InputsTS!PIN$184</f>
        <v>0</v>
      </c>
      <c r="PIO77" s="223">
        <f xml:space="preserve"> InputsTS!PIO$184</f>
        <v>0</v>
      </c>
      <c r="PIP77" s="223">
        <f xml:space="preserve"> InputsTS!PIP$184</f>
        <v>0</v>
      </c>
      <c r="PIQ77" s="223">
        <f xml:space="preserve"> InputsTS!PIQ$184</f>
        <v>0</v>
      </c>
      <c r="PIR77" s="223">
        <f xml:space="preserve"> InputsTS!PIR$184</f>
        <v>0</v>
      </c>
      <c r="PIS77" s="223">
        <f xml:space="preserve"> InputsTS!PIS$184</f>
        <v>0</v>
      </c>
      <c r="PIT77" s="223">
        <f xml:space="preserve"> InputsTS!PIT$184</f>
        <v>0</v>
      </c>
      <c r="PIU77" s="223">
        <f xml:space="preserve"> InputsTS!PIU$184</f>
        <v>0</v>
      </c>
      <c r="PIV77" s="223">
        <f xml:space="preserve"> InputsTS!PIV$184</f>
        <v>0</v>
      </c>
      <c r="PIW77" s="223">
        <f xml:space="preserve"> InputsTS!PIW$184</f>
        <v>0</v>
      </c>
      <c r="PIX77" s="223">
        <f xml:space="preserve"> InputsTS!PIX$184</f>
        <v>0</v>
      </c>
      <c r="PIY77" s="223">
        <f xml:space="preserve"> InputsTS!PIY$184</f>
        <v>0</v>
      </c>
      <c r="PIZ77" s="223">
        <f xml:space="preserve"> InputsTS!PIZ$184</f>
        <v>0</v>
      </c>
      <c r="PJA77" s="223">
        <f xml:space="preserve"> InputsTS!PJA$184</f>
        <v>0</v>
      </c>
      <c r="PJB77" s="223">
        <f xml:space="preserve"> InputsTS!PJB$184</f>
        <v>0</v>
      </c>
      <c r="PJC77" s="223">
        <f xml:space="preserve"> InputsTS!PJC$184</f>
        <v>0</v>
      </c>
      <c r="PJD77" s="223">
        <f xml:space="preserve"> InputsTS!PJD$184</f>
        <v>0</v>
      </c>
      <c r="PJE77" s="223">
        <f xml:space="preserve"> InputsTS!PJE$184</f>
        <v>0</v>
      </c>
      <c r="PJF77" s="223">
        <f xml:space="preserve"> InputsTS!PJF$184</f>
        <v>0</v>
      </c>
      <c r="PJG77" s="223">
        <f xml:space="preserve"> InputsTS!PJG$184</f>
        <v>0</v>
      </c>
      <c r="PJH77" s="223">
        <f xml:space="preserve"> InputsTS!PJH$184</f>
        <v>0</v>
      </c>
      <c r="PJI77" s="223">
        <f xml:space="preserve"> InputsTS!PJI$184</f>
        <v>0</v>
      </c>
      <c r="PJJ77" s="223">
        <f xml:space="preserve"> InputsTS!PJJ$184</f>
        <v>0</v>
      </c>
      <c r="PJK77" s="223">
        <f xml:space="preserve"> InputsTS!PJK$184</f>
        <v>0</v>
      </c>
      <c r="PJL77" s="223">
        <f xml:space="preserve"> InputsTS!PJL$184</f>
        <v>0</v>
      </c>
      <c r="PJM77" s="223">
        <f xml:space="preserve"> InputsTS!PJM$184</f>
        <v>0</v>
      </c>
      <c r="PJN77" s="223">
        <f xml:space="preserve"> InputsTS!PJN$184</f>
        <v>0</v>
      </c>
      <c r="PJO77" s="223">
        <f xml:space="preserve"> InputsTS!PJO$184</f>
        <v>0</v>
      </c>
      <c r="PJP77" s="223">
        <f xml:space="preserve"> InputsTS!PJP$184</f>
        <v>0</v>
      </c>
      <c r="PJQ77" s="223">
        <f xml:space="preserve"> InputsTS!PJQ$184</f>
        <v>0</v>
      </c>
      <c r="PJR77" s="223">
        <f xml:space="preserve"> InputsTS!PJR$184</f>
        <v>0</v>
      </c>
      <c r="PJS77" s="223">
        <f xml:space="preserve"> InputsTS!PJS$184</f>
        <v>0</v>
      </c>
      <c r="PJT77" s="223">
        <f xml:space="preserve"> InputsTS!PJT$184</f>
        <v>0</v>
      </c>
      <c r="PJU77" s="223">
        <f xml:space="preserve"> InputsTS!PJU$184</f>
        <v>0</v>
      </c>
      <c r="PJV77" s="223">
        <f xml:space="preserve"> InputsTS!PJV$184</f>
        <v>0</v>
      </c>
      <c r="PJW77" s="223">
        <f xml:space="preserve"> InputsTS!PJW$184</f>
        <v>0</v>
      </c>
      <c r="PJX77" s="223">
        <f xml:space="preserve"> InputsTS!PJX$184</f>
        <v>0</v>
      </c>
      <c r="PJY77" s="223">
        <f xml:space="preserve"> InputsTS!PJY$184</f>
        <v>0</v>
      </c>
      <c r="PJZ77" s="223">
        <f xml:space="preserve"> InputsTS!PJZ$184</f>
        <v>0</v>
      </c>
      <c r="PKA77" s="223">
        <f xml:space="preserve"> InputsTS!PKA$184</f>
        <v>0</v>
      </c>
      <c r="PKB77" s="223">
        <f xml:space="preserve"> InputsTS!PKB$184</f>
        <v>0</v>
      </c>
      <c r="PKC77" s="223">
        <f xml:space="preserve"> InputsTS!PKC$184</f>
        <v>0</v>
      </c>
      <c r="PKD77" s="223">
        <f xml:space="preserve"> InputsTS!PKD$184</f>
        <v>0</v>
      </c>
      <c r="PKE77" s="223">
        <f xml:space="preserve"> InputsTS!PKE$184</f>
        <v>0</v>
      </c>
      <c r="PKF77" s="223">
        <f xml:space="preserve"> InputsTS!PKF$184</f>
        <v>0</v>
      </c>
      <c r="PKG77" s="223">
        <f xml:space="preserve"> InputsTS!PKG$184</f>
        <v>0</v>
      </c>
      <c r="PKH77" s="223">
        <f xml:space="preserve"> InputsTS!PKH$184</f>
        <v>0</v>
      </c>
      <c r="PKI77" s="223">
        <f xml:space="preserve"> InputsTS!PKI$184</f>
        <v>0</v>
      </c>
      <c r="PKJ77" s="223">
        <f xml:space="preserve"> InputsTS!PKJ$184</f>
        <v>0</v>
      </c>
      <c r="PKK77" s="223">
        <f xml:space="preserve"> InputsTS!PKK$184</f>
        <v>0</v>
      </c>
      <c r="PKL77" s="223">
        <f xml:space="preserve"> InputsTS!PKL$184</f>
        <v>0</v>
      </c>
      <c r="PKM77" s="223">
        <f xml:space="preserve"> InputsTS!PKM$184</f>
        <v>0</v>
      </c>
      <c r="PKN77" s="223">
        <f xml:space="preserve"> InputsTS!PKN$184</f>
        <v>0</v>
      </c>
      <c r="PKO77" s="223">
        <f xml:space="preserve"> InputsTS!PKO$184</f>
        <v>0</v>
      </c>
      <c r="PKP77" s="223">
        <f xml:space="preserve"> InputsTS!PKP$184</f>
        <v>0</v>
      </c>
      <c r="PKQ77" s="223">
        <f xml:space="preserve"> InputsTS!PKQ$184</f>
        <v>0</v>
      </c>
      <c r="PKR77" s="223">
        <f xml:space="preserve"> InputsTS!PKR$184</f>
        <v>0</v>
      </c>
      <c r="PKS77" s="223">
        <f xml:space="preserve"> InputsTS!PKS$184</f>
        <v>0</v>
      </c>
      <c r="PKT77" s="223">
        <f xml:space="preserve"> InputsTS!PKT$184</f>
        <v>0</v>
      </c>
      <c r="PKU77" s="223">
        <f xml:space="preserve"> InputsTS!PKU$184</f>
        <v>0</v>
      </c>
      <c r="PKV77" s="223">
        <f xml:space="preserve"> InputsTS!PKV$184</f>
        <v>0</v>
      </c>
      <c r="PKW77" s="223">
        <f xml:space="preserve"> InputsTS!PKW$184</f>
        <v>0</v>
      </c>
      <c r="PKX77" s="223">
        <f xml:space="preserve"> InputsTS!PKX$184</f>
        <v>0</v>
      </c>
      <c r="PKY77" s="223">
        <f xml:space="preserve"> InputsTS!PKY$184</f>
        <v>0</v>
      </c>
      <c r="PKZ77" s="223">
        <f xml:space="preserve"> InputsTS!PKZ$184</f>
        <v>0</v>
      </c>
      <c r="PLA77" s="223">
        <f xml:space="preserve"> InputsTS!PLA$184</f>
        <v>0</v>
      </c>
      <c r="PLB77" s="223">
        <f xml:space="preserve"> InputsTS!PLB$184</f>
        <v>0</v>
      </c>
      <c r="PLC77" s="223">
        <f xml:space="preserve"> InputsTS!PLC$184</f>
        <v>0</v>
      </c>
      <c r="PLD77" s="223">
        <f xml:space="preserve"> InputsTS!PLD$184</f>
        <v>0</v>
      </c>
      <c r="PLE77" s="223">
        <f xml:space="preserve"> InputsTS!PLE$184</f>
        <v>0</v>
      </c>
      <c r="PLF77" s="223">
        <f xml:space="preserve"> InputsTS!PLF$184</f>
        <v>0</v>
      </c>
      <c r="PLG77" s="223">
        <f xml:space="preserve"> InputsTS!PLG$184</f>
        <v>0</v>
      </c>
      <c r="PLH77" s="223">
        <f xml:space="preserve"> InputsTS!PLH$184</f>
        <v>0</v>
      </c>
      <c r="PLI77" s="223">
        <f xml:space="preserve"> InputsTS!PLI$184</f>
        <v>0</v>
      </c>
      <c r="PLJ77" s="223">
        <f xml:space="preserve"> InputsTS!PLJ$184</f>
        <v>0</v>
      </c>
      <c r="PLK77" s="223">
        <f xml:space="preserve"> InputsTS!PLK$184</f>
        <v>0</v>
      </c>
      <c r="PLL77" s="223">
        <f xml:space="preserve"> InputsTS!PLL$184</f>
        <v>0</v>
      </c>
      <c r="PLM77" s="223">
        <f xml:space="preserve"> InputsTS!PLM$184</f>
        <v>0</v>
      </c>
      <c r="PLN77" s="223">
        <f xml:space="preserve"> InputsTS!PLN$184</f>
        <v>0</v>
      </c>
      <c r="PLO77" s="223">
        <f xml:space="preserve"> InputsTS!PLO$184</f>
        <v>0</v>
      </c>
      <c r="PLP77" s="223">
        <f xml:space="preserve"> InputsTS!PLP$184</f>
        <v>0</v>
      </c>
      <c r="PLQ77" s="223">
        <f xml:space="preserve"> InputsTS!PLQ$184</f>
        <v>0</v>
      </c>
      <c r="PLR77" s="223">
        <f xml:space="preserve"> InputsTS!PLR$184</f>
        <v>0</v>
      </c>
      <c r="PLS77" s="223">
        <f xml:space="preserve"> InputsTS!PLS$184</f>
        <v>0</v>
      </c>
      <c r="PLT77" s="223">
        <f xml:space="preserve"> InputsTS!PLT$184</f>
        <v>0</v>
      </c>
      <c r="PLU77" s="223">
        <f xml:space="preserve"> InputsTS!PLU$184</f>
        <v>0</v>
      </c>
      <c r="PLV77" s="223">
        <f xml:space="preserve"> InputsTS!PLV$184</f>
        <v>0</v>
      </c>
      <c r="PLW77" s="223">
        <f xml:space="preserve"> InputsTS!PLW$184</f>
        <v>0</v>
      </c>
      <c r="PLX77" s="223">
        <f xml:space="preserve"> InputsTS!PLX$184</f>
        <v>0</v>
      </c>
      <c r="PLY77" s="223">
        <f xml:space="preserve"> InputsTS!PLY$184</f>
        <v>0</v>
      </c>
      <c r="PLZ77" s="223">
        <f xml:space="preserve"> InputsTS!PLZ$184</f>
        <v>0</v>
      </c>
      <c r="PMA77" s="223">
        <f xml:space="preserve"> InputsTS!PMA$184</f>
        <v>0</v>
      </c>
      <c r="PMB77" s="223">
        <f xml:space="preserve"> InputsTS!PMB$184</f>
        <v>0</v>
      </c>
      <c r="PMC77" s="223">
        <f xml:space="preserve"> InputsTS!PMC$184</f>
        <v>0</v>
      </c>
      <c r="PMD77" s="223">
        <f xml:space="preserve"> InputsTS!PMD$184</f>
        <v>0</v>
      </c>
      <c r="PME77" s="223">
        <f xml:space="preserve"> InputsTS!PME$184</f>
        <v>0</v>
      </c>
      <c r="PMF77" s="223">
        <f xml:space="preserve"> InputsTS!PMF$184</f>
        <v>0</v>
      </c>
      <c r="PMG77" s="223">
        <f xml:space="preserve"> InputsTS!PMG$184</f>
        <v>0</v>
      </c>
      <c r="PMH77" s="223">
        <f xml:space="preserve"> InputsTS!PMH$184</f>
        <v>0</v>
      </c>
      <c r="PMI77" s="223">
        <f xml:space="preserve"> InputsTS!PMI$184</f>
        <v>0</v>
      </c>
      <c r="PMJ77" s="223">
        <f xml:space="preserve"> InputsTS!PMJ$184</f>
        <v>0</v>
      </c>
      <c r="PMK77" s="223">
        <f xml:space="preserve"> InputsTS!PMK$184</f>
        <v>0</v>
      </c>
      <c r="PML77" s="223">
        <f xml:space="preserve"> InputsTS!PML$184</f>
        <v>0</v>
      </c>
      <c r="PMM77" s="223">
        <f xml:space="preserve"> InputsTS!PMM$184</f>
        <v>0</v>
      </c>
      <c r="PMN77" s="223">
        <f xml:space="preserve"> InputsTS!PMN$184</f>
        <v>0</v>
      </c>
      <c r="PMO77" s="223">
        <f xml:space="preserve"> InputsTS!PMO$184</f>
        <v>0</v>
      </c>
      <c r="PMP77" s="223">
        <f xml:space="preserve"> InputsTS!PMP$184</f>
        <v>0</v>
      </c>
      <c r="PMQ77" s="223">
        <f xml:space="preserve"> InputsTS!PMQ$184</f>
        <v>0</v>
      </c>
      <c r="PMR77" s="223">
        <f xml:space="preserve"> InputsTS!PMR$184</f>
        <v>0</v>
      </c>
      <c r="PMS77" s="223">
        <f xml:space="preserve"> InputsTS!PMS$184</f>
        <v>0</v>
      </c>
      <c r="PMT77" s="223">
        <f xml:space="preserve"> InputsTS!PMT$184</f>
        <v>0</v>
      </c>
      <c r="PMU77" s="223">
        <f xml:space="preserve"> InputsTS!PMU$184</f>
        <v>0</v>
      </c>
      <c r="PMV77" s="223">
        <f xml:space="preserve"> InputsTS!PMV$184</f>
        <v>0</v>
      </c>
      <c r="PMW77" s="223">
        <f xml:space="preserve"> InputsTS!PMW$184</f>
        <v>0</v>
      </c>
      <c r="PMX77" s="223">
        <f xml:space="preserve"> InputsTS!PMX$184</f>
        <v>0</v>
      </c>
      <c r="PMY77" s="223">
        <f xml:space="preserve"> InputsTS!PMY$184</f>
        <v>0</v>
      </c>
      <c r="PMZ77" s="223">
        <f xml:space="preserve"> InputsTS!PMZ$184</f>
        <v>0</v>
      </c>
      <c r="PNA77" s="223">
        <f xml:space="preserve"> InputsTS!PNA$184</f>
        <v>0</v>
      </c>
      <c r="PNB77" s="223">
        <f xml:space="preserve"> InputsTS!PNB$184</f>
        <v>0</v>
      </c>
      <c r="PNC77" s="223">
        <f xml:space="preserve"> InputsTS!PNC$184</f>
        <v>0</v>
      </c>
      <c r="PND77" s="223">
        <f xml:space="preserve"> InputsTS!PND$184</f>
        <v>0</v>
      </c>
      <c r="PNE77" s="223">
        <f xml:space="preserve"> InputsTS!PNE$184</f>
        <v>0</v>
      </c>
      <c r="PNF77" s="223">
        <f xml:space="preserve"> InputsTS!PNF$184</f>
        <v>0</v>
      </c>
      <c r="PNG77" s="223">
        <f xml:space="preserve"> InputsTS!PNG$184</f>
        <v>0</v>
      </c>
      <c r="PNH77" s="223">
        <f xml:space="preserve"> InputsTS!PNH$184</f>
        <v>0</v>
      </c>
      <c r="PNI77" s="223">
        <f xml:space="preserve"> InputsTS!PNI$184</f>
        <v>0</v>
      </c>
      <c r="PNJ77" s="223">
        <f xml:space="preserve"> InputsTS!PNJ$184</f>
        <v>0</v>
      </c>
      <c r="PNK77" s="223">
        <f xml:space="preserve"> InputsTS!PNK$184</f>
        <v>0</v>
      </c>
      <c r="PNL77" s="223">
        <f xml:space="preserve"> InputsTS!PNL$184</f>
        <v>0</v>
      </c>
      <c r="PNM77" s="223">
        <f xml:space="preserve"> InputsTS!PNM$184</f>
        <v>0</v>
      </c>
      <c r="PNN77" s="223">
        <f xml:space="preserve"> InputsTS!PNN$184</f>
        <v>0</v>
      </c>
      <c r="PNO77" s="223">
        <f xml:space="preserve"> InputsTS!PNO$184</f>
        <v>0</v>
      </c>
      <c r="PNP77" s="223">
        <f xml:space="preserve"> InputsTS!PNP$184</f>
        <v>0</v>
      </c>
      <c r="PNQ77" s="223">
        <f xml:space="preserve"> InputsTS!PNQ$184</f>
        <v>0</v>
      </c>
      <c r="PNR77" s="223">
        <f xml:space="preserve"> InputsTS!PNR$184</f>
        <v>0</v>
      </c>
      <c r="PNS77" s="223">
        <f xml:space="preserve"> InputsTS!PNS$184</f>
        <v>0</v>
      </c>
      <c r="PNT77" s="223">
        <f xml:space="preserve"> InputsTS!PNT$184</f>
        <v>0</v>
      </c>
      <c r="PNU77" s="223">
        <f xml:space="preserve"> InputsTS!PNU$184</f>
        <v>0</v>
      </c>
      <c r="PNV77" s="223">
        <f xml:space="preserve"> InputsTS!PNV$184</f>
        <v>0</v>
      </c>
      <c r="PNW77" s="223">
        <f xml:space="preserve"> InputsTS!PNW$184</f>
        <v>0</v>
      </c>
      <c r="PNX77" s="223">
        <f xml:space="preserve"> InputsTS!PNX$184</f>
        <v>0</v>
      </c>
      <c r="PNY77" s="223">
        <f xml:space="preserve"> InputsTS!PNY$184</f>
        <v>0</v>
      </c>
      <c r="PNZ77" s="223">
        <f xml:space="preserve"> InputsTS!PNZ$184</f>
        <v>0</v>
      </c>
      <c r="POA77" s="223">
        <f xml:space="preserve"> InputsTS!POA$184</f>
        <v>0</v>
      </c>
      <c r="POB77" s="223">
        <f xml:space="preserve"> InputsTS!POB$184</f>
        <v>0</v>
      </c>
      <c r="POC77" s="223">
        <f xml:space="preserve"> InputsTS!POC$184</f>
        <v>0</v>
      </c>
      <c r="POD77" s="223">
        <f xml:space="preserve"> InputsTS!POD$184</f>
        <v>0</v>
      </c>
      <c r="POE77" s="223">
        <f xml:space="preserve"> InputsTS!POE$184</f>
        <v>0</v>
      </c>
      <c r="POF77" s="223">
        <f xml:space="preserve"> InputsTS!POF$184</f>
        <v>0</v>
      </c>
      <c r="POG77" s="223">
        <f xml:space="preserve"> InputsTS!POG$184</f>
        <v>0</v>
      </c>
      <c r="POH77" s="223">
        <f xml:space="preserve"> InputsTS!POH$184</f>
        <v>0</v>
      </c>
      <c r="POI77" s="223">
        <f xml:space="preserve"> InputsTS!POI$184</f>
        <v>0</v>
      </c>
      <c r="POJ77" s="223">
        <f xml:space="preserve"> InputsTS!POJ$184</f>
        <v>0</v>
      </c>
      <c r="POK77" s="223">
        <f xml:space="preserve"> InputsTS!POK$184</f>
        <v>0</v>
      </c>
      <c r="POL77" s="223">
        <f xml:space="preserve"> InputsTS!POL$184</f>
        <v>0</v>
      </c>
      <c r="POM77" s="223">
        <f xml:space="preserve"> InputsTS!POM$184</f>
        <v>0</v>
      </c>
      <c r="PON77" s="223">
        <f xml:space="preserve"> InputsTS!PON$184</f>
        <v>0</v>
      </c>
      <c r="POO77" s="223">
        <f xml:space="preserve"> InputsTS!POO$184</f>
        <v>0</v>
      </c>
      <c r="POP77" s="223">
        <f xml:space="preserve"> InputsTS!POP$184</f>
        <v>0</v>
      </c>
      <c r="POQ77" s="223">
        <f xml:space="preserve"> InputsTS!POQ$184</f>
        <v>0</v>
      </c>
      <c r="POR77" s="223">
        <f xml:space="preserve"> InputsTS!POR$184</f>
        <v>0</v>
      </c>
      <c r="POS77" s="223">
        <f xml:space="preserve"> InputsTS!POS$184</f>
        <v>0</v>
      </c>
      <c r="POT77" s="223">
        <f xml:space="preserve"> InputsTS!POT$184</f>
        <v>0</v>
      </c>
      <c r="POU77" s="223">
        <f xml:space="preserve"> InputsTS!POU$184</f>
        <v>0</v>
      </c>
      <c r="POV77" s="223">
        <f xml:space="preserve"> InputsTS!POV$184</f>
        <v>0</v>
      </c>
      <c r="POW77" s="223">
        <f xml:space="preserve"> InputsTS!POW$184</f>
        <v>0</v>
      </c>
      <c r="POX77" s="223">
        <f xml:space="preserve"> InputsTS!POX$184</f>
        <v>0</v>
      </c>
      <c r="POY77" s="223">
        <f xml:space="preserve"> InputsTS!POY$184</f>
        <v>0</v>
      </c>
      <c r="POZ77" s="223">
        <f xml:space="preserve"> InputsTS!POZ$184</f>
        <v>0</v>
      </c>
      <c r="PPA77" s="223">
        <f xml:space="preserve"> InputsTS!PPA$184</f>
        <v>0</v>
      </c>
      <c r="PPB77" s="223">
        <f xml:space="preserve"> InputsTS!PPB$184</f>
        <v>0</v>
      </c>
      <c r="PPC77" s="223">
        <f xml:space="preserve"> InputsTS!PPC$184</f>
        <v>0</v>
      </c>
      <c r="PPD77" s="223">
        <f xml:space="preserve"> InputsTS!PPD$184</f>
        <v>0</v>
      </c>
      <c r="PPE77" s="223">
        <f xml:space="preserve"> InputsTS!PPE$184</f>
        <v>0</v>
      </c>
      <c r="PPF77" s="223">
        <f xml:space="preserve"> InputsTS!PPF$184</f>
        <v>0</v>
      </c>
      <c r="PPG77" s="223">
        <f xml:space="preserve"> InputsTS!PPG$184</f>
        <v>0</v>
      </c>
      <c r="PPH77" s="223">
        <f xml:space="preserve"> InputsTS!PPH$184</f>
        <v>0</v>
      </c>
      <c r="PPI77" s="223">
        <f xml:space="preserve"> InputsTS!PPI$184</f>
        <v>0</v>
      </c>
      <c r="PPJ77" s="223">
        <f xml:space="preserve"> InputsTS!PPJ$184</f>
        <v>0</v>
      </c>
      <c r="PPK77" s="223">
        <f xml:space="preserve"> InputsTS!PPK$184</f>
        <v>0</v>
      </c>
      <c r="PPL77" s="223">
        <f xml:space="preserve"> InputsTS!PPL$184</f>
        <v>0</v>
      </c>
      <c r="PPM77" s="223">
        <f xml:space="preserve"> InputsTS!PPM$184</f>
        <v>0</v>
      </c>
      <c r="PPN77" s="223">
        <f xml:space="preserve"> InputsTS!PPN$184</f>
        <v>0</v>
      </c>
      <c r="PPO77" s="223">
        <f xml:space="preserve"> InputsTS!PPO$184</f>
        <v>0</v>
      </c>
      <c r="PPP77" s="223">
        <f xml:space="preserve"> InputsTS!PPP$184</f>
        <v>0</v>
      </c>
      <c r="PPQ77" s="223">
        <f xml:space="preserve"> InputsTS!PPQ$184</f>
        <v>0</v>
      </c>
      <c r="PPR77" s="223">
        <f xml:space="preserve"> InputsTS!PPR$184</f>
        <v>0</v>
      </c>
      <c r="PPS77" s="223">
        <f xml:space="preserve"> InputsTS!PPS$184</f>
        <v>0</v>
      </c>
      <c r="PPT77" s="223">
        <f xml:space="preserve"> InputsTS!PPT$184</f>
        <v>0</v>
      </c>
      <c r="PPU77" s="223">
        <f xml:space="preserve"> InputsTS!PPU$184</f>
        <v>0</v>
      </c>
      <c r="PPV77" s="223">
        <f xml:space="preserve"> InputsTS!PPV$184</f>
        <v>0</v>
      </c>
      <c r="PPW77" s="223">
        <f xml:space="preserve"> InputsTS!PPW$184</f>
        <v>0</v>
      </c>
      <c r="PPX77" s="223">
        <f xml:space="preserve"> InputsTS!PPX$184</f>
        <v>0</v>
      </c>
      <c r="PPY77" s="223">
        <f xml:space="preserve"> InputsTS!PPY$184</f>
        <v>0</v>
      </c>
      <c r="PPZ77" s="223">
        <f xml:space="preserve"> InputsTS!PPZ$184</f>
        <v>0</v>
      </c>
      <c r="PQA77" s="223">
        <f xml:space="preserve"> InputsTS!PQA$184</f>
        <v>0</v>
      </c>
      <c r="PQB77" s="223">
        <f xml:space="preserve"> InputsTS!PQB$184</f>
        <v>0</v>
      </c>
      <c r="PQC77" s="223">
        <f xml:space="preserve"> InputsTS!PQC$184</f>
        <v>0</v>
      </c>
      <c r="PQD77" s="223">
        <f xml:space="preserve"> InputsTS!PQD$184</f>
        <v>0</v>
      </c>
      <c r="PQE77" s="223">
        <f xml:space="preserve"> InputsTS!PQE$184</f>
        <v>0</v>
      </c>
      <c r="PQF77" s="223">
        <f xml:space="preserve"> InputsTS!PQF$184</f>
        <v>0</v>
      </c>
      <c r="PQG77" s="223">
        <f xml:space="preserve"> InputsTS!PQG$184</f>
        <v>0</v>
      </c>
      <c r="PQH77" s="223">
        <f xml:space="preserve"> InputsTS!PQH$184</f>
        <v>0</v>
      </c>
      <c r="PQI77" s="223">
        <f xml:space="preserve"> InputsTS!PQI$184</f>
        <v>0</v>
      </c>
      <c r="PQJ77" s="223">
        <f xml:space="preserve"> InputsTS!PQJ$184</f>
        <v>0</v>
      </c>
      <c r="PQK77" s="223">
        <f xml:space="preserve"> InputsTS!PQK$184</f>
        <v>0</v>
      </c>
      <c r="PQL77" s="223">
        <f xml:space="preserve"> InputsTS!PQL$184</f>
        <v>0</v>
      </c>
      <c r="PQM77" s="223">
        <f xml:space="preserve"> InputsTS!PQM$184</f>
        <v>0</v>
      </c>
      <c r="PQN77" s="223">
        <f xml:space="preserve"> InputsTS!PQN$184</f>
        <v>0</v>
      </c>
      <c r="PQO77" s="223">
        <f xml:space="preserve"> InputsTS!PQO$184</f>
        <v>0</v>
      </c>
      <c r="PQP77" s="223">
        <f xml:space="preserve"> InputsTS!PQP$184</f>
        <v>0</v>
      </c>
      <c r="PQQ77" s="223">
        <f xml:space="preserve"> InputsTS!PQQ$184</f>
        <v>0</v>
      </c>
      <c r="PQR77" s="223">
        <f xml:space="preserve"> InputsTS!PQR$184</f>
        <v>0</v>
      </c>
      <c r="PQS77" s="223">
        <f xml:space="preserve"> InputsTS!PQS$184</f>
        <v>0</v>
      </c>
      <c r="PQT77" s="223">
        <f xml:space="preserve"> InputsTS!PQT$184</f>
        <v>0</v>
      </c>
      <c r="PQU77" s="223">
        <f xml:space="preserve"> InputsTS!PQU$184</f>
        <v>0</v>
      </c>
      <c r="PQV77" s="223">
        <f xml:space="preserve"> InputsTS!PQV$184</f>
        <v>0</v>
      </c>
      <c r="PQW77" s="223">
        <f xml:space="preserve"> InputsTS!PQW$184</f>
        <v>0</v>
      </c>
      <c r="PQX77" s="223">
        <f xml:space="preserve"> InputsTS!PQX$184</f>
        <v>0</v>
      </c>
      <c r="PQY77" s="223">
        <f xml:space="preserve"> InputsTS!PQY$184</f>
        <v>0</v>
      </c>
      <c r="PQZ77" s="223">
        <f xml:space="preserve"> InputsTS!PQZ$184</f>
        <v>0</v>
      </c>
      <c r="PRA77" s="223">
        <f xml:space="preserve"> InputsTS!PRA$184</f>
        <v>0</v>
      </c>
      <c r="PRB77" s="223">
        <f xml:space="preserve"> InputsTS!PRB$184</f>
        <v>0</v>
      </c>
      <c r="PRC77" s="223">
        <f xml:space="preserve"> InputsTS!PRC$184</f>
        <v>0</v>
      </c>
      <c r="PRD77" s="223">
        <f xml:space="preserve"> InputsTS!PRD$184</f>
        <v>0</v>
      </c>
      <c r="PRE77" s="223">
        <f xml:space="preserve"> InputsTS!PRE$184</f>
        <v>0</v>
      </c>
      <c r="PRF77" s="223">
        <f xml:space="preserve"> InputsTS!PRF$184</f>
        <v>0</v>
      </c>
      <c r="PRG77" s="223">
        <f xml:space="preserve"> InputsTS!PRG$184</f>
        <v>0</v>
      </c>
      <c r="PRH77" s="223">
        <f xml:space="preserve"> InputsTS!PRH$184</f>
        <v>0</v>
      </c>
      <c r="PRI77" s="223">
        <f xml:space="preserve"> InputsTS!PRI$184</f>
        <v>0</v>
      </c>
      <c r="PRJ77" s="223">
        <f xml:space="preserve"> InputsTS!PRJ$184</f>
        <v>0</v>
      </c>
      <c r="PRK77" s="223">
        <f xml:space="preserve"> InputsTS!PRK$184</f>
        <v>0</v>
      </c>
      <c r="PRL77" s="223">
        <f xml:space="preserve"> InputsTS!PRL$184</f>
        <v>0</v>
      </c>
      <c r="PRM77" s="223">
        <f xml:space="preserve"> InputsTS!PRM$184</f>
        <v>0</v>
      </c>
      <c r="PRN77" s="223">
        <f xml:space="preserve"> InputsTS!PRN$184</f>
        <v>0</v>
      </c>
      <c r="PRO77" s="223">
        <f xml:space="preserve"> InputsTS!PRO$184</f>
        <v>0</v>
      </c>
      <c r="PRP77" s="223">
        <f xml:space="preserve"> InputsTS!PRP$184</f>
        <v>0</v>
      </c>
      <c r="PRQ77" s="223">
        <f xml:space="preserve"> InputsTS!PRQ$184</f>
        <v>0</v>
      </c>
      <c r="PRR77" s="223">
        <f xml:space="preserve"> InputsTS!PRR$184</f>
        <v>0</v>
      </c>
      <c r="PRS77" s="223">
        <f xml:space="preserve"> InputsTS!PRS$184</f>
        <v>0</v>
      </c>
      <c r="PRT77" s="223">
        <f xml:space="preserve"> InputsTS!PRT$184</f>
        <v>0</v>
      </c>
      <c r="PRU77" s="223">
        <f xml:space="preserve"> InputsTS!PRU$184</f>
        <v>0</v>
      </c>
      <c r="PRV77" s="223">
        <f xml:space="preserve"> InputsTS!PRV$184</f>
        <v>0</v>
      </c>
      <c r="PRW77" s="223">
        <f xml:space="preserve"> InputsTS!PRW$184</f>
        <v>0</v>
      </c>
      <c r="PRX77" s="223">
        <f xml:space="preserve"> InputsTS!PRX$184</f>
        <v>0</v>
      </c>
      <c r="PRY77" s="223">
        <f xml:space="preserve"> InputsTS!PRY$184</f>
        <v>0</v>
      </c>
      <c r="PRZ77" s="223">
        <f xml:space="preserve"> InputsTS!PRZ$184</f>
        <v>0</v>
      </c>
      <c r="PSA77" s="223">
        <f xml:space="preserve"> InputsTS!PSA$184</f>
        <v>0</v>
      </c>
      <c r="PSB77" s="223">
        <f xml:space="preserve"> InputsTS!PSB$184</f>
        <v>0</v>
      </c>
      <c r="PSC77" s="223">
        <f xml:space="preserve"> InputsTS!PSC$184</f>
        <v>0</v>
      </c>
      <c r="PSD77" s="223">
        <f xml:space="preserve"> InputsTS!PSD$184</f>
        <v>0</v>
      </c>
      <c r="PSE77" s="223">
        <f xml:space="preserve"> InputsTS!PSE$184</f>
        <v>0</v>
      </c>
      <c r="PSF77" s="223">
        <f xml:space="preserve"> InputsTS!PSF$184</f>
        <v>0</v>
      </c>
      <c r="PSG77" s="223">
        <f xml:space="preserve"> InputsTS!PSG$184</f>
        <v>0</v>
      </c>
      <c r="PSH77" s="223">
        <f xml:space="preserve"> InputsTS!PSH$184</f>
        <v>0</v>
      </c>
      <c r="PSI77" s="223">
        <f xml:space="preserve"> InputsTS!PSI$184</f>
        <v>0</v>
      </c>
      <c r="PSJ77" s="223">
        <f xml:space="preserve"> InputsTS!PSJ$184</f>
        <v>0</v>
      </c>
      <c r="PSK77" s="223">
        <f xml:space="preserve"> InputsTS!PSK$184</f>
        <v>0</v>
      </c>
      <c r="PSL77" s="223">
        <f xml:space="preserve"> InputsTS!PSL$184</f>
        <v>0</v>
      </c>
      <c r="PSM77" s="223">
        <f xml:space="preserve"> InputsTS!PSM$184</f>
        <v>0</v>
      </c>
      <c r="PSN77" s="223">
        <f xml:space="preserve"> InputsTS!PSN$184</f>
        <v>0</v>
      </c>
      <c r="PSO77" s="223">
        <f xml:space="preserve"> InputsTS!PSO$184</f>
        <v>0</v>
      </c>
      <c r="PSP77" s="223">
        <f xml:space="preserve"> InputsTS!PSP$184</f>
        <v>0</v>
      </c>
      <c r="PSQ77" s="223">
        <f xml:space="preserve"> InputsTS!PSQ$184</f>
        <v>0</v>
      </c>
      <c r="PSR77" s="223">
        <f xml:space="preserve"> InputsTS!PSR$184</f>
        <v>0</v>
      </c>
      <c r="PSS77" s="223">
        <f xml:space="preserve"> InputsTS!PSS$184</f>
        <v>0</v>
      </c>
      <c r="PST77" s="223">
        <f xml:space="preserve"> InputsTS!PST$184</f>
        <v>0</v>
      </c>
      <c r="PSU77" s="223">
        <f xml:space="preserve"> InputsTS!PSU$184</f>
        <v>0</v>
      </c>
      <c r="PSV77" s="223">
        <f xml:space="preserve"> InputsTS!PSV$184</f>
        <v>0</v>
      </c>
      <c r="PSW77" s="223">
        <f xml:space="preserve"> InputsTS!PSW$184</f>
        <v>0</v>
      </c>
      <c r="PSX77" s="223">
        <f xml:space="preserve"> InputsTS!PSX$184</f>
        <v>0</v>
      </c>
      <c r="PSY77" s="223">
        <f xml:space="preserve"> InputsTS!PSY$184</f>
        <v>0</v>
      </c>
      <c r="PSZ77" s="223">
        <f xml:space="preserve"> InputsTS!PSZ$184</f>
        <v>0</v>
      </c>
      <c r="PTA77" s="223">
        <f xml:space="preserve"> InputsTS!PTA$184</f>
        <v>0</v>
      </c>
      <c r="PTB77" s="223">
        <f xml:space="preserve"> InputsTS!PTB$184</f>
        <v>0</v>
      </c>
      <c r="PTC77" s="223">
        <f xml:space="preserve"> InputsTS!PTC$184</f>
        <v>0</v>
      </c>
      <c r="PTD77" s="223">
        <f xml:space="preserve"> InputsTS!PTD$184</f>
        <v>0</v>
      </c>
      <c r="PTE77" s="223">
        <f xml:space="preserve"> InputsTS!PTE$184</f>
        <v>0</v>
      </c>
      <c r="PTF77" s="223">
        <f xml:space="preserve"> InputsTS!PTF$184</f>
        <v>0</v>
      </c>
      <c r="PTG77" s="223">
        <f xml:space="preserve"> InputsTS!PTG$184</f>
        <v>0</v>
      </c>
      <c r="PTH77" s="223">
        <f xml:space="preserve"> InputsTS!PTH$184</f>
        <v>0</v>
      </c>
      <c r="PTI77" s="223">
        <f xml:space="preserve"> InputsTS!PTI$184</f>
        <v>0</v>
      </c>
      <c r="PTJ77" s="223">
        <f xml:space="preserve"> InputsTS!PTJ$184</f>
        <v>0</v>
      </c>
      <c r="PTK77" s="223">
        <f xml:space="preserve"> InputsTS!PTK$184</f>
        <v>0</v>
      </c>
      <c r="PTL77" s="223">
        <f xml:space="preserve"> InputsTS!PTL$184</f>
        <v>0</v>
      </c>
      <c r="PTM77" s="223">
        <f xml:space="preserve"> InputsTS!PTM$184</f>
        <v>0</v>
      </c>
      <c r="PTN77" s="223">
        <f xml:space="preserve"> InputsTS!PTN$184</f>
        <v>0</v>
      </c>
      <c r="PTO77" s="223">
        <f xml:space="preserve"> InputsTS!PTO$184</f>
        <v>0</v>
      </c>
      <c r="PTP77" s="223">
        <f xml:space="preserve"> InputsTS!PTP$184</f>
        <v>0</v>
      </c>
      <c r="PTQ77" s="223">
        <f xml:space="preserve"> InputsTS!PTQ$184</f>
        <v>0</v>
      </c>
      <c r="PTR77" s="223">
        <f xml:space="preserve"> InputsTS!PTR$184</f>
        <v>0</v>
      </c>
      <c r="PTS77" s="223">
        <f xml:space="preserve"> InputsTS!PTS$184</f>
        <v>0</v>
      </c>
      <c r="PTT77" s="223">
        <f xml:space="preserve"> InputsTS!PTT$184</f>
        <v>0</v>
      </c>
      <c r="PTU77" s="223">
        <f xml:space="preserve"> InputsTS!PTU$184</f>
        <v>0</v>
      </c>
      <c r="PTV77" s="223">
        <f xml:space="preserve"> InputsTS!PTV$184</f>
        <v>0</v>
      </c>
      <c r="PTW77" s="223">
        <f xml:space="preserve"> InputsTS!PTW$184</f>
        <v>0</v>
      </c>
      <c r="PTX77" s="223">
        <f xml:space="preserve"> InputsTS!PTX$184</f>
        <v>0</v>
      </c>
      <c r="PTY77" s="223">
        <f xml:space="preserve"> InputsTS!PTY$184</f>
        <v>0</v>
      </c>
      <c r="PTZ77" s="223">
        <f xml:space="preserve"> InputsTS!PTZ$184</f>
        <v>0</v>
      </c>
      <c r="PUA77" s="223">
        <f xml:space="preserve"> InputsTS!PUA$184</f>
        <v>0</v>
      </c>
      <c r="PUB77" s="223">
        <f xml:space="preserve"> InputsTS!PUB$184</f>
        <v>0</v>
      </c>
      <c r="PUC77" s="223">
        <f xml:space="preserve"> InputsTS!PUC$184</f>
        <v>0</v>
      </c>
      <c r="PUD77" s="223">
        <f xml:space="preserve"> InputsTS!PUD$184</f>
        <v>0</v>
      </c>
      <c r="PUE77" s="223">
        <f xml:space="preserve"> InputsTS!PUE$184</f>
        <v>0</v>
      </c>
      <c r="PUF77" s="223">
        <f xml:space="preserve"> InputsTS!PUF$184</f>
        <v>0</v>
      </c>
      <c r="PUG77" s="223">
        <f xml:space="preserve"> InputsTS!PUG$184</f>
        <v>0</v>
      </c>
      <c r="PUH77" s="223">
        <f xml:space="preserve"> InputsTS!PUH$184</f>
        <v>0</v>
      </c>
      <c r="PUI77" s="223">
        <f xml:space="preserve"> InputsTS!PUI$184</f>
        <v>0</v>
      </c>
      <c r="PUJ77" s="223">
        <f xml:space="preserve"> InputsTS!PUJ$184</f>
        <v>0</v>
      </c>
      <c r="PUK77" s="223">
        <f xml:space="preserve"> InputsTS!PUK$184</f>
        <v>0</v>
      </c>
      <c r="PUL77" s="223">
        <f xml:space="preserve"> InputsTS!PUL$184</f>
        <v>0</v>
      </c>
      <c r="PUM77" s="223">
        <f xml:space="preserve"> InputsTS!PUM$184</f>
        <v>0</v>
      </c>
      <c r="PUN77" s="223">
        <f xml:space="preserve"> InputsTS!PUN$184</f>
        <v>0</v>
      </c>
      <c r="PUO77" s="223">
        <f xml:space="preserve"> InputsTS!PUO$184</f>
        <v>0</v>
      </c>
      <c r="PUP77" s="223">
        <f xml:space="preserve"> InputsTS!PUP$184</f>
        <v>0</v>
      </c>
      <c r="PUQ77" s="223">
        <f xml:space="preserve"> InputsTS!PUQ$184</f>
        <v>0</v>
      </c>
      <c r="PUR77" s="223">
        <f xml:space="preserve"> InputsTS!PUR$184</f>
        <v>0</v>
      </c>
      <c r="PUS77" s="223">
        <f xml:space="preserve"> InputsTS!PUS$184</f>
        <v>0</v>
      </c>
      <c r="PUT77" s="223">
        <f xml:space="preserve"> InputsTS!PUT$184</f>
        <v>0</v>
      </c>
      <c r="PUU77" s="223">
        <f xml:space="preserve"> InputsTS!PUU$184</f>
        <v>0</v>
      </c>
      <c r="PUV77" s="223">
        <f xml:space="preserve"> InputsTS!PUV$184</f>
        <v>0</v>
      </c>
      <c r="PUW77" s="223">
        <f xml:space="preserve"> InputsTS!PUW$184</f>
        <v>0</v>
      </c>
      <c r="PUX77" s="223">
        <f xml:space="preserve"> InputsTS!PUX$184</f>
        <v>0</v>
      </c>
      <c r="PUY77" s="223">
        <f xml:space="preserve"> InputsTS!PUY$184</f>
        <v>0</v>
      </c>
      <c r="PUZ77" s="223">
        <f xml:space="preserve"> InputsTS!PUZ$184</f>
        <v>0</v>
      </c>
      <c r="PVA77" s="223">
        <f xml:space="preserve"> InputsTS!PVA$184</f>
        <v>0</v>
      </c>
      <c r="PVB77" s="223">
        <f xml:space="preserve"> InputsTS!PVB$184</f>
        <v>0</v>
      </c>
      <c r="PVC77" s="223">
        <f xml:space="preserve"> InputsTS!PVC$184</f>
        <v>0</v>
      </c>
      <c r="PVD77" s="223">
        <f xml:space="preserve"> InputsTS!PVD$184</f>
        <v>0</v>
      </c>
      <c r="PVE77" s="223">
        <f xml:space="preserve"> InputsTS!PVE$184</f>
        <v>0</v>
      </c>
      <c r="PVF77" s="223">
        <f xml:space="preserve"> InputsTS!PVF$184</f>
        <v>0</v>
      </c>
      <c r="PVG77" s="223">
        <f xml:space="preserve"> InputsTS!PVG$184</f>
        <v>0</v>
      </c>
      <c r="PVH77" s="223">
        <f xml:space="preserve"> InputsTS!PVH$184</f>
        <v>0</v>
      </c>
      <c r="PVI77" s="223">
        <f xml:space="preserve"> InputsTS!PVI$184</f>
        <v>0</v>
      </c>
      <c r="PVJ77" s="223">
        <f xml:space="preserve"> InputsTS!PVJ$184</f>
        <v>0</v>
      </c>
      <c r="PVK77" s="223">
        <f xml:space="preserve"> InputsTS!PVK$184</f>
        <v>0</v>
      </c>
      <c r="PVL77" s="223">
        <f xml:space="preserve"> InputsTS!PVL$184</f>
        <v>0</v>
      </c>
      <c r="PVM77" s="223">
        <f xml:space="preserve"> InputsTS!PVM$184</f>
        <v>0</v>
      </c>
      <c r="PVN77" s="223">
        <f xml:space="preserve"> InputsTS!PVN$184</f>
        <v>0</v>
      </c>
      <c r="PVO77" s="223">
        <f xml:space="preserve"> InputsTS!PVO$184</f>
        <v>0</v>
      </c>
      <c r="PVP77" s="223">
        <f xml:space="preserve"> InputsTS!PVP$184</f>
        <v>0</v>
      </c>
      <c r="PVQ77" s="223">
        <f xml:space="preserve"> InputsTS!PVQ$184</f>
        <v>0</v>
      </c>
      <c r="PVR77" s="223">
        <f xml:space="preserve"> InputsTS!PVR$184</f>
        <v>0</v>
      </c>
      <c r="PVS77" s="223">
        <f xml:space="preserve"> InputsTS!PVS$184</f>
        <v>0</v>
      </c>
      <c r="PVT77" s="223">
        <f xml:space="preserve"> InputsTS!PVT$184</f>
        <v>0</v>
      </c>
      <c r="PVU77" s="223">
        <f xml:space="preserve"> InputsTS!PVU$184</f>
        <v>0</v>
      </c>
      <c r="PVV77" s="223">
        <f xml:space="preserve"> InputsTS!PVV$184</f>
        <v>0</v>
      </c>
      <c r="PVW77" s="223">
        <f xml:space="preserve"> InputsTS!PVW$184</f>
        <v>0</v>
      </c>
      <c r="PVX77" s="223">
        <f xml:space="preserve"> InputsTS!PVX$184</f>
        <v>0</v>
      </c>
      <c r="PVY77" s="223">
        <f xml:space="preserve"> InputsTS!PVY$184</f>
        <v>0</v>
      </c>
      <c r="PVZ77" s="223">
        <f xml:space="preserve"> InputsTS!PVZ$184</f>
        <v>0</v>
      </c>
      <c r="PWA77" s="223">
        <f xml:space="preserve"> InputsTS!PWA$184</f>
        <v>0</v>
      </c>
      <c r="PWB77" s="223">
        <f xml:space="preserve"> InputsTS!PWB$184</f>
        <v>0</v>
      </c>
      <c r="PWC77" s="223">
        <f xml:space="preserve"> InputsTS!PWC$184</f>
        <v>0</v>
      </c>
      <c r="PWD77" s="223">
        <f xml:space="preserve"> InputsTS!PWD$184</f>
        <v>0</v>
      </c>
      <c r="PWE77" s="223">
        <f xml:space="preserve"> InputsTS!PWE$184</f>
        <v>0</v>
      </c>
      <c r="PWF77" s="223">
        <f xml:space="preserve"> InputsTS!PWF$184</f>
        <v>0</v>
      </c>
      <c r="PWG77" s="223">
        <f xml:space="preserve"> InputsTS!PWG$184</f>
        <v>0</v>
      </c>
      <c r="PWH77" s="223">
        <f xml:space="preserve"> InputsTS!PWH$184</f>
        <v>0</v>
      </c>
      <c r="PWI77" s="223">
        <f xml:space="preserve"> InputsTS!PWI$184</f>
        <v>0</v>
      </c>
      <c r="PWJ77" s="223">
        <f xml:space="preserve"> InputsTS!PWJ$184</f>
        <v>0</v>
      </c>
      <c r="PWK77" s="223">
        <f xml:space="preserve"> InputsTS!PWK$184</f>
        <v>0</v>
      </c>
      <c r="PWL77" s="223">
        <f xml:space="preserve"> InputsTS!PWL$184</f>
        <v>0</v>
      </c>
      <c r="PWM77" s="223">
        <f xml:space="preserve"> InputsTS!PWM$184</f>
        <v>0</v>
      </c>
      <c r="PWN77" s="223">
        <f xml:space="preserve"> InputsTS!PWN$184</f>
        <v>0</v>
      </c>
      <c r="PWO77" s="223">
        <f xml:space="preserve"> InputsTS!PWO$184</f>
        <v>0</v>
      </c>
      <c r="PWP77" s="223">
        <f xml:space="preserve"> InputsTS!PWP$184</f>
        <v>0</v>
      </c>
      <c r="PWQ77" s="223">
        <f xml:space="preserve"> InputsTS!PWQ$184</f>
        <v>0</v>
      </c>
      <c r="PWR77" s="223">
        <f xml:space="preserve"> InputsTS!PWR$184</f>
        <v>0</v>
      </c>
      <c r="PWS77" s="223">
        <f xml:space="preserve"> InputsTS!PWS$184</f>
        <v>0</v>
      </c>
      <c r="PWT77" s="223">
        <f xml:space="preserve"> InputsTS!PWT$184</f>
        <v>0</v>
      </c>
      <c r="PWU77" s="223">
        <f xml:space="preserve"> InputsTS!PWU$184</f>
        <v>0</v>
      </c>
      <c r="PWV77" s="223">
        <f xml:space="preserve"> InputsTS!PWV$184</f>
        <v>0</v>
      </c>
      <c r="PWW77" s="223">
        <f xml:space="preserve"> InputsTS!PWW$184</f>
        <v>0</v>
      </c>
      <c r="PWX77" s="223">
        <f xml:space="preserve"> InputsTS!PWX$184</f>
        <v>0</v>
      </c>
      <c r="PWY77" s="223">
        <f xml:space="preserve"> InputsTS!PWY$184</f>
        <v>0</v>
      </c>
      <c r="PWZ77" s="223">
        <f xml:space="preserve"> InputsTS!PWZ$184</f>
        <v>0</v>
      </c>
      <c r="PXA77" s="223">
        <f xml:space="preserve"> InputsTS!PXA$184</f>
        <v>0</v>
      </c>
      <c r="PXB77" s="223">
        <f xml:space="preserve"> InputsTS!PXB$184</f>
        <v>0</v>
      </c>
      <c r="PXC77" s="223">
        <f xml:space="preserve"> InputsTS!PXC$184</f>
        <v>0</v>
      </c>
      <c r="PXD77" s="223">
        <f xml:space="preserve"> InputsTS!PXD$184</f>
        <v>0</v>
      </c>
      <c r="PXE77" s="223">
        <f xml:space="preserve"> InputsTS!PXE$184</f>
        <v>0</v>
      </c>
      <c r="PXF77" s="223">
        <f xml:space="preserve"> InputsTS!PXF$184</f>
        <v>0</v>
      </c>
      <c r="PXG77" s="223">
        <f xml:space="preserve"> InputsTS!PXG$184</f>
        <v>0</v>
      </c>
      <c r="PXH77" s="223">
        <f xml:space="preserve"> InputsTS!PXH$184</f>
        <v>0</v>
      </c>
      <c r="PXI77" s="223">
        <f xml:space="preserve"> InputsTS!PXI$184</f>
        <v>0</v>
      </c>
      <c r="PXJ77" s="223">
        <f xml:space="preserve"> InputsTS!PXJ$184</f>
        <v>0</v>
      </c>
      <c r="PXK77" s="223">
        <f xml:space="preserve"> InputsTS!PXK$184</f>
        <v>0</v>
      </c>
      <c r="PXL77" s="223">
        <f xml:space="preserve"> InputsTS!PXL$184</f>
        <v>0</v>
      </c>
      <c r="PXM77" s="223">
        <f xml:space="preserve"> InputsTS!PXM$184</f>
        <v>0</v>
      </c>
      <c r="PXN77" s="223">
        <f xml:space="preserve"> InputsTS!PXN$184</f>
        <v>0</v>
      </c>
      <c r="PXO77" s="223">
        <f xml:space="preserve"> InputsTS!PXO$184</f>
        <v>0</v>
      </c>
      <c r="PXP77" s="223">
        <f xml:space="preserve"> InputsTS!PXP$184</f>
        <v>0</v>
      </c>
      <c r="PXQ77" s="223">
        <f xml:space="preserve"> InputsTS!PXQ$184</f>
        <v>0</v>
      </c>
      <c r="PXR77" s="223">
        <f xml:space="preserve"> InputsTS!PXR$184</f>
        <v>0</v>
      </c>
      <c r="PXS77" s="223">
        <f xml:space="preserve"> InputsTS!PXS$184</f>
        <v>0</v>
      </c>
      <c r="PXT77" s="223">
        <f xml:space="preserve"> InputsTS!PXT$184</f>
        <v>0</v>
      </c>
      <c r="PXU77" s="223">
        <f xml:space="preserve"> InputsTS!PXU$184</f>
        <v>0</v>
      </c>
      <c r="PXV77" s="223">
        <f xml:space="preserve"> InputsTS!PXV$184</f>
        <v>0</v>
      </c>
      <c r="PXW77" s="223">
        <f xml:space="preserve"> InputsTS!PXW$184</f>
        <v>0</v>
      </c>
      <c r="PXX77" s="223">
        <f xml:space="preserve"> InputsTS!PXX$184</f>
        <v>0</v>
      </c>
      <c r="PXY77" s="223">
        <f xml:space="preserve"> InputsTS!PXY$184</f>
        <v>0</v>
      </c>
      <c r="PXZ77" s="223">
        <f xml:space="preserve"> InputsTS!PXZ$184</f>
        <v>0</v>
      </c>
      <c r="PYA77" s="223">
        <f xml:space="preserve"> InputsTS!PYA$184</f>
        <v>0</v>
      </c>
      <c r="PYB77" s="223">
        <f xml:space="preserve"> InputsTS!PYB$184</f>
        <v>0</v>
      </c>
      <c r="PYC77" s="223">
        <f xml:space="preserve"> InputsTS!PYC$184</f>
        <v>0</v>
      </c>
      <c r="PYD77" s="223">
        <f xml:space="preserve"> InputsTS!PYD$184</f>
        <v>0</v>
      </c>
      <c r="PYE77" s="223">
        <f xml:space="preserve"> InputsTS!PYE$184</f>
        <v>0</v>
      </c>
      <c r="PYF77" s="223">
        <f xml:space="preserve"> InputsTS!PYF$184</f>
        <v>0</v>
      </c>
      <c r="PYG77" s="223">
        <f xml:space="preserve"> InputsTS!PYG$184</f>
        <v>0</v>
      </c>
      <c r="PYH77" s="223">
        <f xml:space="preserve"> InputsTS!PYH$184</f>
        <v>0</v>
      </c>
      <c r="PYI77" s="223">
        <f xml:space="preserve"> InputsTS!PYI$184</f>
        <v>0</v>
      </c>
      <c r="PYJ77" s="223">
        <f xml:space="preserve"> InputsTS!PYJ$184</f>
        <v>0</v>
      </c>
      <c r="PYK77" s="223">
        <f xml:space="preserve"> InputsTS!PYK$184</f>
        <v>0</v>
      </c>
      <c r="PYL77" s="223">
        <f xml:space="preserve"> InputsTS!PYL$184</f>
        <v>0</v>
      </c>
      <c r="PYM77" s="223">
        <f xml:space="preserve"> InputsTS!PYM$184</f>
        <v>0</v>
      </c>
      <c r="PYN77" s="223">
        <f xml:space="preserve"> InputsTS!PYN$184</f>
        <v>0</v>
      </c>
      <c r="PYO77" s="223">
        <f xml:space="preserve"> InputsTS!PYO$184</f>
        <v>0</v>
      </c>
      <c r="PYP77" s="223">
        <f xml:space="preserve"> InputsTS!PYP$184</f>
        <v>0</v>
      </c>
      <c r="PYQ77" s="223">
        <f xml:space="preserve"> InputsTS!PYQ$184</f>
        <v>0</v>
      </c>
      <c r="PYR77" s="223">
        <f xml:space="preserve"> InputsTS!PYR$184</f>
        <v>0</v>
      </c>
      <c r="PYS77" s="223">
        <f xml:space="preserve"> InputsTS!PYS$184</f>
        <v>0</v>
      </c>
      <c r="PYT77" s="223">
        <f xml:space="preserve"> InputsTS!PYT$184</f>
        <v>0</v>
      </c>
      <c r="PYU77" s="223">
        <f xml:space="preserve"> InputsTS!PYU$184</f>
        <v>0</v>
      </c>
      <c r="PYV77" s="223">
        <f xml:space="preserve"> InputsTS!PYV$184</f>
        <v>0</v>
      </c>
      <c r="PYW77" s="223">
        <f xml:space="preserve"> InputsTS!PYW$184</f>
        <v>0</v>
      </c>
      <c r="PYX77" s="223">
        <f xml:space="preserve"> InputsTS!PYX$184</f>
        <v>0</v>
      </c>
      <c r="PYY77" s="223">
        <f xml:space="preserve"> InputsTS!PYY$184</f>
        <v>0</v>
      </c>
      <c r="PYZ77" s="223">
        <f xml:space="preserve"> InputsTS!PYZ$184</f>
        <v>0</v>
      </c>
      <c r="PZA77" s="223">
        <f xml:space="preserve"> InputsTS!PZA$184</f>
        <v>0</v>
      </c>
      <c r="PZB77" s="223">
        <f xml:space="preserve"> InputsTS!PZB$184</f>
        <v>0</v>
      </c>
      <c r="PZC77" s="223">
        <f xml:space="preserve"> InputsTS!PZC$184</f>
        <v>0</v>
      </c>
      <c r="PZD77" s="223">
        <f xml:space="preserve"> InputsTS!PZD$184</f>
        <v>0</v>
      </c>
      <c r="PZE77" s="223">
        <f xml:space="preserve"> InputsTS!PZE$184</f>
        <v>0</v>
      </c>
      <c r="PZF77" s="223">
        <f xml:space="preserve"> InputsTS!PZF$184</f>
        <v>0</v>
      </c>
      <c r="PZG77" s="223">
        <f xml:space="preserve"> InputsTS!PZG$184</f>
        <v>0</v>
      </c>
      <c r="PZH77" s="223">
        <f xml:space="preserve"> InputsTS!PZH$184</f>
        <v>0</v>
      </c>
      <c r="PZI77" s="223">
        <f xml:space="preserve"> InputsTS!PZI$184</f>
        <v>0</v>
      </c>
      <c r="PZJ77" s="223">
        <f xml:space="preserve"> InputsTS!PZJ$184</f>
        <v>0</v>
      </c>
      <c r="PZK77" s="223">
        <f xml:space="preserve"> InputsTS!PZK$184</f>
        <v>0</v>
      </c>
      <c r="PZL77" s="223">
        <f xml:space="preserve"> InputsTS!PZL$184</f>
        <v>0</v>
      </c>
      <c r="PZM77" s="223">
        <f xml:space="preserve"> InputsTS!PZM$184</f>
        <v>0</v>
      </c>
      <c r="PZN77" s="223">
        <f xml:space="preserve"> InputsTS!PZN$184</f>
        <v>0</v>
      </c>
      <c r="PZO77" s="223">
        <f xml:space="preserve"> InputsTS!PZO$184</f>
        <v>0</v>
      </c>
      <c r="PZP77" s="223">
        <f xml:space="preserve"> InputsTS!PZP$184</f>
        <v>0</v>
      </c>
      <c r="PZQ77" s="223">
        <f xml:space="preserve"> InputsTS!PZQ$184</f>
        <v>0</v>
      </c>
      <c r="PZR77" s="223">
        <f xml:space="preserve"> InputsTS!PZR$184</f>
        <v>0</v>
      </c>
      <c r="PZS77" s="223">
        <f xml:space="preserve"> InputsTS!PZS$184</f>
        <v>0</v>
      </c>
      <c r="PZT77" s="223">
        <f xml:space="preserve"> InputsTS!PZT$184</f>
        <v>0</v>
      </c>
      <c r="PZU77" s="223">
        <f xml:space="preserve"> InputsTS!PZU$184</f>
        <v>0</v>
      </c>
      <c r="PZV77" s="223">
        <f xml:space="preserve"> InputsTS!PZV$184</f>
        <v>0</v>
      </c>
      <c r="PZW77" s="223">
        <f xml:space="preserve"> InputsTS!PZW$184</f>
        <v>0</v>
      </c>
      <c r="PZX77" s="223">
        <f xml:space="preserve"> InputsTS!PZX$184</f>
        <v>0</v>
      </c>
      <c r="PZY77" s="223">
        <f xml:space="preserve"> InputsTS!PZY$184</f>
        <v>0</v>
      </c>
      <c r="PZZ77" s="223">
        <f xml:space="preserve"> InputsTS!PZZ$184</f>
        <v>0</v>
      </c>
      <c r="QAA77" s="223">
        <f xml:space="preserve"> InputsTS!QAA$184</f>
        <v>0</v>
      </c>
      <c r="QAB77" s="223">
        <f xml:space="preserve"> InputsTS!QAB$184</f>
        <v>0</v>
      </c>
      <c r="QAC77" s="223">
        <f xml:space="preserve"> InputsTS!QAC$184</f>
        <v>0</v>
      </c>
      <c r="QAD77" s="223">
        <f xml:space="preserve"> InputsTS!QAD$184</f>
        <v>0</v>
      </c>
      <c r="QAE77" s="223">
        <f xml:space="preserve"> InputsTS!QAE$184</f>
        <v>0</v>
      </c>
      <c r="QAF77" s="223">
        <f xml:space="preserve"> InputsTS!QAF$184</f>
        <v>0</v>
      </c>
      <c r="QAG77" s="223">
        <f xml:space="preserve"> InputsTS!QAG$184</f>
        <v>0</v>
      </c>
      <c r="QAH77" s="223">
        <f xml:space="preserve"> InputsTS!QAH$184</f>
        <v>0</v>
      </c>
      <c r="QAI77" s="223">
        <f xml:space="preserve"> InputsTS!QAI$184</f>
        <v>0</v>
      </c>
      <c r="QAJ77" s="223">
        <f xml:space="preserve"> InputsTS!QAJ$184</f>
        <v>0</v>
      </c>
      <c r="QAK77" s="223">
        <f xml:space="preserve"> InputsTS!QAK$184</f>
        <v>0</v>
      </c>
      <c r="QAL77" s="223">
        <f xml:space="preserve"> InputsTS!QAL$184</f>
        <v>0</v>
      </c>
      <c r="QAM77" s="223">
        <f xml:space="preserve"> InputsTS!QAM$184</f>
        <v>0</v>
      </c>
      <c r="QAN77" s="223">
        <f xml:space="preserve"> InputsTS!QAN$184</f>
        <v>0</v>
      </c>
      <c r="QAO77" s="223">
        <f xml:space="preserve"> InputsTS!QAO$184</f>
        <v>0</v>
      </c>
      <c r="QAP77" s="223">
        <f xml:space="preserve"> InputsTS!QAP$184</f>
        <v>0</v>
      </c>
      <c r="QAQ77" s="223">
        <f xml:space="preserve"> InputsTS!QAQ$184</f>
        <v>0</v>
      </c>
      <c r="QAR77" s="223">
        <f xml:space="preserve"> InputsTS!QAR$184</f>
        <v>0</v>
      </c>
      <c r="QAS77" s="223">
        <f xml:space="preserve"> InputsTS!QAS$184</f>
        <v>0</v>
      </c>
      <c r="QAT77" s="223">
        <f xml:space="preserve"> InputsTS!QAT$184</f>
        <v>0</v>
      </c>
      <c r="QAU77" s="223">
        <f xml:space="preserve"> InputsTS!QAU$184</f>
        <v>0</v>
      </c>
      <c r="QAV77" s="223">
        <f xml:space="preserve"> InputsTS!QAV$184</f>
        <v>0</v>
      </c>
      <c r="QAW77" s="223">
        <f xml:space="preserve"> InputsTS!QAW$184</f>
        <v>0</v>
      </c>
      <c r="QAX77" s="223">
        <f xml:space="preserve"> InputsTS!QAX$184</f>
        <v>0</v>
      </c>
      <c r="QAY77" s="223">
        <f xml:space="preserve"> InputsTS!QAY$184</f>
        <v>0</v>
      </c>
      <c r="QAZ77" s="223">
        <f xml:space="preserve"> InputsTS!QAZ$184</f>
        <v>0</v>
      </c>
      <c r="QBA77" s="223">
        <f xml:space="preserve"> InputsTS!QBA$184</f>
        <v>0</v>
      </c>
      <c r="QBB77" s="223">
        <f xml:space="preserve"> InputsTS!QBB$184</f>
        <v>0</v>
      </c>
      <c r="QBC77" s="223">
        <f xml:space="preserve"> InputsTS!QBC$184</f>
        <v>0</v>
      </c>
      <c r="QBD77" s="223">
        <f xml:space="preserve"> InputsTS!QBD$184</f>
        <v>0</v>
      </c>
      <c r="QBE77" s="223">
        <f xml:space="preserve"> InputsTS!QBE$184</f>
        <v>0</v>
      </c>
      <c r="QBF77" s="223">
        <f xml:space="preserve"> InputsTS!QBF$184</f>
        <v>0</v>
      </c>
      <c r="QBG77" s="223">
        <f xml:space="preserve"> InputsTS!QBG$184</f>
        <v>0</v>
      </c>
      <c r="QBH77" s="223">
        <f xml:space="preserve"> InputsTS!QBH$184</f>
        <v>0</v>
      </c>
      <c r="QBI77" s="223">
        <f xml:space="preserve"> InputsTS!QBI$184</f>
        <v>0</v>
      </c>
      <c r="QBJ77" s="223">
        <f xml:space="preserve"> InputsTS!QBJ$184</f>
        <v>0</v>
      </c>
      <c r="QBK77" s="223">
        <f xml:space="preserve"> InputsTS!QBK$184</f>
        <v>0</v>
      </c>
      <c r="QBL77" s="223">
        <f xml:space="preserve"> InputsTS!QBL$184</f>
        <v>0</v>
      </c>
      <c r="QBM77" s="223">
        <f xml:space="preserve"> InputsTS!QBM$184</f>
        <v>0</v>
      </c>
      <c r="QBN77" s="223">
        <f xml:space="preserve"> InputsTS!QBN$184</f>
        <v>0</v>
      </c>
      <c r="QBO77" s="223">
        <f xml:space="preserve"> InputsTS!QBO$184</f>
        <v>0</v>
      </c>
      <c r="QBP77" s="223">
        <f xml:space="preserve"> InputsTS!QBP$184</f>
        <v>0</v>
      </c>
      <c r="QBQ77" s="223">
        <f xml:space="preserve"> InputsTS!QBQ$184</f>
        <v>0</v>
      </c>
      <c r="QBR77" s="223">
        <f xml:space="preserve"> InputsTS!QBR$184</f>
        <v>0</v>
      </c>
      <c r="QBS77" s="223">
        <f xml:space="preserve"> InputsTS!QBS$184</f>
        <v>0</v>
      </c>
      <c r="QBT77" s="223">
        <f xml:space="preserve"> InputsTS!QBT$184</f>
        <v>0</v>
      </c>
      <c r="QBU77" s="223">
        <f xml:space="preserve"> InputsTS!QBU$184</f>
        <v>0</v>
      </c>
      <c r="QBV77" s="223">
        <f xml:space="preserve"> InputsTS!QBV$184</f>
        <v>0</v>
      </c>
      <c r="QBW77" s="223">
        <f xml:space="preserve"> InputsTS!QBW$184</f>
        <v>0</v>
      </c>
      <c r="QBX77" s="223">
        <f xml:space="preserve"> InputsTS!QBX$184</f>
        <v>0</v>
      </c>
      <c r="QBY77" s="223">
        <f xml:space="preserve"> InputsTS!QBY$184</f>
        <v>0</v>
      </c>
      <c r="QBZ77" s="223">
        <f xml:space="preserve"> InputsTS!QBZ$184</f>
        <v>0</v>
      </c>
      <c r="QCA77" s="223">
        <f xml:space="preserve"> InputsTS!QCA$184</f>
        <v>0</v>
      </c>
      <c r="QCB77" s="223">
        <f xml:space="preserve"> InputsTS!QCB$184</f>
        <v>0</v>
      </c>
      <c r="QCC77" s="223">
        <f xml:space="preserve"> InputsTS!QCC$184</f>
        <v>0</v>
      </c>
      <c r="QCD77" s="223">
        <f xml:space="preserve"> InputsTS!QCD$184</f>
        <v>0</v>
      </c>
      <c r="QCE77" s="223">
        <f xml:space="preserve"> InputsTS!QCE$184</f>
        <v>0</v>
      </c>
      <c r="QCF77" s="223">
        <f xml:space="preserve"> InputsTS!QCF$184</f>
        <v>0</v>
      </c>
      <c r="QCG77" s="223">
        <f xml:space="preserve"> InputsTS!QCG$184</f>
        <v>0</v>
      </c>
      <c r="QCH77" s="223">
        <f xml:space="preserve"> InputsTS!QCH$184</f>
        <v>0</v>
      </c>
      <c r="QCI77" s="223">
        <f xml:space="preserve"> InputsTS!QCI$184</f>
        <v>0</v>
      </c>
      <c r="QCJ77" s="223">
        <f xml:space="preserve"> InputsTS!QCJ$184</f>
        <v>0</v>
      </c>
      <c r="QCK77" s="223">
        <f xml:space="preserve"> InputsTS!QCK$184</f>
        <v>0</v>
      </c>
      <c r="QCL77" s="223">
        <f xml:space="preserve"> InputsTS!QCL$184</f>
        <v>0</v>
      </c>
      <c r="QCM77" s="223">
        <f xml:space="preserve"> InputsTS!QCM$184</f>
        <v>0</v>
      </c>
      <c r="QCN77" s="223">
        <f xml:space="preserve"> InputsTS!QCN$184</f>
        <v>0</v>
      </c>
      <c r="QCO77" s="223">
        <f xml:space="preserve"> InputsTS!QCO$184</f>
        <v>0</v>
      </c>
      <c r="QCP77" s="223">
        <f xml:space="preserve"> InputsTS!QCP$184</f>
        <v>0</v>
      </c>
      <c r="QCQ77" s="223">
        <f xml:space="preserve"> InputsTS!QCQ$184</f>
        <v>0</v>
      </c>
      <c r="QCR77" s="223">
        <f xml:space="preserve"> InputsTS!QCR$184</f>
        <v>0</v>
      </c>
      <c r="QCS77" s="223">
        <f xml:space="preserve"> InputsTS!QCS$184</f>
        <v>0</v>
      </c>
      <c r="QCT77" s="223">
        <f xml:space="preserve"> InputsTS!QCT$184</f>
        <v>0</v>
      </c>
      <c r="QCU77" s="223">
        <f xml:space="preserve"> InputsTS!QCU$184</f>
        <v>0</v>
      </c>
      <c r="QCV77" s="223">
        <f xml:space="preserve"> InputsTS!QCV$184</f>
        <v>0</v>
      </c>
      <c r="QCW77" s="223">
        <f xml:space="preserve"> InputsTS!QCW$184</f>
        <v>0</v>
      </c>
      <c r="QCX77" s="223">
        <f xml:space="preserve"> InputsTS!QCX$184</f>
        <v>0</v>
      </c>
      <c r="QCY77" s="223">
        <f xml:space="preserve"> InputsTS!QCY$184</f>
        <v>0</v>
      </c>
      <c r="QCZ77" s="223">
        <f xml:space="preserve"> InputsTS!QCZ$184</f>
        <v>0</v>
      </c>
      <c r="QDA77" s="223">
        <f xml:space="preserve"> InputsTS!QDA$184</f>
        <v>0</v>
      </c>
      <c r="QDB77" s="223">
        <f xml:space="preserve"> InputsTS!QDB$184</f>
        <v>0</v>
      </c>
      <c r="QDC77" s="223">
        <f xml:space="preserve"> InputsTS!QDC$184</f>
        <v>0</v>
      </c>
      <c r="QDD77" s="223">
        <f xml:space="preserve"> InputsTS!QDD$184</f>
        <v>0</v>
      </c>
      <c r="QDE77" s="223">
        <f xml:space="preserve"> InputsTS!QDE$184</f>
        <v>0</v>
      </c>
      <c r="QDF77" s="223">
        <f xml:space="preserve"> InputsTS!QDF$184</f>
        <v>0</v>
      </c>
      <c r="QDG77" s="223">
        <f xml:space="preserve"> InputsTS!QDG$184</f>
        <v>0</v>
      </c>
      <c r="QDH77" s="223">
        <f xml:space="preserve"> InputsTS!QDH$184</f>
        <v>0</v>
      </c>
      <c r="QDI77" s="223">
        <f xml:space="preserve"> InputsTS!QDI$184</f>
        <v>0</v>
      </c>
      <c r="QDJ77" s="223">
        <f xml:space="preserve"> InputsTS!QDJ$184</f>
        <v>0</v>
      </c>
      <c r="QDK77" s="223">
        <f xml:space="preserve"> InputsTS!QDK$184</f>
        <v>0</v>
      </c>
      <c r="QDL77" s="223">
        <f xml:space="preserve"> InputsTS!QDL$184</f>
        <v>0</v>
      </c>
      <c r="QDM77" s="223">
        <f xml:space="preserve"> InputsTS!QDM$184</f>
        <v>0</v>
      </c>
      <c r="QDN77" s="223">
        <f xml:space="preserve"> InputsTS!QDN$184</f>
        <v>0</v>
      </c>
      <c r="QDO77" s="223">
        <f xml:space="preserve"> InputsTS!QDO$184</f>
        <v>0</v>
      </c>
      <c r="QDP77" s="223">
        <f xml:space="preserve"> InputsTS!QDP$184</f>
        <v>0</v>
      </c>
      <c r="QDQ77" s="223">
        <f xml:space="preserve"> InputsTS!QDQ$184</f>
        <v>0</v>
      </c>
      <c r="QDR77" s="223">
        <f xml:space="preserve"> InputsTS!QDR$184</f>
        <v>0</v>
      </c>
      <c r="QDS77" s="223">
        <f xml:space="preserve"> InputsTS!QDS$184</f>
        <v>0</v>
      </c>
      <c r="QDT77" s="223">
        <f xml:space="preserve"> InputsTS!QDT$184</f>
        <v>0</v>
      </c>
      <c r="QDU77" s="223">
        <f xml:space="preserve"> InputsTS!QDU$184</f>
        <v>0</v>
      </c>
      <c r="QDV77" s="223">
        <f xml:space="preserve"> InputsTS!QDV$184</f>
        <v>0</v>
      </c>
      <c r="QDW77" s="223">
        <f xml:space="preserve"> InputsTS!QDW$184</f>
        <v>0</v>
      </c>
      <c r="QDX77" s="223">
        <f xml:space="preserve"> InputsTS!QDX$184</f>
        <v>0</v>
      </c>
      <c r="QDY77" s="223">
        <f xml:space="preserve"> InputsTS!QDY$184</f>
        <v>0</v>
      </c>
      <c r="QDZ77" s="223">
        <f xml:space="preserve"> InputsTS!QDZ$184</f>
        <v>0</v>
      </c>
      <c r="QEA77" s="223">
        <f xml:space="preserve"> InputsTS!QEA$184</f>
        <v>0</v>
      </c>
      <c r="QEB77" s="223">
        <f xml:space="preserve"> InputsTS!QEB$184</f>
        <v>0</v>
      </c>
      <c r="QEC77" s="223">
        <f xml:space="preserve"> InputsTS!QEC$184</f>
        <v>0</v>
      </c>
      <c r="QED77" s="223">
        <f xml:space="preserve"> InputsTS!QED$184</f>
        <v>0</v>
      </c>
      <c r="QEE77" s="223">
        <f xml:space="preserve"> InputsTS!QEE$184</f>
        <v>0</v>
      </c>
      <c r="QEF77" s="223">
        <f xml:space="preserve"> InputsTS!QEF$184</f>
        <v>0</v>
      </c>
      <c r="QEG77" s="223">
        <f xml:space="preserve"> InputsTS!QEG$184</f>
        <v>0</v>
      </c>
      <c r="QEH77" s="223">
        <f xml:space="preserve"> InputsTS!QEH$184</f>
        <v>0</v>
      </c>
      <c r="QEI77" s="223">
        <f xml:space="preserve"> InputsTS!QEI$184</f>
        <v>0</v>
      </c>
      <c r="QEJ77" s="223">
        <f xml:space="preserve"> InputsTS!QEJ$184</f>
        <v>0</v>
      </c>
      <c r="QEK77" s="223">
        <f xml:space="preserve"> InputsTS!QEK$184</f>
        <v>0</v>
      </c>
      <c r="QEL77" s="223">
        <f xml:space="preserve"> InputsTS!QEL$184</f>
        <v>0</v>
      </c>
      <c r="QEM77" s="223">
        <f xml:space="preserve"> InputsTS!QEM$184</f>
        <v>0</v>
      </c>
      <c r="QEN77" s="223">
        <f xml:space="preserve"> InputsTS!QEN$184</f>
        <v>0</v>
      </c>
      <c r="QEO77" s="223">
        <f xml:space="preserve"> InputsTS!QEO$184</f>
        <v>0</v>
      </c>
      <c r="QEP77" s="223">
        <f xml:space="preserve"> InputsTS!QEP$184</f>
        <v>0</v>
      </c>
      <c r="QEQ77" s="223">
        <f xml:space="preserve"> InputsTS!QEQ$184</f>
        <v>0</v>
      </c>
      <c r="QER77" s="223">
        <f xml:space="preserve"> InputsTS!QER$184</f>
        <v>0</v>
      </c>
      <c r="QES77" s="223">
        <f xml:space="preserve"> InputsTS!QES$184</f>
        <v>0</v>
      </c>
      <c r="QET77" s="223">
        <f xml:space="preserve"> InputsTS!QET$184</f>
        <v>0</v>
      </c>
      <c r="QEU77" s="223">
        <f xml:space="preserve"> InputsTS!QEU$184</f>
        <v>0</v>
      </c>
      <c r="QEV77" s="223">
        <f xml:space="preserve"> InputsTS!QEV$184</f>
        <v>0</v>
      </c>
      <c r="QEW77" s="223">
        <f xml:space="preserve"> InputsTS!QEW$184</f>
        <v>0</v>
      </c>
      <c r="QEX77" s="223">
        <f xml:space="preserve"> InputsTS!QEX$184</f>
        <v>0</v>
      </c>
      <c r="QEY77" s="223">
        <f xml:space="preserve"> InputsTS!QEY$184</f>
        <v>0</v>
      </c>
      <c r="QEZ77" s="223">
        <f xml:space="preserve"> InputsTS!QEZ$184</f>
        <v>0</v>
      </c>
      <c r="QFA77" s="223">
        <f xml:space="preserve"> InputsTS!QFA$184</f>
        <v>0</v>
      </c>
      <c r="QFB77" s="223">
        <f xml:space="preserve"> InputsTS!QFB$184</f>
        <v>0</v>
      </c>
      <c r="QFC77" s="223">
        <f xml:space="preserve"> InputsTS!QFC$184</f>
        <v>0</v>
      </c>
      <c r="QFD77" s="223">
        <f xml:space="preserve"> InputsTS!QFD$184</f>
        <v>0</v>
      </c>
      <c r="QFE77" s="223">
        <f xml:space="preserve"> InputsTS!QFE$184</f>
        <v>0</v>
      </c>
      <c r="QFF77" s="223">
        <f xml:space="preserve"> InputsTS!QFF$184</f>
        <v>0</v>
      </c>
      <c r="QFG77" s="223">
        <f xml:space="preserve"> InputsTS!QFG$184</f>
        <v>0</v>
      </c>
      <c r="QFH77" s="223">
        <f xml:space="preserve"> InputsTS!QFH$184</f>
        <v>0</v>
      </c>
      <c r="QFI77" s="223">
        <f xml:space="preserve"> InputsTS!QFI$184</f>
        <v>0</v>
      </c>
      <c r="QFJ77" s="223">
        <f xml:space="preserve"> InputsTS!QFJ$184</f>
        <v>0</v>
      </c>
      <c r="QFK77" s="223">
        <f xml:space="preserve"> InputsTS!QFK$184</f>
        <v>0</v>
      </c>
      <c r="QFL77" s="223">
        <f xml:space="preserve"> InputsTS!QFL$184</f>
        <v>0</v>
      </c>
      <c r="QFM77" s="223">
        <f xml:space="preserve"> InputsTS!QFM$184</f>
        <v>0</v>
      </c>
      <c r="QFN77" s="223">
        <f xml:space="preserve"> InputsTS!QFN$184</f>
        <v>0</v>
      </c>
      <c r="QFO77" s="223">
        <f xml:space="preserve"> InputsTS!QFO$184</f>
        <v>0</v>
      </c>
      <c r="QFP77" s="223">
        <f xml:space="preserve"> InputsTS!QFP$184</f>
        <v>0</v>
      </c>
      <c r="QFQ77" s="223">
        <f xml:space="preserve"> InputsTS!QFQ$184</f>
        <v>0</v>
      </c>
      <c r="QFR77" s="223">
        <f xml:space="preserve"> InputsTS!QFR$184</f>
        <v>0</v>
      </c>
      <c r="QFS77" s="223">
        <f xml:space="preserve"> InputsTS!QFS$184</f>
        <v>0</v>
      </c>
      <c r="QFT77" s="223">
        <f xml:space="preserve"> InputsTS!QFT$184</f>
        <v>0</v>
      </c>
      <c r="QFU77" s="223">
        <f xml:space="preserve"> InputsTS!QFU$184</f>
        <v>0</v>
      </c>
      <c r="QFV77" s="223">
        <f xml:space="preserve"> InputsTS!QFV$184</f>
        <v>0</v>
      </c>
      <c r="QFW77" s="223">
        <f xml:space="preserve"> InputsTS!QFW$184</f>
        <v>0</v>
      </c>
      <c r="QFX77" s="223">
        <f xml:space="preserve"> InputsTS!QFX$184</f>
        <v>0</v>
      </c>
      <c r="QFY77" s="223">
        <f xml:space="preserve"> InputsTS!QFY$184</f>
        <v>0</v>
      </c>
      <c r="QFZ77" s="223">
        <f xml:space="preserve"> InputsTS!QFZ$184</f>
        <v>0</v>
      </c>
      <c r="QGA77" s="223">
        <f xml:space="preserve"> InputsTS!QGA$184</f>
        <v>0</v>
      </c>
      <c r="QGB77" s="223">
        <f xml:space="preserve"> InputsTS!QGB$184</f>
        <v>0</v>
      </c>
      <c r="QGC77" s="223">
        <f xml:space="preserve"> InputsTS!QGC$184</f>
        <v>0</v>
      </c>
      <c r="QGD77" s="223">
        <f xml:space="preserve"> InputsTS!QGD$184</f>
        <v>0</v>
      </c>
      <c r="QGE77" s="223">
        <f xml:space="preserve"> InputsTS!QGE$184</f>
        <v>0</v>
      </c>
      <c r="QGF77" s="223">
        <f xml:space="preserve"> InputsTS!QGF$184</f>
        <v>0</v>
      </c>
      <c r="QGG77" s="223">
        <f xml:space="preserve"> InputsTS!QGG$184</f>
        <v>0</v>
      </c>
      <c r="QGH77" s="223">
        <f xml:space="preserve"> InputsTS!QGH$184</f>
        <v>0</v>
      </c>
      <c r="QGI77" s="223">
        <f xml:space="preserve"> InputsTS!QGI$184</f>
        <v>0</v>
      </c>
      <c r="QGJ77" s="223">
        <f xml:space="preserve"> InputsTS!QGJ$184</f>
        <v>0</v>
      </c>
      <c r="QGK77" s="223">
        <f xml:space="preserve"> InputsTS!QGK$184</f>
        <v>0</v>
      </c>
      <c r="QGL77" s="223">
        <f xml:space="preserve"> InputsTS!QGL$184</f>
        <v>0</v>
      </c>
      <c r="QGM77" s="223">
        <f xml:space="preserve"> InputsTS!QGM$184</f>
        <v>0</v>
      </c>
      <c r="QGN77" s="223">
        <f xml:space="preserve"> InputsTS!QGN$184</f>
        <v>0</v>
      </c>
      <c r="QGO77" s="223">
        <f xml:space="preserve"> InputsTS!QGO$184</f>
        <v>0</v>
      </c>
      <c r="QGP77" s="223">
        <f xml:space="preserve"> InputsTS!QGP$184</f>
        <v>0</v>
      </c>
      <c r="QGQ77" s="223">
        <f xml:space="preserve"> InputsTS!QGQ$184</f>
        <v>0</v>
      </c>
      <c r="QGR77" s="223">
        <f xml:space="preserve"> InputsTS!QGR$184</f>
        <v>0</v>
      </c>
      <c r="QGS77" s="223">
        <f xml:space="preserve"> InputsTS!QGS$184</f>
        <v>0</v>
      </c>
      <c r="QGT77" s="223">
        <f xml:space="preserve"> InputsTS!QGT$184</f>
        <v>0</v>
      </c>
      <c r="QGU77" s="223">
        <f xml:space="preserve"> InputsTS!QGU$184</f>
        <v>0</v>
      </c>
      <c r="QGV77" s="223">
        <f xml:space="preserve"> InputsTS!QGV$184</f>
        <v>0</v>
      </c>
      <c r="QGW77" s="223">
        <f xml:space="preserve"> InputsTS!QGW$184</f>
        <v>0</v>
      </c>
      <c r="QGX77" s="223">
        <f xml:space="preserve"> InputsTS!QGX$184</f>
        <v>0</v>
      </c>
      <c r="QGY77" s="223">
        <f xml:space="preserve"> InputsTS!QGY$184</f>
        <v>0</v>
      </c>
      <c r="QGZ77" s="223">
        <f xml:space="preserve"> InputsTS!QGZ$184</f>
        <v>0</v>
      </c>
      <c r="QHA77" s="223">
        <f xml:space="preserve"> InputsTS!QHA$184</f>
        <v>0</v>
      </c>
      <c r="QHB77" s="223">
        <f xml:space="preserve"> InputsTS!QHB$184</f>
        <v>0</v>
      </c>
      <c r="QHC77" s="223">
        <f xml:space="preserve"> InputsTS!QHC$184</f>
        <v>0</v>
      </c>
      <c r="QHD77" s="223">
        <f xml:space="preserve"> InputsTS!QHD$184</f>
        <v>0</v>
      </c>
      <c r="QHE77" s="223">
        <f xml:space="preserve"> InputsTS!QHE$184</f>
        <v>0</v>
      </c>
      <c r="QHF77" s="223">
        <f xml:space="preserve"> InputsTS!QHF$184</f>
        <v>0</v>
      </c>
      <c r="QHG77" s="223">
        <f xml:space="preserve"> InputsTS!QHG$184</f>
        <v>0</v>
      </c>
      <c r="QHH77" s="223">
        <f xml:space="preserve"> InputsTS!QHH$184</f>
        <v>0</v>
      </c>
      <c r="QHI77" s="223">
        <f xml:space="preserve"> InputsTS!QHI$184</f>
        <v>0</v>
      </c>
      <c r="QHJ77" s="223">
        <f xml:space="preserve"> InputsTS!QHJ$184</f>
        <v>0</v>
      </c>
      <c r="QHK77" s="223">
        <f xml:space="preserve"> InputsTS!QHK$184</f>
        <v>0</v>
      </c>
      <c r="QHL77" s="223">
        <f xml:space="preserve"> InputsTS!QHL$184</f>
        <v>0</v>
      </c>
      <c r="QHM77" s="223">
        <f xml:space="preserve"> InputsTS!QHM$184</f>
        <v>0</v>
      </c>
      <c r="QHN77" s="223">
        <f xml:space="preserve"> InputsTS!QHN$184</f>
        <v>0</v>
      </c>
      <c r="QHO77" s="223">
        <f xml:space="preserve"> InputsTS!QHO$184</f>
        <v>0</v>
      </c>
      <c r="QHP77" s="223">
        <f xml:space="preserve"> InputsTS!QHP$184</f>
        <v>0</v>
      </c>
      <c r="QHQ77" s="223">
        <f xml:space="preserve"> InputsTS!QHQ$184</f>
        <v>0</v>
      </c>
      <c r="QHR77" s="223">
        <f xml:space="preserve"> InputsTS!QHR$184</f>
        <v>0</v>
      </c>
      <c r="QHS77" s="223">
        <f xml:space="preserve"> InputsTS!QHS$184</f>
        <v>0</v>
      </c>
      <c r="QHT77" s="223">
        <f xml:space="preserve"> InputsTS!QHT$184</f>
        <v>0</v>
      </c>
      <c r="QHU77" s="223">
        <f xml:space="preserve"> InputsTS!QHU$184</f>
        <v>0</v>
      </c>
      <c r="QHV77" s="223">
        <f xml:space="preserve"> InputsTS!QHV$184</f>
        <v>0</v>
      </c>
      <c r="QHW77" s="223">
        <f xml:space="preserve"> InputsTS!QHW$184</f>
        <v>0</v>
      </c>
      <c r="QHX77" s="223">
        <f xml:space="preserve"> InputsTS!QHX$184</f>
        <v>0</v>
      </c>
      <c r="QHY77" s="223">
        <f xml:space="preserve"> InputsTS!QHY$184</f>
        <v>0</v>
      </c>
      <c r="QHZ77" s="223">
        <f xml:space="preserve"> InputsTS!QHZ$184</f>
        <v>0</v>
      </c>
      <c r="QIA77" s="223">
        <f xml:space="preserve"> InputsTS!QIA$184</f>
        <v>0</v>
      </c>
      <c r="QIB77" s="223">
        <f xml:space="preserve"> InputsTS!QIB$184</f>
        <v>0</v>
      </c>
      <c r="QIC77" s="223">
        <f xml:space="preserve"> InputsTS!QIC$184</f>
        <v>0</v>
      </c>
      <c r="QID77" s="223">
        <f xml:space="preserve"> InputsTS!QID$184</f>
        <v>0</v>
      </c>
      <c r="QIE77" s="223">
        <f xml:space="preserve"> InputsTS!QIE$184</f>
        <v>0</v>
      </c>
      <c r="QIF77" s="223">
        <f xml:space="preserve"> InputsTS!QIF$184</f>
        <v>0</v>
      </c>
      <c r="QIG77" s="223">
        <f xml:space="preserve"> InputsTS!QIG$184</f>
        <v>0</v>
      </c>
      <c r="QIH77" s="223">
        <f xml:space="preserve"> InputsTS!QIH$184</f>
        <v>0</v>
      </c>
      <c r="QII77" s="223">
        <f xml:space="preserve"> InputsTS!QII$184</f>
        <v>0</v>
      </c>
      <c r="QIJ77" s="223">
        <f xml:space="preserve"> InputsTS!QIJ$184</f>
        <v>0</v>
      </c>
      <c r="QIK77" s="223">
        <f xml:space="preserve"> InputsTS!QIK$184</f>
        <v>0</v>
      </c>
      <c r="QIL77" s="223">
        <f xml:space="preserve"> InputsTS!QIL$184</f>
        <v>0</v>
      </c>
      <c r="QIM77" s="223">
        <f xml:space="preserve"> InputsTS!QIM$184</f>
        <v>0</v>
      </c>
      <c r="QIN77" s="223">
        <f xml:space="preserve"> InputsTS!QIN$184</f>
        <v>0</v>
      </c>
      <c r="QIO77" s="223">
        <f xml:space="preserve"> InputsTS!QIO$184</f>
        <v>0</v>
      </c>
      <c r="QIP77" s="223">
        <f xml:space="preserve"> InputsTS!QIP$184</f>
        <v>0</v>
      </c>
      <c r="QIQ77" s="223">
        <f xml:space="preserve"> InputsTS!QIQ$184</f>
        <v>0</v>
      </c>
      <c r="QIR77" s="223">
        <f xml:space="preserve"> InputsTS!QIR$184</f>
        <v>0</v>
      </c>
      <c r="QIS77" s="223">
        <f xml:space="preserve"> InputsTS!QIS$184</f>
        <v>0</v>
      </c>
      <c r="QIT77" s="223">
        <f xml:space="preserve"> InputsTS!QIT$184</f>
        <v>0</v>
      </c>
      <c r="QIU77" s="223">
        <f xml:space="preserve"> InputsTS!QIU$184</f>
        <v>0</v>
      </c>
      <c r="QIV77" s="223">
        <f xml:space="preserve"> InputsTS!QIV$184</f>
        <v>0</v>
      </c>
      <c r="QIW77" s="223">
        <f xml:space="preserve"> InputsTS!QIW$184</f>
        <v>0</v>
      </c>
      <c r="QIX77" s="223">
        <f xml:space="preserve"> InputsTS!QIX$184</f>
        <v>0</v>
      </c>
      <c r="QIY77" s="223">
        <f xml:space="preserve"> InputsTS!QIY$184</f>
        <v>0</v>
      </c>
      <c r="QIZ77" s="223">
        <f xml:space="preserve"> InputsTS!QIZ$184</f>
        <v>0</v>
      </c>
      <c r="QJA77" s="223">
        <f xml:space="preserve"> InputsTS!QJA$184</f>
        <v>0</v>
      </c>
      <c r="QJB77" s="223">
        <f xml:space="preserve"> InputsTS!QJB$184</f>
        <v>0</v>
      </c>
      <c r="QJC77" s="223">
        <f xml:space="preserve"> InputsTS!QJC$184</f>
        <v>0</v>
      </c>
      <c r="QJD77" s="223">
        <f xml:space="preserve"> InputsTS!QJD$184</f>
        <v>0</v>
      </c>
      <c r="QJE77" s="223">
        <f xml:space="preserve"> InputsTS!QJE$184</f>
        <v>0</v>
      </c>
      <c r="QJF77" s="223">
        <f xml:space="preserve"> InputsTS!QJF$184</f>
        <v>0</v>
      </c>
      <c r="QJG77" s="223">
        <f xml:space="preserve"> InputsTS!QJG$184</f>
        <v>0</v>
      </c>
      <c r="QJH77" s="223">
        <f xml:space="preserve"> InputsTS!QJH$184</f>
        <v>0</v>
      </c>
      <c r="QJI77" s="223">
        <f xml:space="preserve"> InputsTS!QJI$184</f>
        <v>0</v>
      </c>
      <c r="QJJ77" s="223">
        <f xml:space="preserve"> InputsTS!QJJ$184</f>
        <v>0</v>
      </c>
      <c r="QJK77" s="223">
        <f xml:space="preserve"> InputsTS!QJK$184</f>
        <v>0</v>
      </c>
      <c r="QJL77" s="223">
        <f xml:space="preserve"> InputsTS!QJL$184</f>
        <v>0</v>
      </c>
      <c r="QJM77" s="223">
        <f xml:space="preserve"> InputsTS!QJM$184</f>
        <v>0</v>
      </c>
      <c r="QJN77" s="223">
        <f xml:space="preserve"> InputsTS!QJN$184</f>
        <v>0</v>
      </c>
      <c r="QJO77" s="223">
        <f xml:space="preserve"> InputsTS!QJO$184</f>
        <v>0</v>
      </c>
      <c r="QJP77" s="223">
        <f xml:space="preserve"> InputsTS!QJP$184</f>
        <v>0</v>
      </c>
      <c r="QJQ77" s="223">
        <f xml:space="preserve"> InputsTS!QJQ$184</f>
        <v>0</v>
      </c>
      <c r="QJR77" s="223">
        <f xml:space="preserve"> InputsTS!QJR$184</f>
        <v>0</v>
      </c>
      <c r="QJS77" s="223">
        <f xml:space="preserve"> InputsTS!QJS$184</f>
        <v>0</v>
      </c>
      <c r="QJT77" s="223">
        <f xml:space="preserve"> InputsTS!QJT$184</f>
        <v>0</v>
      </c>
      <c r="QJU77" s="223">
        <f xml:space="preserve"> InputsTS!QJU$184</f>
        <v>0</v>
      </c>
      <c r="QJV77" s="223">
        <f xml:space="preserve"> InputsTS!QJV$184</f>
        <v>0</v>
      </c>
      <c r="QJW77" s="223">
        <f xml:space="preserve"> InputsTS!QJW$184</f>
        <v>0</v>
      </c>
      <c r="QJX77" s="223">
        <f xml:space="preserve"> InputsTS!QJX$184</f>
        <v>0</v>
      </c>
      <c r="QJY77" s="223">
        <f xml:space="preserve"> InputsTS!QJY$184</f>
        <v>0</v>
      </c>
      <c r="QJZ77" s="223">
        <f xml:space="preserve"> InputsTS!QJZ$184</f>
        <v>0</v>
      </c>
      <c r="QKA77" s="223">
        <f xml:space="preserve"> InputsTS!QKA$184</f>
        <v>0</v>
      </c>
      <c r="QKB77" s="223">
        <f xml:space="preserve"> InputsTS!QKB$184</f>
        <v>0</v>
      </c>
      <c r="QKC77" s="223">
        <f xml:space="preserve"> InputsTS!QKC$184</f>
        <v>0</v>
      </c>
      <c r="QKD77" s="223">
        <f xml:space="preserve"> InputsTS!QKD$184</f>
        <v>0</v>
      </c>
      <c r="QKE77" s="223">
        <f xml:space="preserve"> InputsTS!QKE$184</f>
        <v>0</v>
      </c>
      <c r="QKF77" s="223">
        <f xml:space="preserve"> InputsTS!QKF$184</f>
        <v>0</v>
      </c>
      <c r="QKG77" s="223">
        <f xml:space="preserve"> InputsTS!QKG$184</f>
        <v>0</v>
      </c>
      <c r="QKH77" s="223">
        <f xml:space="preserve"> InputsTS!QKH$184</f>
        <v>0</v>
      </c>
      <c r="QKI77" s="223">
        <f xml:space="preserve"> InputsTS!QKI$184</f>
        <v>0</v>
      </c>
      <c r="QKJ77" s="223">
        <f xml:space="preserve"> InputsTS!QKJ$184</f>
        <v>0</v>
      </c>
      <c r="QKK77" s="223">
        <f xml:space="preserve"> InputsTS!QKK$184</f>
        <v>0</v>
      </c>
      <c r="QKL77" s="223">
        <f xml:space="preserve"> InputsTS!QKL$184</f>
        <v>0</v>
      </c>
      <c r="QKM77" s="223">
        <f xml:space="preserve"> InputsTS!QKM$184</f>
        <v>0</v>
      </c>
      <c r="QKN77" s="223">
        <f xml:space="preserve"> InputsTS!QKN$184</f>
        <v>0</v>
      </c>
      <c r="QKO77" s="223">
        <f xml:space="preserve"> InputsTS!QKO$184</f>
        <v>0</v>
      </c>
      <c r="QKP77" s="223">
        <f xml:space="preserve"> InputsTS!QKP$184</f>
        <v>0</v>
      </c>
      <c r="QKQ77" s="223">
        <f xml:space="preserve"> InputsTS!QKQ$184</f>
        <v>0</v>
      </c>
      <c r="QKR77" s="223">
        <f xml:space="preserve"> InputsTS!QKR$184</f>
        <v>0</v>
      </c>
      <c r="QKS77" s="223">
        <f xml:space="preserve"> InputsTS!QKS$184</f>
        <v>0</v>
      </c>
      <c r="QKT77" s="223">
        <f xml:space="preserve"> InputsTS!QKT$184</f>
        <v>0</v>
      </c>
      <c r="QKU77" s="223">
        <f xml:space="preserve"> InputsTS!QKU$184</f>
        <v>0</v>
      </c>
      <c r="QKV77" s="223">
        <f xml:space="preserve"> InputsTS!QKV$184</f>
        <v>0</v>
      </c>
      <c r="QKW77" s="223">
        <f xml:space="preserve"> InputsTS!QKW$184</f>
        <v>0</v>
      </c>
      <c r="QKX77" s="223">
        <f xml:space="preserve"> InputsTS!QKX$184</f>
        <v>0</v>
      </c>
      <c r="QKY77" s="223">
        <f xml:space="preserve"> InputsTS!QKY$184</f>
        <v>0</v>
      </c>
      <c r="QKZ77" s="223">
        <f xml:space="preserve"> InputsTS!QKZ$184</f>
        <v>0</v>
      </c>
      <c r="QLA77" s="223">
        <f xml:space="preserve"> InputsTS!QLA$184</f>
        <v>0</v>
      </c>
      <c r="QLB77" s="223">
        <f xml:space="preserve"> InputsTS!QLB$184</f>
        <v>0</v>
      </c>
      <c r="QLC77" s="223">
        <f xml:space="preserve"> InputsTS!QLC$184</f>
        <v>0</v>
      </c>
      <c r="QLD77" s="223">
        <f xml:space="preserve"> InputsTS!QLD$184</f>
        <v>0</v>
      </c>
      <c r="QLE77" s="223">
        <f xml:space="preserve"> InputsTS!QLE$184</f>
        <v>0</v>
      </c>
      <c r="QLF77" s="223">
        <f xml:space="preserve"> InputsTS!QLF$184</f>
        <v>0</v>
      </c>
      <c r="QLG77" s="223">
        <f xml:space="preserve"> InputsTS!QLG$184</f>
        <v>0</v>
      </c>
      <c r="QLH77" s="223">
        <f xml:space="preserve"> InputsTS!QLH$184</f>
        <v>0</v>
      </c>
      <c r="QLI77" s="223">
        <f xml:space="preserve"> InputsTS!QLI$184</f>
        <v>0</v>
      </c>
      <c r="QLJ77" s="223">
        <f xml:space="preserve"> InputsTS!QLJ$184</f>
        <v>0</v>
      </c>
      <c r="QLK77" s="223">
        <f xml:space="preserve"> InputsTS!QLK$184</f>
        <v>0</v>
      </c>
      <c r="QLL77" s="223">
        <f xml:space="preserve"> InputsTS!QLL$184</f>
        <v>0</v>
      </c>
      <c r="QLM77" s="223">
        <f xml:space="preserve"> InputsTS!QLM$184</f>
        <v>0</v>
      </c>
      <c r="QLN77" s="223">
        <f xml:space="preserve"> InputsTS!QLN$184</f>
        <v>0</v>
      </c>
      <c r="QLO77" s="223">
        <f xml:space="preserve"> InputsTS!QLO$184</f>
        <v>0</v>
      </c>
      <c r="QLP77" s="223">
        <f xml:space="preserve"> InputsTS!QLP$184</f>
        <v>0</v>
      </c>
      <c r="QLQ77" s="223">
        <f xml:space="preserve"> InputsTS!QLQ$184</f>
        <v>0</v>
      </c>
      <c r="QLR77" s="223">
        <f xml:space="preserve"> InputsTS!QLR$184</f>
        <v>0</v>
      </c>
      <c r="QLS77" s="223">
        <f xml:space="preserve"> InputsTS!QLS$184</f>
        <v>0</v>
      </c>
      <c r="QLT77" s="223">
        <f xml:space="preserve"> InputsTS!QLT$184</f>
        <v>0</v>
      </c>
      <c r="QLU77" s="223">
        <f xml:space="preserve"> InputsTS!QLU$184</f>
        <v>0</v>
      </c>
      <c r="QLV77" s="223">
        <f xml:space="preserve"> InputsTS!QLV$184</f>
        <v>0</v>
      </c>
      <c r="QLW77" s="223">
        <f xml:space="preserve"> InputsTS!QLW$184</f>
        <v>0</v>
      </c>
      <c r="QLX77" s="223">
        <f xml:space="preserve"> InputsTS!QLX$184</f>
        <v>0</v>
      </c>
      <c r="QLY77" s="223">
        <f xml:space="preserve"> InputsTS!QLY$184</f>
        <v>0</v>
      </c>
      <c r="QLZ77" s="223">
        <f xml:space="preserve"> InputsTS!QLZ$184</f>
        <v>0</v>
      </c>
      <c r="QMA77" s="223">
        <f xml:space="preserve"> InputsTS!QMA$184</f>
        <v>0</v>
      </c>
      <c r="QMB77" s="223">
        <f xml:space="preserve"> InputsTS!QMB$184</f>
        <v>0</v>
      </c>
      <c r="QMC77" s="223">
        <f xml:space="preserve"> InputsTS!QMC$184</f>
        <v>0</v>
      </c>
      <c r="QMD77" s="223">
        <f xml:space="preserve"> InputsTS!QMD$184</f>
        <v>0</v>
      </c>
      <c r="QME77" s="223">
        <f xml:space="preserve"> InputsTS!QME$184</f>
        <v>0</v>
      </c>
      <c r="QMF77" s="223">
        <f xml:space="preserve"> InputsTS!QMF$184</f>
        <v>0</v>
      </c>
      <c r="QMG77" s="223">
        <f xml:space="preserve"> InputsTS!QMG$184</f>
        <v>0</v>
      </c>
      <c r="QMH77" s="223">
        <f xml:space="preserve"> InputsTS!QMH$184</f>
        <v>0</v>
      </c>
      <c r="QMI77" s="223">
        <f xml:space="preserve"> InputsTS!QMI$184</f>
        <v>0</v>
      </c>
      <c r="QMJ77" s="223">
        <f xml:space="preserve"> InputsTS!QMJ$184</f>
        <v>0</v>
      </c>
      <c r="QMK77" s="223">
        <f xml:space="preserve"> InputsTS!QMK$184</f>
        <v>0</v>
      </c>
      <c r="QML77" s="223">
        <f xml:space="preserve"> InputsTS!QML$184</f>
        <v>0</v>
      </c>
      <c r="QMM77" s="223">
        <f xml:space="preserve"> InputsTS!QMM$184</f>
        <v>0</v>
      </c>
      <c r="QMN77" s="223">
        <f xml:space="preserve"> InputsTS!QMN$184</f>
        <v>0</v>
      </c>
      <c r="QMO77" s="223">
        <f xml:space="preserve"> InputsTS!QMO$184</f>
        <v>0</v>
      </c>
      <c r="QMP77" s="223">
        <f xml:space="preserve"> InputsTS!QMP$184</f>
        <v>0</v>
      </c>
      <c r="QMQ77" s="223">
        <f xml:space="preserve"> InputsTS!QMQ$184</f>
        <v>0</v>
      </c>
      <c r="QMR77" s="223">
        <f xml:space="preserve"> InputsTS!QMR$184</f>
        <v>0</v>
      </c>
      <c r="QMS77" s="223">
        <f xml:space="preserve"> InputsTS!QMS$184</f>
        <v>0</v>
      </c>
      <c r="QMT77" s="223">
        <f xml:space="preserve"> InputsTS!QMT$184</f>
        <v>0</v>
      </c>
      <c r="QMU77" s="223">
        <f xml:space="preserve"> InputsTS!QMU$184</f>
        <v>0</v>
      </c>
      <c r="QMV77" s="223">
        <f xml:space="preserve"> InputsTS!QMV$184</f>
        <v>0</v>
      </c>
      <c r="QMW77" s="223">
        <f xml:space="preserve"> InputsTS!QMW$184</f>
        <v>0</v>
      </c>
      <c r="QMX77" s="223">
        <f xml:space="preserve"> InputsTS!QMX$184</f>
        <v>0</v>
      </c>
      <c r="QMY77" s="223">
        <f xml:space="preserve"> InputsTS!QMY$184</f>
        <v>0</v>
      </c>
      <c r="QMZ77" s="223">
        <f xml:space="preserve"> InputsTS!QMZ$184</f>
        <v>0</v>
      </c>
      <c r="QNA77" s="223">
        <f xml:space="preserve"> InputsTS!QNA$184</f>
        <v>0</v>
      </c>
      <c r="QNB77" s="223">
        <f xml:space="preserve"> InputsTS!QNB$184</f>
        <v>0</v>
      </c>
      <c r="QNC77" s="223">
        <f xml:space="preserve"> InputsTS!QNC$184</f>
        <v>0</v>
      </c>
      <c r="QND77" s="223">
        <f xml:space="preserve"> InputsTS!QND$184</f>
        <v>0</v>
      </c>
      <c r="QNE77" s="223">
        <f xml:space="preserve"> InputsTS!QNE$184</f>
        <v>0</v>
      </c>
      <c r="QNF77" s="223">
        <f xml:space="preserve"> InputsTS!QNF$184</f>
        <v>0</v>
      </c>
      <c r="QNG77" s="223">
        <f xml:space="preserve"> InputsTS!QNG$184</f>
        <v>0</v>
      </c>
      <c r="QNH77" s="223">
        <f xml:space="preserve"> InputsTS!QNH$184</f>
        <v>0</v>
      </c>
      <c r="QNI77" s="223">
        <f xml:space="preserve"> InputsTS!QNI$184</f>
        <v>0</v>
      </c>
      <c r="QNJ77" s="223">
        <f xml:space="preserve"> InputsTS!QNJ$184</f>
        <v>0</v>
      </c>
      <c r="QNK77" s="223">
        <f xml:space="preserve"> InputsTS!QNK$184</f>
        <v>0</v>
      </c>
      <c r="QNL77" s="223">
        <f xml:space="preserve"> InputsTS!QNL$184</f>
        <v>0</v>
      </c>
      <c r="QNM77" s="223">
        <f xml:space="preserve"> InputsTS!QNM$184</f>
        <v>0</v>
      </c>
      <c r="QNN77" s="223">
        <f xml:space="preserve"> InputsTS!QNN$184</f>
        <v>0</v>
      </c>
      <c r="QNO77" s="223">
        <f xml:space="preserve"> InputsTS!QNO$184</f>
        <v>0</v>
      </c>
      <c r="QNP77" s="223">
        <f xml:space="preserve"> InputsTS!QNP$184</f>
        <v>0</v>
      </c>
      <c r="QNQ77" s="223">
        <f xml:space="preserve"> InputsTS!QNQ$184</f>
        <v>0</v>
      </c>
      <c r="QNR77" s="223">
        <f xml:space="preserve"> InputsTS!QNR$184</f>
        <v>0</v>
      </c>
      <c r="QNS77" s="223">
        <f xml:space="preserve"> InputsTS!QNS$184</f>
        <v>0</v>
      </c>
      <c r="QNT77" s="223">
        <f xml:space="preserve"> InputsTS!QNT$184</f>
        <v>0</v>
      </c>
      <c r="QNU77" s="223">
        <f xml:space="preserve"> InputsTS!QNU$184</f>
        <v>0</v>
      </c>
      <c r="QNV77" s="223">
        <f xml:space="preserve"> InputsTS!QNV$184</f>
        <v>0</v>
      </c>
      <c r="QNW77" s="223">
        <f xml:space="preserve"> InputsTS!QNW$184</f>
        <v>0</v>
      </c>
      <c r="QNX77" s="223">
        <f xml:space="preserve"> InputsTS!QNX$184</f>
        <v>0</v>
      </c>
      <c r="QNY77" s="223">
        <f xml:space="preserve"> InputsTS!QNY$184</f>
        <v>0</v>
      </c>
      <c r="QNZ77" s="223">
        <f xml:space="preserve"> InputsTS!QNZ$184</f>
        <v>0</v>
      </c>
      <c r="QOA77" s="223">
        <f xml:space="preserve"> InputsTS!QOA$184</f>
        <v>0</v>
      </c>
      <c r="QOB77" s="223">
        <f xml:space="preserve"> InputsTS!QOB$184</f>
        <v>0</v>
      </c>
      <c r="QOC77" s="223">
        <f xml:space="preserve"> InputsTS!QOC$184</f>
        <v>0</v>
      </c>
      <c r="QOD77" s="223">
        <f xml:space="preserve"> InputsTS!QOD$184</f>
        <v>0</v>
      </c>
      <c r="QOE77" s="223">
        <f xml:space="preserve"> InputsTS!QOE$184</f>
        <v>0</v>
      </c>
      <c r="QOF77" s="223">
        <f xml:space="preserve"> InputsTS!QOF$184</f>
        <v>0</v>
      </c>
      <c r="QOG77" s="223">
        <f xml:space="preserve"> InputsTS!QOG$184</f>
        <v>0</v>
      </c>
      <c r="QOH77" s="223">
        <f xml:space="preserve"> InputsTS!QOH$184</f>
        <v>0</v>
      </c>
      <c r="QOI77" s="223">
        <f xml:space="preserve"> InputsTS!QOI$184</f>
        <v>0</v>
      </c>
      <c r="QOJ77" s="223">
        <f xml:space="preserve"> InputsTS!QOJ$184</f>
        <v>0</v>
      </c>
      <c r="QOK77" s="223">
        <f xml:space="preserve"> InputsTS!QOK$184</f>
        <v>0</v>
      </c>
      <c r="QOL77" s="223">
        <f xml:space="preserve"> InputsTS!QOL$184</f>
        <v>0</v>
      </c>
      <c r="QOM77" s="223">
        <f xml:space="preserve"> InputsTS!QOM$184</f>
        <v>0</v>
      </c>
      <c r="QON77" s="223">
        <f xml:space="preserve"> InputsTS!QON$184</f>
        <v>0</v>
      </c>
      <c r="QOO77" s="223">
        <f xml:space="preserve"> InputsTS!QOO$184</f>
        <v>0</v>
      </c>
      <c r="QOP77" s="223">
        <f xml:space="preserve"> InputsTS!QOP$184</f>
        <v>0</v>
      </c>
      <c r="QOQ77" s="223">
        <f xml:space="preserve"> InputsTS!QOQ$184</f>
        <v>0</v>
      </c>
      <c r="QOR77" s="223">
        <f xml:space="preserve"> InputsTS!QOR$184</f>
        <v>0</v>
      </c>
      <c r="QOS77" s="223">
        <f xml:space="preserve"> InputsTS!QOS$184</f>
        <v>0</v>
      </c>
      <c r="QOT77" s="223">
        <f xml:space="preserve"> InputsTS!QOT$184</f>
        <v>0</v>
      </c>
      <c r="QOU77" s="223">
        <f xml:space="preserve"> InputsTS!QOU$184</f>
        <v>0</v>
      </c>
      <c r="QOV77" s="223">
        <f xml:space="preserve"> InputsTS!QOV$184</f>
        <v>0</v>
      </c>
      <c r="QOW77" s="223">
        <f xml:space="preserve"> InputsTS!QOW$184</f>
        <v>0</v>
      </c>
      <c r="QOX77" s="223">
        <f xml:space="preserve"> InputsTS!QOX$184</f>
        <v>0</v>
      </c>
      <c r="QOY77" s="223">
        <f xml:space="preserve"> InputsTS!QOY$184</f>
        <v>0</v>
      </c>
      <c r="QOZ77" s="223">
        <f xml:space="preserve"> InputsTS!QOZ$184</f>
        <v>0</v>
      </c>
      <c r="QPA77" s="223">
        <f xml:space="preserve"> InputsTS!QPA$184</f>
        <v>0</v>
      </c>
      <c r="QPB77" s="223">
        <f xml:space="preserve"> InputsTS!QPB$184</f>
        <v>0</v>
      </c>
      <c r="QPC77" s="223">
        <f xml:space="preserve"> InputsTS!QPC$184</f>
        <v>0</v>
      </c>
      <c r="QPD77" s="223">
        <f xml:space="preserve"> InputsTS!QPD$184</f>
        <v>0</v>
      </c>
      <c r="QPE77" s="223">
        <f xml:space="preserve"> InputsTS!QPE$184</f>
        <v>0</v>
      </c>
      <c r="QPF77" s="223">
        <f xml:space="preserve"> InputsTS!QPF$184</f>
        <v>0</v>
      </c>
      <c r="QPG77" s="223">
        <f xml:space="preserve"> InputsTS!QPG$184</f>
        <v>0</v>
      </c>
      <c r="QPH77" s="223">
        <f xml:space="preserve"> InputsTS!QPH$184</f>
        <v>0</v>
      </c>
      <c r="QPI77" s="223">
        <f xml:space="preserve"> InputsTS!QPI$184</f>
        <v>0</v>
      </c>
      <c r="QPJ77" s="223">
        <f xml:space="preserve"> InputsTS!QPJ$184</f>
        <v>0</v>
      </c>
      <c r="QPK77" s="223">
        <f xml:space="preserve"> InputsTS!QPK$184</f>
        <v>0</v>
      </c>
      <c r="QPL77" s="223">
        <f xml:space="preserve"> InputsTS!QPL$184</f>
        <v>0</v>
      </c>
      <c r="QPM77" s="223">
        <f xml:space="preserve"> InputsTS!QPM$184</f>
        <v>0</v>
      </c>
      <c r="QPN77" s="223">
        <f xml:space="preserve"> InputsTS!QPN$184</f>
        <v>0</v>
      </c>
      <c r="QPO77" s="223">
        <f xml:space="preserve"> InputsTS!QPO$184</f>
        <v>0</v>
      </c>
      <c r="QPP77" s="223">
        <f xml:space="preserve"> InputsTS!QPP$184</f>
        <v>0</v>
      </c>
      <c r="QPQ77" s="223">
        <f xml:space="preserve"> InputsTS!QPQ$184</f>
        <v>0</v>
      </c>
      <c r="QPR77" s="223">
        <f xml:space="preserve"> InputsTS!QPR$184</f>
        <v>0</v>
      </c>
      <c r="QPS77" s="223">
        <f xml:space="preserve"> InputsTS!QPS$184</f>
        <v>0</v>
      </c>
      <c r="QPT77" s="223">
        <f xml:space="preserve"> InputsTS!QPT$184</f>
        <v>0</v>
      </c>
      <c r="QPU77" s="223">
        <f xml:space="preserve"> InputsTS!QPU$184</f>
        <v>0</v>
      </c>
      <c r="QPV77" s="223">
        <f xml:space="preserve"> InputsTS!QPV$184</f>
        <v>0</v>
      </c>
      <c r="QPW77" s="223">
        <f xml:space="preserve"> InputsTS!QPW$184</f>
        <v>0</v>
      </c>
      <c r="QPX77" s="223">
        <f xml:space="preserve"> InputsTS!QPX$184</f>
        <v>0</v>
      </c>
      <c r="QPY77" s="223">
        <f xml:space="preserve"> InputsTS!QPY$184</f>
        <v>0</v>
      </c>
      <c r="QPZ77" s="223">
        <f xml:space="preserve"> InputsTS!QPZ$184</f>
        <v>0</v>
      </c>
      <c r="QQA77" s="223">
        <f xml:space="preserve"> InputsTS!QQA$184</f>
        <v>0</v>
      </c>
      <c r="QQB77" s="223">
        <f xml:space="preserve"> InputsTS!QQB$184</f>
        <v>0</v>
      </c>
      <c r="QQC77" s="223">
        <f xml:space="preserve"> InputsTS!QQC$184</f>
        <v>0</v>
      </c>
      <c r="QQD77" s="223">
        <f xml:space="preserve"> InputsTS!QQD$184</f>
        <v>0</v>
      </c>
      <c r="QQE77" s="223">
        <f xml:space="preserve"> InputsTS!QQE$184</f>
        <v>0</v>
      </c>
      <c r="QQF77" s="223">
        <f xml:space="preserve"> InputsTS!QQF$184</f>
        <v>0</v>
      </c>
      <c r="QQG77" s="223">
        <f xml:space="preserve"> InputsTS!QQG$184</f>
        <v>0</v>
      </c>
      <c r="QQH77" s="223">
        <f xml:space="preserve"> InputsTS!QQH$184</f>
        <v>0</v>
      </c>
      <c r="QQI77" s="223">
        <f xml:space="preserve"> InputsTS!QQI$184</f>
        <v>0</v>
      </c>
      <c r="QQJ77" s="223">
        <f xml:space="preserve"> InputsTS!QQJ$184</f>
        <v>0</v>
      </c>
      <c r="QQK77" s="223">
        <f xml:space="preserve"> InputsTS!QQK$184</f>
        <v>0</v>
      </c>
      <c r="QQL77" s="223">
        <f xml:space="preserve"> InputsTS!QQL$184</f>
        <v>0</v>
      </c>
      <c r="QQM77" s="223">
        <f xml:space="preserve"> InputsTS!QQM$184</f>
        <v>0</v>
      </c>
      <c r="QQN77" s="223">
        <f xml:space="preserve"> InputsTS!QQN$184</f>
        <v>0</v>
      </c>
      <c r="QQO77" s="223">
        <f xml:space="preserve"> InputsTS!QQO$184</f>
        <v>0</v>
      </c>
      <c r="QQP77" s="223">
        <f xml:space="preserve"> InputsTS!QQP$184</f>
        <v>0</v>
      </c>
      <c r="QQQ77" s="223">
        <f xml:space="preserve"> InputsTS!QQQ$184</f>
        <v>0</v>
      </c>
      <c r="QQR77" s="223">
        <f xml:space="preserve"> InputsTS!QQR$184</f>
        <v>0</v>
      </c>
      <c r="QQS77" s="223">
        <f xml:space="preserve"> InputsTS!QQS$184</f>
        <v>0</v>
      </c>
      <c r="QQT77" s="223">
        <f xml:space="preserve"> InputsTS!QQT$184</f>
        <v>0</v>
      </c>
      <c r="QQU77" s="223">
        <f xml:space="preserve"> InputsTS!QQU$184</f>
        <v>0</v>
      </c>
      <c r="QQV77" s="223">
        <f xml:space="preserve"> InputsTS!QQV$184</f>
        <v>0</v>
      </c>
      <c r="QQW77" s="223">
        <f xml:space="preserve"> InputsTS!QQW$184</f>
        <v>0</v>
      </c>
      <c r="QQX77" s="223">
        <f xml:space="preserve"> InputsTS!QQX$184</f>
        <v>0</v>
      </c>
      <c r="QQY77" s="223">
        <f xml:space="preserve"> InputsTS!QQY$184</f>
        <v>0</v>
      </c>
      <c r="QQZ77" s="223">
        <f xml:space="preserve"> InputsTS!QQZ$184</f>
        <v>0</v>
      </c>
      <c r="QRA77" s="223">
        <f xml:space="preserve"> InputsTS!QRA$184</f>
        <v>0</v>
      </c>
      <c r="QRB77" s="223">
        <f xml:space="preserve"> InputsTS!QRB$184</f>
        <v>0</v>
      </c>
      <c r="QRC77" s="223">
        <f xml:space="preserve"> InputsTS!QRC$184</f>
        <v>0</v>
      </c>
      <c r="QRD77" s="223">
        <f xml:space="preserve"> InputsTS!QRD$184</f>
        <v>0</v>
      </c>
      <c r="QRE77" s="223">
        <f xml:space="preserve"> InputsTS!QRE$184</f>
        <v>0</v>
      </c>
      <c r="QRF77" s="223">
        <f xml:space="preserve"> InputsTS!QRF$184</f>
        <v>0</v>
      </c>
      <c r="QRG77" s="223">
        <f xml:space="preserve"> InputsTS!QRG$184</f>
        <v>0</v>
      </c>
      <c r="QRH77" s="223">
        <f xml:space="preserve"> InputsTS!QRH$184</f>
        <v>0</v>
      </c>
      <c r="QRI77" s="223">
        <f xml:space="preserve"> InputsTS!QRI$184</f>
        <v>0</v>
      </c>
      <c r="QRJ77" s="223">
        <f xml:space="preserve"> InputsTS!QRJ$184</f>
        <v>0</v>
      </c>
      <c r="QRK77" s="223">
        <f xml:space="preserve"> InputsTS!QRK$184</f>
        <v>0</v>
      </c>
      <c r="QRL77" s="223">
        <f xml:space="preserve"> InputsTS!QRL$184</f>
        <v>0</v>
      </c>
      <c r="QRM77" s="223">
        <f xml:space="preserve"> InputsTS!QRM$184</f>
        <v>0</v>
      </c>
      <c r="QRN77" s="223">
        <f xml:space="preserve"> InputsTS!QRN$184</f>
        <v>0</v>
      </c>
      <c r="QRO77" s="223">
        <f xml:space="preserve"> InputsTS!QRO$184</f>
        <v>0</v>
      </c>
      <c r="QRP77" s="223">
        <f xml:space="preserve"> InputsTS!QRP$184</f>
        <v>0</v>
      </c>
      <c r="QRQ77" s="223">
        <f xml:space="preserve"> InputsTS!QRQ$184</f>
        <v>0</v>
      </c>
      <c r="QRR77" s="223">
        <f xml:space="preserve"> InputsTS!QRR$184</f>
        <v>0</v>
      </c>
      <c r="QRS77" s="223">
        <f xml:space="preserve"> InputsTS!QRS$184</f>
        <v>0</v>
      </c>
      <c r="QRT77" s="223">
        <f xml:space="preserve"> InputsTS!QRT$184</f>
        <v>0</v>
      </c>
      <c r="QRU77" s="223">
        <f xml:space="preserve"> InputsTS!QRU$184</f>
        <v>0</v>
      </c>
      <c r="QRV77" s="223">
        <f xml:space="preserve"> InputsTS!QRV$184</f>
        <v>0</v>
      </c>
      <c r="QRW77" s="223">
        <f xml:space="preserve"> InputsTS!QRW$184</f>
        <v>0</v>
      </c>
      <c r="QRX77" s="223">
        <f xml:space="preserve"> InputsTS!QRX$184</f>
        <v>0</v>
      </c>
      <c r="QRY77" s="223">
        <f xml:space="preserve"> InputsTS!QRY$184</f>
        <v>0</v>
      </c>
      <c r="QRZ77" s="223">
        <f xml:space="preserve"> InputsTS!QRZ$184</f>
        <v>0</v>
      </c>
      <c r="QSA77" s="223">
        <f xml:space="preserve"> InputsTS!QSA$184</f>
        <v>0</v>
      </c>
      <c r="QSB77" s="223">
        <f xml:space="preserve"> InputsTS!QSB$184</f>
        <v>0</v>
      </c>
      <c r="QSC77" s="223">
        <f xml:space="preserve"> InputsTS!QSC$184</f>
        <v>0</v>
      </c>
      <c r="QSD77" s="223">
        <f xml:space="preserve"> InputsTS!QSD$184</f>
        <v>0</v>
      </c>
      <c r="QSE77" s="223">
        <f xml:space="preserve"> InputsTS!QSE$184</f>
        <v>0</v>
      </c>
      <c r="QSF77" s="223">
        <f xml:space="preserve"> InputsTS!QSF$184</f>
        <v>0</v>
      </c>
      <c r="QSG77" s="223">
        <f xml:space="preserve"> InputsTS!QSG$184</f>
        <v>0</v>
      </c>
      <c r="QSH77" s="223">
        <f xml:space="preserve"> InputsTS!QSH$184</f>
        <v>0</v>
      </c>
      <c r="QSI77" s="223">
        <f xml:space="preserve"> InputsTS!QSI$184</f>
        <v>0</v>
      </c>
      <c r="QSJ77" s="223">
        <f xml:space="preserve"> InputsTS!QSJ$184</f>
        <v>0</v>
      </c>
      <c r="QSK77" s="223">
        <f xml:space="preserve"> InputsTS!QSK$184</f>
        <v>0</v>
      </c>
      <c r="QSL77" s="223">
        <f xml:space="preserve"> InputsTS!QSL$184</f>
        <v>0</v>
      </c>
      <c r="QSM77" s="223">
        <f xml:space="preserve"> InputsTS!QSM$184</f>
        <v>0</v>
      </c>
      <c r="QSN77" s="223">
        <f xml:space="preserve"> InputsTS!QSN$184</f>
        <v>0</v>
      </c>
      <c r="QSO77" s="223">
        <f xml:space="preserve"> InputsTS!QSO$184</f>
        <v>0</v>
      </c>
      <c r="QSP77" s="223">
        <f xml:space="preserve"> InputsTS!QSP$184</f>
        <v>0</v>
      </c>
      <c r="QSQ77" s="223">
        <f xml:space="preserve"> InputsTS!QSQ$184</f>
        <v>0</v>
      </c>
      <c r="QSR77" s="223">
        <f xml:space="preserve"> InputsTS!QSR$184</f>
        <v>0</v>
      </c>
      <c r="QSS77" s="223">
        <f xml:space="preserve"> InputsTS!QSS$184</f>
        <v>0</v>
      </c>
      <c r="QST77" s="223">
        <f xml:space="preserve"> InputsTS!QST$184</f>
        <v>0</v>
      </c>
      <c r="QSU77" s="223">
        <f xml:space="preserve"> InputsTS!QSU$184</f>
        <v>0</v>
      </c>
      <c r="QSV77" s="223">
        <f xml:space="preserve"> InputsTS!QSV$184</f>
        <v>0</v>
      </c>
      <c r="QSW77" s="223">
        <f xml:space="preserve"> InputsTS!QSW$184</f>
        <v>0</v>
      </c>
      <c r="QSX77" s="223">
        <f xml:space="preserve"> InputsTS!QSX$184</f>
        <v>0</v>
      </c>
      <c r="QSY77" s="223">
        <f xml:space="preserve"> InputsTS!QSY$184</f>
        <v>0</v>
      </c>
      <c r="QSZ77" s="223">
        <f xml:space="preserve"> InputsTS!QSZ$184</f>
        <v>0</v>
      </c>
      <c r="QTA77" s="223">
        <f xml:space="preserve"> InputsTS!QTA$184</f>
        <v>0</v>
      </c>
      <c r="QTB77" s="223">
        <f xml:space="preserve"> InputsTS!QTB$184</f>
        <v>0</v>
      </c>
      <c r="QTC77" s="223">
        <f xml:space="preserve"> InputsTS!QTC$184</f>
        <v>0</v>
      </c>
      <c r="QTD77" s="223">
        <f xml:space="preserve"> InputsTS!QTD$184</f>
        <v>0</v>
      </c>
      <c r="QTE77" s="223">
        <f xml:space="preserve"> InputsTS!QTE$184</f>
        <v>0</v>
      </c>
      <c r="QTF77" s="223">
        <f xml:space="preserve"> InputsTS!QTF$184</f>
        <v>0</v>
      </c>
      <c r="QTG77" s="223">
        <f xml:space="preserve"> InputsTS!QTG$184</f>
        <v>0</v>
      </c>
      <c r="QTH77" s="223">
        <f xml:space="preserve"> InputsTS!QTH$184</f>
        <v>0</v>
      </c>
      <c r="QTI77" s="223">
        <f xml:space="preserve"> InputsTS!QTI$184</f>
        <v>0</v>
      </c>
      <c r="QTJ77" s="223">
        <f xml:space="preserve"> InputsTS!QTJ$184</f>
        <v>0</v>
      </c>
      <c r="QTK77" s="223">
        <f xml:space="preserve"> InputsTS!QTK$184</f>
        <v>0</v>
      </c>
      <c r="QTL77" s="223">
        <f xml:space="preserve"> InputsTS!QTL$184</f>
        <v>0</v>
      </c>
      <c r="QTM77" s="223">
        <f xml:space="preserve"> InputsTS!QTM$184</f>
        <v>0</v>
      </c>
      <c r="QTN77" s="223">
        <f xml:space="preserve"> InputsTS!QTN$184</f>
        <v>0</v>
      </c>
      <c r="QTO77" s="223">
        <f xml:space="preserve"> InputsTS!QTO$184</f>
        <v>0</v>
      </c>
      <c r="QTP77" s="223">
        <f xml:space="preserve"> InputsTS!QTP$184</f>
        <v>0</v>
      </c>
      <c r="QTQ77" s="223">
        <f xml:space="preserve"> InputsTS!QTQ$184</f>
        <v>0</v>
      </c>
      <c r="QTR77" s="223">
        <f xml:space="preserve"> InputsTS!QTR$184</f>
        <v>0</v>
      </c>
      <c r="QTS77" s="223">
        <f xml:space="preserve"> InputsTS!QTS$184</f>
        <v>0</v>
      </c>
      <c r="QTT77" s="223">
        <f xml:space="preserve"> InputsTS!QTT$184</f>
        <v>0</v>
      </c>
      <c r="QTU77" s="223">
        <f xml:space="preserve"> InputsTS!QTU$184</f>
        <v>0</v>
      </c>
      <c r="QTV77" s="223">
        <f xml:space="preserve"> InputsTS!QTV$184</f>
        <v>0</v>
      </c>
      <c r="QTW77" s="223">
        <f xml:space="preserve"> InputsTS!QTW$184</f>
        <v>0</v>
      </c>
      <c r="QTX77" s="223">
        <f xml:space="preserve"> InputsTS!QTX$184</f>
        <v>0</v>
      </c>
      <c r="QTY77" s="223">
        <f xml:space="preserve"> InputsTS!QTY$184</f>
        <v>0</v>
      </c>
      <c r="QTZ77" s="223">
        <f xml:space="preserve"> InputsTS!QTZ$184</f>
        <v>0</v>
      </c>
      <c r="QUA77" s="223">
        <f xml:space="preserve"> InputsTS!QUA$184</f>
        <v>0</v>
      </c>
      <c r="QUB77" s="223">
        <f xml:space="preserve"> InputsTS!QUB$184</f>
        <v>0</v>
      </c>
      <c r="QUC77" s="223">
        <f xml:space="preserve"> InputsTS!QUC$184</f>
        <v>0</v>
      </c>
      <c r="QUD77" s="223">
        <f xml:space="preserve"> InputsTS!QUD$184</f>
        <v>0</v>
      </c>
      <c r="QUE77" s="223">
        <f xml:space="preserve"> InputsTS!QUE$184</f>
        <v>0</v>
      </c>
      <c r="QUF77" s="223">
        <f xml:space="preserve"> InputsTS!QUF$184</f>
        <v>0</v>
      </c>
      <c r="QUG77" s="223">
        <f xml:space="preserve"> InputsTS!QUG$184</f>
        <v>0</v>
      </c>
      <c r="QUH77" s="223">
        <f xml:space="preserve"> InputsTS!QUH$184</f>
        <v>0</v>
      </c>
      <c r="QUI77" s="223">
        <f xml:space="preserve"> InputsTS!QUI$184</f>
        <v>0</v>
      </c>
      <c r="QUJ77" s="223">
        <f xml:space="preserve"> InputsTS!QUJ$184</f>
        <v>0</v>
      </c>
      <c r="QUK77" s="223">
        <f xml:space="preserve"> InputsTS!QUK$184</f>
        <v>0</v>
      </c>
      <c r="QUL77" s="223">
        <f xml:space="preserve"> InputsTS!QUL$184</f>
        <v>0</v>
      </c>
      <c r="QUM77" s="223">
        <f xml:space="preserve"> InputsTS!QUM$184</f>
        <v>0</v>
      </c>
      <c r="QUN77" s="223">
        <f xml:space="preserve"> InputsTS!QUN$184</f>
        <v>0</v>
      </c>
      <c r="QUO77" s="223">
        <f xml:space="preserve"> InputsTS!QUO$184</f>
        <v>0</v>
      </c>
      <c r="QUP77" s="223">
        <f xml:space="preserve"> InputsTS!QUP$184</f>
        <v>0</v>
      </c>
      <c r="QUQ77" s="223">
        <f xml:space="preserve"> InputsTS!QUQ$184</f>
        <v>0</v>
      </c>
      <c r="QUR77" s="223">
        <f xml:space="preserve"> InputsTS!QUR$184</f>
        <v>0</v>
      </c>
      <c r="QUS77" s="223">
        <f xml:space="preserve"> InputsTS!QUS$184</f>
        <v>0</v>
      </c>
      <c r="QUT77" s="223">
        <f xml:space="preserve"> InputsTS!QUT$184</f>
        <v>0</v>
      </c>
      <c r="QUU77" s="223">
        <f xml:space="preserve"> InputsTS!QUU$184</f>
        <v>0</v>
      </c>
      <c r="QUV77" s="223">
        <f xml:space="preserve"> InputsTS!QUV$184</f>
        <v>0</v>
      </c>
      <c r="QUW77" s="223">
        <f xml:space="preserve"> InputsTS!QUW$184</f>
        <v>0</v>
      </c>
      <c r="QUX77" s="223">
        <f xml:space="preserve"> InputsTS!QUX$184</f>
        <v>0</v>
      </c>
      <c r="QUY77" s="223">
        <f xml:space="preserve"> InputsTS!QUY$184</f>
        <v>0</v>
      </c>
      <c r="QUZ77" s="223">
        <f xml:space="preserve"> InputsTS!QUZ$184</f>
        <v>0</v>
      </c>
      <c r="QVA77" s="223">
        <f xml:space="preserve"> InputsTS!QVA$184</f>
        <v>0</v>
      </c>
      <c r="QVB77" s="223">
        <f xml:space="preserve"> InputsTS!QVB$184</f>
        <v>0</v>
      </c>
      <c r="QVC77" s="223">
        <f xml:space="preserve"> InputsTS!QVC$184</f>
        <v>0</v>
      </c>
      <c r="QVD77" s="223">
        <f xml:space="preserve"> InputsTS!QVD$184</f>
        <v>0</v>
      </c>
      <c r="QVE77" s="223">
        <f xml:space="preserve"> InputsTS!QVE$184</f>
        <v>0</v>
      </c>
      <c r="QVF77" s="223">
        <f xml:space="preserve"> InputsTS!QVF$184</f>
        <v>0</v>
      </c>
      <c r="QVG77" s="223">
        <f xml:space="preserve"> InputsTS!QVG$184</f>
        <v>0</v>
      </c>
      <c r="QVH77" s="223">
        <f xml:space="preserve"> InputsTS!QVH$184</f>
        <v>0</v>
      </c>
      <c r="QVI77" s="223">
        <f xml:space="preserve"> InputsTS!QVI$184</f>
        <v>0</v>
      </c>
      <c r="QVJ77" s="223">
        <f xml:space="preserve"> InputsTS!QVJ$184</f>
        <v>0</v>
      </c>
      <c r="QVK77" s="223">
        <f xml:space="preserve"> InputsTS!QVK$184</f>
        <v>0</v>
      </c>
      <c r="QVL77" s="223">
        <f xml:space="preserve"> InputsTS!QVL$184</f>
        <v>0</v>
      </c>
      <c r="QVM77" s="223">
        <f xml:space="preserve"> InputsTS!QVM$184</f>
        <v>0</v>
      </c>
      <c r="QVN77" s="223">
        <f xml:space="preserve"> InputsTS!QVN$184</f>
        <v>0</v>
      </c>
      <c r="QVO77" s="223">
        <f xml:space="preserve"> InputsTS!QVO$184</f>
        <v>0</v>
      </c>
      <c r="QVP77" s="223">
        <f xml:space="preserve"> InputsTS!QVP$184</f>
        <v>0</v>
      </c>
      <c r="QVQ77" s="223">
        <f xml:space="preserve"> InputsTS!QVQ$184</f>
        <v>0</v>
      </c>
      <c r="QVR77" s="223">
        <f xml:space="preserve"> InputsTS!QVR$184</f>
        <v>0</v>
      </c>
      <c r="QVS77" s="223">
        <f xml:space="preserve"> InputsTS!QVS$184</f>
        <v>0</v>
      </c>
      <c r="QVT77" s="223">
        <f xml:space="preserve"> InputsTS!QVT$184</f>
        <v>0</v>
      </c>
      <c r="QVU77" s="223">
        <f xml:space="preserve"> InputsTS!QVU$184</f>
        <v>0</v>
      </c>
      <c r="QVV77" s="223">
        <f xml:space="preserve"> InputsTS!QVV$184</f>
        <v>0</v>
      </c>
      <c r="QVW77" s="223">
        <f xml:space="preserve"> InputsTS!QVW$184</f>
        <v>0</v>
      </c>
      <c r="QVX77" s="223">
        <f xml:space="preserve"> InputsTS!QVX$184</f>
        <v>0</v>
      </c>
      <c r="QVY77" s="223">
        <f xml:space="preserve"> InputsTS!QVY$184</f>
        <v>0</v>
      </c>
      <c r="QVZ77" s="223">
        <f xml:space="preserve"> InputsTS!QVZ$184</f>
        <v>0</v>
      </c>
      <c r="QWA77" s="223">
        <f xml:space="preserve"> InputsTS!QWA$184</f>
        <v>0</v>
      </c>
      <c r="QWB77" s="223">
        <f xml:space="preserve"> InputsTS!QWB$184</f>
        <v>0</v>
      </c>
      <c r="QWC77" s="223">
        <f xml:space="preserve"> InputsTS!QWC$184</f>
        <v>0</v>
      </c>
      <c r="QWD77" s="223">
        <f xml:space="preserve"> InputsTS!QWD$184</f>
        <v>0</v>
      </c>
      <c r="QWE77" s="223">
        <f xml:space="preserve"> InputsTS!QWE$184</f>
        <v>0</v>
      </c>
      <c r="QWF77" s="223">
        <f xml:space="preserve"> InputsTS!QWF$184</f>
        <v>0</v>
      </c>
      <c r="QWG77" s="223">
        <f xml:space="preserve"> InputsTS!QWG$184</f>
        <v>0</v>
      </c>
      <c r="QWH77" s="223">
        <f xml:space="preserve"> InputsTS!QWH$184</f>
        <v>0</v>
      </c>
      <c r="QWI77" s="223">
        <f xml:space="preserve"> InputsTS!QWI$184</f>
        <v>0</v>
      </c>
      <c r="QWJ77" s="223">
        <f xml:space="preserve"> InputsTS!QWJ$184</f>
        <v>0</v>
      </c>
      <c r="QWK77" s="223">
        <f xml:space="preserve"> InputsTS!QWK$184</f>
        <v>0</v>
      </c>
      <c r="QWL77" s="223">
        <f xml:space="preserve"> InputsTS!QWL$184</f>
        <v>0</v>
      </c>
      <c r="QWM77" s="223">
        <f xml:space="preserve"> InputsTS!QWM$184</f>
        <v>0</v>
      </c>
      <c r="QWN77" s="223">
        <f xml:space="preserve"> InputsTS!QWN$184</f>
        <v>0</v>
      </c>
      <c r="QWO77" s="223">
        <f xml:space="preserve"> InputsTS!QWO$184</f>
        <v>0</v>
      </c>
      <c r="QWP77" s="223">
        <f xml:space="preserve"> InputsTS!QWP$184</f>
        <v>0</v>
      </c>
      <c r="QWQ77" s="223">
        <f xml:space="preserve"> InputsTS!QWQ$184</f>
        <v>0</v>
      </c>
      <c r="QWR77" s="223">
        <f xml:space="preserve"> InputsTS!QWR$184</f>
        <v>0</v>
      </c>
      <c r="QWS77" s="223">
        <f xml:space="preserve"> InputsTS!QWS$184</f>
        <v>0</v>
      </c>
      <c r="QWT77" s="223">
        <f xml:space="preserve"> InputsTS!QWT$184</f>
        <v>0</v>
      </c>
      <c r="QWU77" s="223">
        <f xml:space="preserve"> InputsTS!QWU$184</f>
        <v>0</v>
      </c>
      <c r="QWV77" s="223">
        <f xml:space="preserve"> InputsTS!QWV$184</f>
        <v>0</v>
      </c>
      <c r="QWW77" s="223">
        <f xml:space="preserve"> InputsTS!QWW$184</f>
        <v>0</v>
      </c>
      <c r="QWX77" s="223">
        <f xml:space="preserve"> InputsTS!QWX$184</f>
        <v>0</v>
      </c>
      <c r="QWY77" s="223">
        <f xml:space="preserve"> InputsTS!QWY$184</f>
        <v>0</v>
      </c>
      <c r="QWZ77" s="223">
        <f xml:space="preserve"> InputsTS!QWZ$184</f>
        <v>0</v>
      </c>
      <c r="QXA77" s="223">
        <f xml:space="preserve"> InputsTS!QXA$184</f>
        <v>0</v>
      </c>
      <c r="QXB77" s="223">
        <f xml:space="preserve"> InputsTS!QXB$184</f>
        <v>0</v>
      </c>
      <c r="QXC77" s="223">
        <f xml:space="preserve"> InputsTS!QXC$184</f>
        <v>0</v>
      </c>
      <c r="QXD77" s="223">
        <f xml:space="preserve"> InputsTS!QXD$184</f>
        <v>0</v>
      </c>
      <c r="QXE77" s="223">
        <f xml:space="preserve"> InputsTS!QXE$184</f>
        <v>0</v>
      </c>
      <c r="QXF77" s="223">
        <f xml:space="preserve"> InputsTS!QXF$184</f>
        <v>0</v>
      </c>
      <c r="QXG77" s="223">
        <f xml:space="preserve"> InputsTS!QXG$184</f>
        <v>0</v>
      </c>
      <c r="QXH77" s="223">
        <f xml:space="preserve"> InputsTS!QXH$184</f>
        <v>0</v>
      </c>
      <c r="QXI77" s="223">
        <f xml:space="preserve"> InputsTS!QXI$184</f>
        <v>0</v>
      </c>
      <c r="QXJ77" s="223">
        <f xml:space="preserve"> InputsTS!QXJ$184</f>
        <v>0</v>
      </c>
      <c r="QXK77" s="223">
        <f xml:space="preserve"> InputsTS!QXK$184</f>
        <v>0</v>
      </c>
      <c r="QXL77" s="223">
        <f xml:space="preserve"> InputsTS!QXL$184</f>
        <v>0</v>
      </c>
      <c r="QXM77" s="223">
        <f xml:space="preserve"> InputsTS!QXM$184</f>
        <v>0</v>
      </c>
      <c r="QXN77" s="223">
        <f xml:space="preserve"> InputsTS!QXN$184</f>
        <v>0</v>
      </c>
      <c r="QXO77" s="223">
        <f xml:space="preserve"> InputsTS!QXO$184</f>
        <v>0</v>
      </c>
      <c r="QXP77" s="223">
        <f xml:space="preserve"> InputsTS!QXP$184</f>
        <v>0</v>
      </c>
      <c r="QXQ77" s="223">
        <f xml:space="preserve"> InputsTS!QXQ$184</f>
        <v>0</v>
      </c>
      <c r="QXR77" s="223">
        <f xml:space="preserve"> InputsTS!QXR$184</f>
        <v>0</v>
      </c>
      <c r="QXS77" s="223">
        <f xml:space="preserve"> InputsTS!QXS$184</f>
        <v>0</v>
      </c>
      <c r="QXT77" s="223">
        <f xml:space="preserve"> InputsTS!QXT$184</f>
        <v>0</v>
      </c>
      <c r="QXU77" s="223">
        <f xml:space="preserve"> InputsTS!QXU$184</f>
        <v>0</v>
      </c>
      <c r="QXV77" s="223">
        <f xml:space="preserve"> InputsTS!QXV$184</f>
        <v>0</v>
      </c>
      <c r="QXW77" s="223">
        <f xml:space="preserve"> InputsTS!QXW$184</f>
        <v>0</v>
      </c>
      <c r="QXX77" s="223">
        <f xml:space="preserve"> InputsTS!QXX$184</f>
        <v>0</v>
      </c>
      <c r="QXY77" s="223">
        <f xml:space="preserve"> InputsTS!QXY$184</f>
        <v>0</v>
      </c>
      <c r="QXZ77" s="223">
        <f xml:space="preserve"> InputsTS!QXZ$184</f>
        <v>0</v>
      </c>
      <c r="QYA77" s="223">
        <f xml:space="preserve"> InputsTS!QYA$184</f>
        <v>0</v>
      </c>
      <c r="QYB77" s="223">
        <f xml:space="preserve"> InputsTS!QYB$184</f>
        <v>0</v>
      </c>
      <c r="QYC77" s="223">
        <f xml:space="preserve"> InputsTS!QYC$184</f>
        <v>0</v>
      </c>
      <c r="QYD77" s="223">
        <f xml:space="preserve"> InputsTS!QYD$184</f>
        <v>0</v>
      </c>
      <c r="QYE77" s="223">
        <f xml:space="preserve"> InputsTS!QYE$184</f>
        <v>0</v>
      </c>
      <c r="QYF77" s="223">
        <f xml:space="preserve"> InputsTS!QYF$184</f>
        <v>0</v>
      </c>
      <c r="QYG77" s="223">
        <f xml:space="preserve"> InputsTS!QYG$184</f>
        <v>0</v>
      </c>
      <c r="QYH77" s="223">
        <f xml:space="preserve"> InputsTS!QYH$184</f>
        <v>0</v>
      </c>
      <c r="QYI77" s="223">
        <f xml:space="preserve"> InputsTS!QYI$184</f>
        <v>0</v>
      </c>
      <c r="QYJ77" s="223">
        <f xml:space="preserve"> InputsTS!QYJ$184</f>
        <v>0</v>
      </c>
      <c r="QYK77" s="223">
        <f xml:space="preserve"> InputsTS!QYK$184</f>
        <v>0</v>
      </c>
      <c r="QYL77" s="223">
        <f xml:space="preserve"> InputsTS!QYL$184</f>
        <v>0</v>
      </c>
      <c r="QYM77" s="223">
        <f xml:space="preserve"> InputsTS!QYM$184</f>
        <v>0</v>
      </c>
      <c r="QYN77" s="223">
        <f xml:space="preserve"> InputsTS!QYN$184</f>
        <v>0</v>
      </c>
      <c r="QYO77" s="223">
        <f xml:space="preserve"> InputsTS!QYO$184</f>
        <v>0</v>
      </c>
      <c r="QYP77" s="223">
        <f xml:space="preserve"> InputsTS!QYP$184</f>
        <v>0</v>
      </c>
      <c r="QYQ77" s="223">
        <f xml:space="preserve"> InputsTS!QYQ$184</f>
        <v>0</v>
      </c>
      <c r="QYR77" s="223">
        <f xml:space="preserve"> InputsTS!QYR$184</f>
        <v>0</v>
      </c>
      <c r="QYS77" s="223">
        <f xml:space="preserve"> InputsTS!QYS$184</f>
        <v>0</v>
      </c>
      <c r="QYT77" s="223">
        <f xml:space="preserve"> InputsTS!QYT$184</f>
        <v>0</v>
      </c>
      <c r="QYU77" s="223">
        <f xml:space="preserve"> InputsTS!QYU$184</f>
        <v>0</v>
      </c>
      <c r="QYV77" s="223">
        <f xml:space="preserve"> InputsTS!QYV$184</f>
        <v>0</v>
      </c>
      <c r="QYW77" s="223">
        <f xml:space="preserve"> InputsTS!QYW$184</f>
        <v>0</v>
      </c>
      <c r="QYX77" s="223">
        <f xml:space="preserve"> InputsTS!QYX$184</f>
        <v>0</v>
      </c>
      <c r="QYY77" s="223">
        <f xml:space="preserve"> InputsTS!QYY$184</f>
        <v>0</v>
      </c>
      <c r="QYZ77" s="223">
        <f xml:space="preserve"> InputsTS!QYZ$184</f>
        <v>0</v>
      </c>
      <c r="QZA77" s="223">
        <f xml:space="preserve"> InputsTS!QZA$184</f>
        <v>0</v>
      </c>
      <c r="QZB77" s="223">
        <f xml:space="preserve"> InputsTS!QZB$184</f>
        <v>0</v>
      </c>
      <c r="QZC77" s="223">
        <f xml:space="preserve"> InputsTS!QZC$184</f>
        <v>0</v>
      </c>
      <c r="QZD77" s="223">
        <f xml:space="preserve"> InputsTS!QZD$184</f>
        <v>0</v>
      </c>
      <c r="QZE77" s="223">
        <f xml:space="preserve"> InputsTS!QZE$184</f>
        <v>0</v>
      </c>
      <c r="QZF77" s="223">
        <f xml:space="preserve"> InputsTS!QZF$184</f>
        <v>0</v>
      </c>
      <c r="QZG77" s="223">
        <f xml:space="preserve"> InputsTS!QZG$184</f>
        <v>0</v>
      </c>
      <c r="QZH77" s="223">
        <f xml:space="preserve"> InputsTS!QZH$184</f>
        <v>0</v>
      </c>
      <c r="QZI77" s="223">
        <f xml:space="preserve"> InputsTS!QZI$184</f>
        <v>0</v>
      </c>
      <c r="QZJ77" s="223">
        <f xml:space="preserve"> InputsTS!QZJ$184</f>
        <v>0</v>
      </c>
      <c r="QZK77" s="223">
        <f xml:space="preserve"> InputsTS!QZK$184</f>
        <v>0</v>
      </c>
      <c r="QZL77" s="223">
        <f xml:space="preserve"> InputsTS!QZL$184</f>
        <v>0</v>
      </c>
      <c r="QZM77" s="223">
        <f xml:space="preserve"> InputsTS!QZM$184</f>
        <v>0</v>
      </c>
      <c r="QZN77" s="223">
        <f xml:space="preserve"> InputsTS!QZN$184</f>
        <v>0</v>
      </c>
      <c r="QZO77" s="223">
        <f xml:space="preserve"> InputsTS!QZO$184</f>
        <v>0</v>
      </c>
      <c r="QZP77" s="223">
        <f xml:space="preserve"> InputsTS!QZP$184</f>
        <v>0</v>
      </c>
      <c r="QZQ77" s="223">
        <f xml:space="preserve"> InputsTS!QZQ$184</f>
        <v>0</v>
      </c>
      <c r="QZR77" s="223">
        <f xml:space="preserve"> InputsTS!QZR$184</f>
        <v>0</v>
      </c>
      <c r="QZS77" s="223">
        <f xml:space="preserve"> InputsTS!QZS$184</f>
        <v>0</v>
      </c>
      <c r="QZT77" s="223">
        <f xml:space="preserve"> InputsTS!QZT$184</f>
        <v>0</v>
      </c>
      <c r="QZU77" s="223">
        <f xml:space="preserve"> InputsTS!QZU$184</f>
        <v>0</v>
      </c>
      <c r="QZV77" s="223">
        <f xml:space="preserve"> InputsTS!QZV$184</f>
        <v>0</v>
      </c>
      <c r="QZW77" s="223">
        <f xml:space="preserve"> InputsTS!QZW$184</f>
        <v>0</v>
      </c>
      <c r="QZX77" s="223">
        <f xml:space="preserve"> InputsTS!QZX$184</f>
        <v>0</v>
      </c>
      <c r="QZY77" s="223">
        <f xml:space="preserve"> InputsTS!QZY$184</f>
        <v>0</v>
      </c>
      <c r="QZZ77" s="223">
        <f xml:space="preserve"> InputsTS!QZZ$184</f>
        <v>0</v>
      </c>
      <c r="RAA77" s="223">
        <f xml:space="preserve"> InputsTS!RAA$184</f>
        <v>0</v>
      </c>
      <c r="RAB77" s="223">
        <f xml:space="preserve"> InputsTS!RAB$184</f>
        <v>0</v>
      </c>
      <c r="RAC77" s="223">
        <f xml:space="preserve"> InputsTS!RAC$184</f>
        <v>0</v>
      </c>
      <c r="RAD77" s="223">
        <f xml:space="preserve"> InputsTS!RAD$184</f>
        <v>0</v>
      </c>
      <c r="RAE77" s="223">
        <f xml:space="preserve"> InputsTS!RAE$184</f>
        <v>0</v>
      </c>
      <c r="RAF77" s="223">
        <f xml:space="preserve"> InputsTS!RAF$184</f>
        <v>0</v>
      </c>
      <c r="RAG77" s="223">
        <f xml:space="preserve"> InputsTS!RAG$184</f>
        <v>0</v>
      </c>
      <c r="RAH77" s="223">
        <f xml:space="preserve"> InputsTS!RAH$184</f>
        <v>0</v>
      </c>
      <c r="RAI77" s="223">
        <f xml:space="preserve"> InputsTS!RAI$184</f>
        <v>0</v>
      </c>
      <c r="RAJ77" s="223">
        <f xml:space="preserve"> InputsTS!RAJ$184</f>
        <v>0</v>
      </c>
      <c r="RAK77" s="223">
        <f xml:space="preserve"> InputsTS!RAK$184</f>
        <v>0</v>
      </c>
      <c r="RAL77" s="223">
        <f xml:space="preserve"> InputsTS!RAL$184</f>
        <v>0</v>
      </c>
      <c r="RAM77" s="223">
        <f xml:space="preserve"> InputsTS!RAM$184</f>
        <v>0</v>
      </c>
      <c r="RAN77" s="223">
        <f xml:space="preserve"> InputsTS!RAN$184</f>
        <v>0</v>
      </c>
      <c r="RAO77" s="223">
        <f xml:space="preserve"> InputsTS!RAO$184</f>
        <v>0</v>
      </c>
      <c r="RAP77" s="223">
        <f xml:space="preserve"> InputsTS!RAP$184</f>
        <v>0</v>
      </c>
      <c r="RAQ77" s="223">
        <f xml:space="preserve"> InputsTS!RAQ$184</f>
        <v>0</v>
      </c>
      <c r="RAR77" s="223">
        <f xml:space="preserve"> InputsTS!RAR$184</f>
        <v>0</v>
      </c>
      <c r="RAS77" s="223">
        <f xml:space="preserve"> InputsTS!RAS$184</f>
        <v>0</v>
      </c>
      <c r="RAT77" s="223">
        <f xml:space="preserve"> InputsTS!RAT$184</f>
        <v>0</v>
      </c>
      <c r="RAU77" s="223">
        <f xml:space="preserve"> InputsTS!RAU$184</f>
        <v>0</v>
      </c>
      <c r="RAV77" s="223">
        <f xml:space="preserve"> InputsTS!RAV$184</f>
        <v>0</v>
      </c>
      <c r="RAW77" s="223">
        <f xml:space="preserve"> InputsTS!RAW$184</f>
        <v>0</v>
      </c>
      <c r="RAX77" s="223">
        <f xml:space="preserve"> InputsTS!RAX$184</f>
        <v>0</v>
      </c>
      <c r="RAY77" s="223">
        <f xml:space="preserve"> InputsTS!RAY$184</f>
        <v>0</v>
      </c>
      <c r="RAZ77" s="223">
        <f xml:space="preserve"> InputsTS!RAZ$184</f>
        <v>0</v>
      </c>
      <c r="RBA77" s="223">
        <f xml:space="preserve"> InputsTS!RBA$184</f>
        <v>0</v>
      </c>
      <c r="RBB77" s="223">
        <f xml:space="preserve"> InputsTS!RBB$184</f>
        <v>0</v>
      </c>
      <c r="RBC77" s="223">
        <f xml:space="preserve"> InputsTS!RBC$184</f>
        <v>0</v>
      </c>
      <c r="RBD77" s="223">
        <f xml:space="preserve"> InputsTS!RBD$184</f>
        <v>0</v>
      </c>
      <c r="RBE77" s="223">
        <f xml:space="preserve"> InputsTS!RBE$184</f>
        <v>0</v>
      </c>
      <c r="RBF77" s="223">
        <f xml:space="preserve"> InputsTS!RBF$184</f>
        <v>0</v>
      </c>
      <c r="RBG77" s="223">
        <f xml:space="preserve"> InputsTS!RBG$184</f>
        <v>0</v>
      </c>
      <c r="RBH77" s="223">
        <f xml:space="preserve"> InputsTS!RBH$184</f>
        <v>0</v>
      </c>
      <c r="RBI77" s="223">
        <f xml:space="preserve"> InputsTS!RBI$184</f>
        <v>0</v>
      </c>
      <c r="RBJ77" s="223">
        <f xml:space="preserve"> InputsTS!RBJ$184</f>
        <v>0</v>
      </c>
      <c r="RBK77" s="223">
        <f xml:space="preserve"> InputsTS!RBK$184</f>
        <v>0</v>
      </c>
      <c r="RBL77" s="223">
        <f xml:space="preserve"> InputsTS!RBL$184</f>
        <v>0</v>
      </c>
      <c r="RBM77" s="223">
        <f xml:space="preserve"> InputsTS!RBM$184</f>
        <v>0</v>
      </c>
      <c r="RBN77" s="223">
        <f xml:space="preserve"> InputsTS!RBN$184</f>
        <v>0</v>
      </c>
      <c r="RBO77" s="223">
        <f xml:space="preserve"> InputsTS!RBO$184</f>
        <v>0</v>
      </c>
      <c r="RBP77" s="223">
        <f xml:space="preserve"> InputsTS!RBP$184</f>
        <v>0</v>
      </c>
      <c r="RBQ77" s="223">
        <f xml:space="preserve"> InputsTS!RBQ$184</f>
        <v>0</v>
      </c>
      <c r="RBR77" s="223">
        <f xml:space="preserve"> InputsTS!RBR$184</f>
        <v>0</v>
      </c>
      <c r="RBS77" s="223">
        <f xml:space="preserve"> InputsTS!RBS$184</f>
        <v>0</v>
      </c>
      <c r="RBT77" s="223">
        <f xml:space="preserve"> InputsTS!RBT$184</f>
        <v>0</v>
      </c>
      <c r="RBU77" s="223">
        <f xml:space="preserve"> InputsTS!RBU$184</f>
        <v>0</v>
      </c>
      <c r="RBV77" s="223">
        <f xml:space="preserve"> InputsTS!RBV$184</f>
        <v>0</v>
      </c>
      <c r="RBW77" s="223">
        <f xml:space="preserve"> InputsTS!RBW$184</f>
        <v>0</v>
      </c>
      <c r="RBX77" s="223">
        <f xml:space="preserve"> InputsTS!RBX$184</f>
        <v>0</v>
      </c>
      <c r="RBY77" s="223">
        <f xml:space="preserve"> InputsTS!RBY$184</f>
        <v>0</v>
      </c>
      <c r="RBZ77" s="223">
        <f xml:space="preserve"> InputsTS!RBZ$184</f>
        <v>0</v>
      </c>
      <c r="RCA77" s="223">
        <f xml:space="preserve"> InputsTS!RCA$184</f>
        <v>0</v>
      </c>
      <c r="RCB77" s="223">
        <f xml:space="preserve"> InputsTS!RCB$184</f>
        <v>0</v>
      </c>
      <c r="RCC77" s="223">
        <f xml:space="preserve"> InputsTS!RCC$184</f>
        <v>0</v>
      </c>
      <c r="RCD77" s="223">
        <f xml:space="preserve"> InputsTS!RCD$184</f>
        <v>0</v>
      </c>
      <c r="RCE77" s="223">
        <f xml:space="preserve"> InputsTS!RCE$184</f>
        <v>0</v>
      </c>
      <c r="RCF77" s="223">
        <f xml:space="preserve"> InputsTS!RCF$184</f>
        <v>0</v>
      </c>
      <c r="RCG77" s="223">
        <f xml:space="preserve"> InputsTS!RCG$184</f>
        <v>0</v>
      </c>
      <c r="RCH77" s="223">
        <f xml:space="preserve"> InputsTS!RCH$184</f>
        <v>0</v>
      </c>
      <c r="RCI77" s="223">
        <f xml:space="preserve"> InputsTS!RCI$184</f>
        <v>0</v>
      </c>
      <c r="RCJ77" s="223">
        <f xml:space="preserve"> InputsTS!RCJ$184</f>
        <v>0</v>
      </c>
      <c r="RCK77" s="223">
        <f xml:space="preserve"> InputsTS!RCK$184</f>
        <v>0</v>
      </c>
      <c r="RCL77" s="223">
        <f xml:space="preserve"> InputsTS!RCL$184</f>
        <v>0</v>
      </c>
      <c r="RCM77" s="223">
        <f xml:space="preserve"> InputsTS!RCM$184</f>
        <v>0</v>
      </c>
      <c r="RCN77" s="223">
        <f xml:space="preserve"> InputsTS!RCN$184</f>
        <v>0</v>
      </c>
      <c r="RCO77" s="223">
        <f xml:space="preserve"> InputsTS!RCO$184</f>
        <v>0</v>
      </c>
      <c r="RCP77" s="223">
        <f xml:space="preserve"> InputsTS!RCP$184</f>
        <v>0</v>
      </c>
      <c r="RCQ77" s="223">
        <f xml:space="preserve"> InputsTS!RCQ$184</f>
        <v>0</v>
      </c>
      <c r="RCR77" s="223">
        <f xml:space="preserve"> InputsTS!RCR$184</f>
        <v>0</v>
      </c>
      <c r="RCS77" s="223">
        <f xml:space="preserve"> InputsTS!RCS$184</f>
        <v>0</v>
      </c>
      <c r="RCT77" s="223">
        <f xml:space="preserve"> InputsTS!RCT$184</f>
        <v>0</v>
      </c>
      <c r="RCU77" s="223">
        <f xml:space="preserve"> InputsTS!RCU$184</f>
        <v>0</v>
      </c>
      <c r="RCV77" s="223">
        <f xml:space="preserve"> InputsTS!RCV$184</f>
        <v>0</v>
      </c>
      <c r="RCW77" s="223">
        <f xml:space="preserve"> InputsTS!RCW$184</f>
        <v>0</v>
      </c>
      <c r="RCX77" s="223">
        <f xml:space="preserve"> InputsTS!RCX$184</f>
        <v>0</v>
      </c>
      <c r="RCY77" s="223">
        <f xml:space="preserve"> InputsTS!RCY$184</f>
        <v>0</v>
      </c>
      <c r="RCZ77" s="223">
        <f xml:space="preserve"> InputsTS!RCZ$184</f>
        <v>0</v>
      </c>
      <c r="RDA77" s="223">
        <f xml:space="preserve"> InputsTS!RDA$184</f>
        <v>0</v>
      </c>
      <c r="RDB77" s="223">
        <f xml:space="preserve"> InputsTS!RDB$184</f>
        <v>0</v>
      </c>
      <c r="RDC77" s="223">
        <f xml:space="preserve"> InputsTS!RDC$184</f>
        <v>0</v>
      </c>
      <c r="RDD77" s="223">
        <f xml:space="preserve"> InputsTS!RDD$184</f>
        <v>0</v>
      </c>
      <c r="RDE77" s="223">
        <f xml:space="preserve"> InputsTS!RDE$184</f>
        <v>0</v>
      </c>
      <c r="RDF77" s="223">
        <f xml:space="preserve"> InputsTS!RDF$184</f>
        <v>0</v>
      </c>
      <c r="RDG77" s="223">
        <f xml:space="preserve"> InputsTS!RDG$184</f>
        <v>0</v>
      </c>
      <c r="RDH77" s="223">
        <f xml:space="preserve"> InputsTS!RDH$184</f>
        <v>0</v>
      </c>
      <c r="RDI77" s="223">
        <f xml:space="preserve"> InputsTS!RDI$184</f>
        <v>0</v>
      </c>
      <c r="RDJ77" s="223">
        <f xml:space="preserve"> InputsTS!RDJ$184</f>
        <v>0</v>
      </c>
      <c r="RDK77" s="223">
        <f xml:space="preserve"> InputsTS!RDK$184</f>
        <v>0</v>
      </c>
      <c r="RDL77" s="223">
        <f xml:space="preserve"> InputsTS!RDL$184</f>
        <v>0</v>
      </c>
      <c r="RDM77" s="223">
        <f xml:space="preserve"> InputsTS!RDM$184</f>
        <v>0</v>
      </c>
      <c r="RDN77" s="223">
        <f xml:space="preserve"> InputsTS!RDN$184</f>
        <v>0</v>
      </c>
      <c r="RDO77" s="223">
        <f xml:space="preserve"> InputsTS!RDO$184</f>
        <v>0</v>
      </c>
      <c r="RDP77" s="223">
        <f xml:space="preserve"> InputsTS!RDP$184</f>
        <v>0</v>
      </c>
      <c r="RDQ77" s="223">
        <f xml:space="preserve"> InputsTS!RDQ$184</f>
        <v>0</v>
      </c>
      <c r="RDR77" s="223">
        <f xml:space="preserve"> InputsTS!RDR$184</f>
        <v>0</v>
      </c>
      <c r="RDS77" s="223">
        <f xml:space="preserve"> InputsTS!RDS$184</f>
        <v>0</v>
      </c>
      <c r="RDT77" s="223">
        <f xml:space="preserve"> InputsTS!RDT$184</f>
        <v>0</v>
      </c>
      <c r="RDU77" s="223">
        <f xml:space="preserve"> InputsTS!RDU$184</f>
        <v>0</v>
      </c>
      <c r="RDV77" s="223">
        <f xml:space="preserve"> InputsTS!RDV$184</f>
        <v>0</v>
      </c>
      <c r="RDW77" s="223">
        <f xml:space="preserve"> InputsTS!RDW$184</f>
        <v>0</v>
      </c>
      <c r="RDX77" s="223">
        <f xml:space="preserve"> InputsTS!RDX$184</f>
        <v>0</v>
      </c>
      <c r="RDY77" s="223">
        <f xml:space="preserve"> InputsTS!RDY$184</f>
        <v>0</v>
      </c>
      <c r="RDZ77" s="223">
        <f xml:space="preserve"> InputsTS!RDZ$184</f>
        <v>0</v>
      </c>
      <c r="REA77" s="223">
        <f xml:space="preserve"> InputsTS!REA$184</f>
        <v>0</v>
      </c>
      <c r="REB77" s="223">
        <f xml:space="preserve"> InputsTS!REB$184</f>
        <v>0</v>
      </c>
      <c r="REC77" s="223">
        <f xml:space="preserve"> InputsTS!REC$184</f>
        <v>0</v>
      </c>
      <c r="RED77" s="223">
        <f xml:space="preserve"> InputsTS!RED$184</f>
        <v>0</v>
      </c>
      <c r="REE77" s="223">
        <f xml:space="preserve"> InputsTS!REE$184</f>
        <v>0</v>
      </c>
      <c r="REF77" s="223">
        <f xml:space="preserve"> InputsTS!REF$184</f>
        <v>0</v>
      </c>
      <c r="REG77" s="223">
        <f xml:space="preserve"> InputsTS!REG$184</f>
        <v>0</v>
      </c>
      <c r="REH77" s="223">
        <f xml:space="preserve"> InputsTS!REH$184</f>
        <v>0</v>
      </c>
      <c r="REI77" s="223">
        <f xml:space="preserve"> InputsTS!REI$184</f>
        <v>0</v>
      </c>
      <c r="REJ77" s="223">
        <f xml:space="preserve"> InputsTS!REJ$184</f>
        <v>0</v>
      </c>
      <c r="REK77" s="223">
        <f xml:space="preserve"> InputsTS!REK$184</f>
        <v>0</v>
      </c>
      <c r="REL77" s="223">
        <f xml:space="preserve"> InputsTS!REL$184</f>
        <v>0</v>
      </c>
      <c r="REM77" s="223">
        <f xml:space="preserve"> InputsTS!REM$184</f>
        <v>0</v>
      </c>
      <c r="REN77" s="223">
        <f xml:space="preserve"> InputsTS!REN$184</f>
        <v>0</v>
      </c>
      <c r="REO77" s="223">
        <f xml:space="preserve"> InputsTS!REO$184</f>
        <v>0</v>
      </c>
      <c r="REP77" s="223">
        <f xml:space="preserve"> InputsTS!REP$184</f>
        <v>0</v>
      </c>
      <c r="REQ77" s="223">
        <f xml:space="preserve"> InputsTS!REQ$184</f>
        <v>0</v>
      </c>
      <c r="RER77" s="223">
        <f xml:space="preserve"> InputsTS!RER$184</f>
        <v>0</v>
      </c>
      <c r="RES77" s="223">
        <f xml:space="preserve"> InputsTS!RES$184</f>
        <v>0</v>
      </c>
      <c r="RET77" s="223">
        <f xml:space="preserve"> InputsTS!RET$184</f>
        <v>0</v>
      </c>
      <c r="REU77" s="223">
        <f xml:space="preserve"> InputsTS!REU$184</f>
        <v>0</v>
      </c>
      <c r="REV77" s="223">
        <f xml:space="preserve"> InputsTS!REV$184</f>
        <v>0</v>
      </c>
      <c r="REW77" s="223">
        <f xml:space="preserve"> InputsTS!REW$184</f>
        <v>0</v>
      </c>
      <c r="REX77" s="223">
        <f xml:space="preserve"> InputsTS!REX$184</f>
        <v>0</v>
      </c>
      <c r="REY77" s="223">
        <f xml:space="preserve"> InputsTS!REY$184</f>
        <v>0</v>
      </c>
      <c r="REZ77" s="223">
        <f xml:space="preserve"> InputsTS!REZ$184</f>
        <v>0</v>
      </c>
      <c r="RFA77" s="223">
        <f xml:space="preserve"> InputsTS!RFA$184</f>
        <v>0</v>
      </c>
      <c r="RFB77" s="223">
        <f xml:space="preserve"> InputsTS!RFB$184</f>
        <v>0</v>
      </c>
      <c r="RFC77" s="223">
        <f xml:space="preserve"> InputsTS!RFC$184</f>
        <v>0</v>
      </c>
      <c r="RFD77" s="223">
        <f xml:space="preserve"> InputsTS!RFD$184</f>
        <v>0</v>
      </c>
      <c r="RFE77" s="223">
        <f xml:space="preserve"> InputsTS!RFE$184</f>
        <v>0</v>
      </c>
      <c r="RFF77" s="223">
        <f xml:space="preserve"> InputsTS!RFF$184</f>
        <v>0</v>
      </c>
      <c r="RFG77" s="223">
        <f xml:space="preserve"> InputsTS!RFG$184</f>
        <v>0</v>
      </c>
      <c r="RFH77" s="223">
        <f xml:space="preserve"> InputsTS!RFH$184</f>
        <v>0</v>
      </c>
      <c r="RFI77" s="223">
        <f xml:space="preserve"> InputsTS!RFI$184</f>
        <v>0</v>
      </c>
      <c r="RFJ77" s="223">
        <f xml:space="preserve"> InputsTS!RFJ$184</f>
        <v>0</v>
      </c>
      <c r="RFK77" s="223">
        <f xml:space="preserve"> InputsTS!RFK$184</f>
        <v>0</v>
      </c>
      <c r="RFL77" s="223">
        <f xml:space="preserve"> InputsTS!RFL$184</f>
        <v>0</v>
      </c>
      <c r="RFM77" s="223">
        <f xml:space="preserve"> InputsTS!RFM$184</f>
        <v>0</v>
      </c>
      <c r="RFN77" s="223">
        <f xml:space="preserve"> InputsTS!RFN$184</f>
        <v>0</v>
      </c>
      <c r="RFO77" s="223">
        <f xml:space="preserve"> InputsTS!RFO$184</f>
        <v>0</v>
      </c>
      <c r="RFP77" s="223">
        <f xml:space="preserve"> InputsTS!RFP$184</f>
        <v>0</v>
      </c>
      <c r="RFQ77" s="223">
        <f xml:space="preserve"> InputsTS!RFQ$184</f>
        <v>0</v>
      </c>
      <c r="RFR77" s="223">
        <f xml:space="preserve"> InputsTS!RFR$184</f>
        <v>0</v>
      </c>
      <c r="RFS77" s="223">
        <f xml:space="preserve"> InputsTS!RFS$184</f>
        <v>0</v>
      </c>
      <c r="RFT77" s="223">
        <f xml:space="preserve"> InputsTS!RFT$184</f>
        <v>0</v>
      </c>
      <c r="RFU77" s="223">
        <f xml:space="preserve"> InputsTS!RFU$184</f>
        <v>0</v>
      </c>
      <c r="RFV77" s="223">
        <f xml:space="preserve"> InputsTS!RFV$184</f>
        <v>0</v>
      </c>
      <c r="RFW77" s="223">
        <f xml:space="preserve"> InputsTS!RFW$184</f>
        <v>0</v>
      </c>
      <c r="RFX77" s="223">
        <f xml:space="preserve"> InputsTS!RFX$184</f>
        <v>0</v>
      </c>
      <c r="RFY77" s="223">
        <f xml:space="preserve"> InputsTS!RFY$184</f>
        <v>0</v>
      </c>
      <c r="RFZ77" s="223">
        <f xml:space="preserve"> InputsTS!RFZ$184</f>
        <v>0</v>
      </c>
      <c r="RGA77" s="223">
        <f xml:space="preserve"> InputsTS!RGA$184</f>
        <v>0</v>
      </c>
      <c r="RGB77" s="223">
        <f xml:space="preserve"> InputsTS!RGB$184</f>
        <v>0</v>
      </c>
      <c r="RGC77" s="223">
        <f xml:space="preserve"> InputsTS!RGC$184</f>
        <v>0</v>
      </c>
      <c r="RGD77" s="223">
        <f xml:space="preserve"> InputsTS!RGD$184</f>
        <v>0</v>
      </c>
      <c r="RGE77" s="223">
        <f xml:space="preserve"> InputsTS!RGE$184</f>
        <v>0</v>
      </c>
      <c r="RGF77" s="223">
        <f xml:space="preserve"> InputsTS!RGF$184</f>
        <v>0</v>
      </c>
      <c r="RGG77" s="223">
        <f xml:space="preserve"> InputsTS!RGG$184</f>
        <v>0</v>
      </c>
      <c r="RGH77" s="223">
        <f xml:space="preserve"> InputsTS!RGH$184</f>
        <v>0</v>
      </c>
      <c r="RGI77" s="223">
        <f xml:space="preserve"> InputsTS!RGI$184</f>
        <v>0</v>
      </c>
      <c r="RGJ77" s="223">
        <f xml:space="preserve"> InputsTS!RGJ$184</f>
        <v>0</v>
      </c>
      <c r="RGK77" s="223">
        <f xml:space="preserve"> InputsTS!RGK$184</f>
        <v>0</v>
      </c>
      <c r="RGL77" s="223">
        <f xml:space="preserve"> InputsTS!RGL$184</f>
        <v>0</v>
      </c>
      <c r="RGM77" s="223">
        <f xml:space="preserve"> InputsTS!RGM$184</f>
        <v>0</v>
      </c>
      <c r="RGN77" s="223">
        <f xml:space="preserve"> InputsTS!RGN$184</f>
        <v>0</v>
      </c>
      <c r="RGO77" s="223">
        <f xml:space="preserve"> InputsTS!RGO$184</f>
        <v>0</v>
      </c>
      <c r="RGP77" s="223">
        <f xml:space="preserve"> InputsTS!RGP$184</f>
        <v>0</v>
      </c>
      <c r="RGQ77" s="223">
        <f xml:space="preserve"> InputsTS!RGQ$184</f>
        <v>0</v>
      </c>
      <c r="RGR77" s="223">
        <f xml:space="preserve"> InputsTS!RGR$184</f>
        <v>0</v>
      </c>
      <c r="RGS77" s="223">
        <f xml:space="preserve"> InputsTS!RGS$184</f>
        <v>0</v>
      </c>
      <c r="RGT77" s="223">
        <f xml:space="preserve"> InputsTS!RGT$184</f>
        <v>0</v>
      </c>
      <c r="RGU77" s="223">
        <f xml:space="preserve"> InputsTS!RGU$184</f>
        <v>0</v>
      </c>
      <c r="RGV77" s="223">
        <f xml:space="preserve"> InputsTS!RGV$184</f>
        <v>0</v>
      </c>
      <c r="RGW77" s="223">
        <f xml:space="preserve"> InputsTS!RGW$184</f>
        <v>0</v>
      </c>
      <c r="RGX77" s="223">
        <f xml:space="preserve"> InputsTS!RGX$184</f>
        <v>0</v>
      </c>
      <c r="RGY77" s="223">
        <f xml:space="preserve"> InputsTS!RGY$184</f>
        <v>0</v>
      </c>
      <c r="RGZ77" s="223">
        <f xml:space="preserve"> InputsTS!RGZ$184</f>
        <v>0</v>
      </c>
      <c r="RHA77" s="223">
        <f xml:space="preserve"> InputsTS!RHA$184</f>
        <v>0</v>
      </c>
      <c r="RHB77" s="223">
        <f xml:space="preserve"> InputsTS!RHB$184</f>
        <v>0</v>
      </c>
      <c r="RHC77" s="223">
        <f xml:space="preserve"> InputsTS!RHC$184</f>
        <v>0</v>
      </c>
      <c r="RHD77" s="223">
        <f xml:space="preserve"> InputsTS!RHD$184</f>
        <v>0</v>
      </c>
      <c r="RHE77" s="223">
        <f xml:space="preserve"> InputsTS!RHE$184</f>
        <v>0</v>
      </c>
      <c r="RHF77" s="223">
        <f xml:space="preserve"> InputsTS!RHF$184</f>
        <v>0</v>
      </c>
      <c r="RHG77" s="223">
        <f xml:space="preserve"> InputsTS!RHG$184</f>
        <v>0</v>
      </c>
      <c r="RHH77" s="223">
        <f xml:space="preserve"> InputsTS!RHH$184</f>
        <v>0</v>
      </c>
      <c r="RHI77" s="223">
        <f xml:space="preserve"> InputsTS!RHI$184</f>
        <v>0</v>
      </c>
      <c r="RHJ77" s="223">
        <f xml:space="preserve"> InputsTS!RHJ$184</f>
        <v>0</v>
      </c>
      <c r="RHK77" s="223">
        <f xml:space="preserve"> InputsTS!RHK$184</f>
        <v>0</v>
      </c>
      <c r="RHL77" s="223">
        <f xml:space="preserve"> InputsTS!RHL$184</f>
        <v>0</v>
      </c>
      <c r="RHM77" s="223">
        <f xml:space="preserve"> InputsTS!RHM$184</f>
        <v>0</v>
      </c>
      <c r="RHN77" s="223">
        <f xml:space="preserve"> InputsTS!RHN$184</f>
        <v>0</v>
      </c>
      <c r="RHO77" s="223">
        <f xml:space="preserve"> InputsTS!RHO$184</f>
        <v>0</v>
      </c>
      <c r="RHP77" s="223">
        <f xml:space="preserve"> InputsTS!RHP$184</f>
        <v>0</v>
      </c>
      <c r="RHQ77" s="223">
        <f xml:space="preserve"> InputsTS!RHQ$184</f>
        <v>0</v>
      </c>
      <c r="RHR77" s="223">
        <f xml:space="preserve"> InputsTS!RHR$184</f>
        <v>0</v>
      </c>
      <c r="RHS77" s="223">
        <f xml:space="preserve"> InputsTS!RHS$184</f>
        <v>0</v>
      </c>
      <c r="RHT77" s="223">
        <f xml:space="preserve"> InputsTS!RHT$184</f>
        <v>0</v>
      </c>
      <c r="RHU77" s="223">
        <f xml:space="preserve"> InputsTS!RHU$184</f>
        <v>0</v>
      </c>
      <c r="RHV77" s="223">
        <f xml:space="preserve"> InputsTS!RHV$184</f>
        <v>0</v>
      </c>
      <c r="RHW77" s="223">
        <f xml:space="preserve"> InputsTS!RHW$184</f>
        <v>0</v>
      </c>
      <c r="RHX77" s="223">
        <f xml:space="preserve"> InputsTS!RHX$184</f>
        <v>0</v>
      </c>
      <c r="RHY77" s="223">
        <f xml:space="preserve"> InputsTS!RHY$184</f>
        <v>0</v>
      </c>
      <c r="RHZ77" s="223">
        <f xml:space="preserve"> InputsTS!RHZ$184</f>
        <v>0</v>
      </c>
      <c r="RIA77" s="223">
        <f xml:space="preserve"> InputsTS!RIA$184</f>
        <v>0</v>
      </c>
      <c r="RIB77" s="223">
        <f xml:space="preserve"> InputsTS!RIB$184</f>
        <v>0</v>
      </c>
      <c r="RIC77" s="223">
        <f xml:space="preserve"> InputsTS!RIC$184</f>
        <v>0</v>
      </c>
      <c r="RID77" s="223">
        <f xml:space="preserve"> InputsTS!RID$184</f>
        <v>0</v>
      </c>
      <c r="RIE77" s="223">
        <f xml:space="preserve"> InputsTS!RIE$184</f>
        <v>0</v>
      </c>
      <c r="RIF77" s="223">
        <f xml:space="preserve"> InputsTS!RIF$184</f>
        <v>0</v>
      </c>
      <c r="RIG77" s="223">
        <f xml:space="preserve"> InputsTS!RIG$184</f>
        <v>0</v>
      </c>
      <c r="RIH77" s="223">
        <f xml:space="preserve"> InputsTS!RIH$184</f>
        <v>0</v>
      </c>
      <c r="RII77" s="223">
        <f xml:space="preserve"> InputsTS!RII$184</f>
        <v>0</v>
      </c>
      <c r="RIJ77" s="223">
        <f xml:space="preserve"> InputsTS!RIJ$184</f>
        <v>0</v>
      </c>
      <c r="RIK77" s="223">
        <f xml:space="preserve"> InputsTS!RIK$184</f>
        <v>0</v>
      </c>
      <c r="RIL77" s="223">
        <f xml:space="preserve"> InputsTS!RIL$184</f>
        <v>0</v>
      </c>
      <c r="RIM77" s="223">
        <f xml:space="preserve"> InputsTS!RIM$184</f>
        <v>0</v>
      </c>
      <c r="RIN77" s="223">
        <f xml:space="preserve"> InputsTS!RIN$184</f>
        <v>0</v>
      </c>
      <c r="RIO77" s="223">
        <f xml:space="preserve"> InputsTS!RIO$184</f>
        <v>0</v>
      </c>
      <c r="RIP77" s="223">
        <f xml:space="preserve"> InputsTS!RIP$184</f>
        <v>0</v>
      </c>
      <c r="RIQ77" s="223">
        <f xml:space="preserve"> InputsTS!RIQ$184</f>
        <v>0</v>
      </c>
      <c r="RIR77" s="223">
        <f xml:space="preserve"> InputsTS!RIR$184</f>
        <v>0</v>
      </c>
      <c r="RIS77" s="223">
        <f xml:space="preserve"> InputsTS!RIS$184</f>
        <v>0</v>
      </c>
      <c r="RIT77" s="223">
        <f xml:space="preserve"> InputsTS!RIT$184</f>
        <v>0</v>
      </c>
      <c r="RIU77" s="223">
        <f xml:space="preserve"> InputsTS!RIU$184</f>
        <v>0</v>
      </c>
      <c r="RIV77" s="223">
        <f xml:space="preserve"> InputsTS!RIV$184</f>
        <v>0</v>
      </c>
      <c r="RIW77" s="223">
        <f xml:space="preserve"> InputsTS!RIW$184</f>
        <v>0</v>
      </c>
      <c r="RIX77" s="223">
        <f xml:space="preserve"> InputsTS!RIX$184</f>
        <v>0</v>
      </c>
      <c r="RIY77" s="223">
        <f xml:space="preserve"> InputsTS!RIY$184</f>
        <v>0</v>
      </c>
      <c r="RIZ77" s="223">
        <f xml:space="preserve"> InputsTS!RIZ$184</f>
        <v>0</v>
      </c>
      <c r="RJA77" s="223">
        <f xml:space="preserve"> InputsTS!RJA$184</f>
        <v>0</v>
      </c>
      <c r="RJB77" s="223">
        <f xml:space="preserve"> InputsTS!RJB$184</f>
        <v>0</v>
      </c>
      <c r="RJC77" s="223">
        <f xml:space="preserve"> InputsTS!RJC$184</f>
        <v>0</v>
      </c>
      <c r="RJD77" s="223">
        <f xml:space="preserve"> InputsTS!RJD$184</f>
        <v>0</v>
      </c>
      <c r="RJE77" s="223">
        <f xml:space="preserve"> InputsTS!RJE$184</f>
        <v>0</v>
      </c>
      <c r="RJF77" s="223">
        <f xml:space="preserve"> InputsTS!RJF$184</f>
        <v>0</v>
      </c>
      <c r="RJG77" s="223">
        <f xml:space="preserve"> InputsTS!RJG$184</f>
        <v>0</v>
      </c>
      <c r="RJH77" s="223">
        <f xml:space="preserve"> InputsTS!RJH$184</f>
        <v>0</v>
      </c>
      <c r="RJI77" s="223">
        <f xml:space="preserve"> InputsTS!RJI$184</f>
        <v>0</v>
      </c>
      <c r="RJJ77" s="223">
        <f xml:space="preserve"> InputsTS!RJJ$184</f>
        <v>0</v>
      </c>
      <c r="RJK77" s="223">
        <f xml:space="preserve"> InputsTS!RJK$184</f>
        <v>0</v>
      </c>
      <c r="RJL77" s="223">
        <f xml:space="preserve"> InputsTS!RJL$184</f>
        <v>0</v>
      </c>
      <c r="RJM77" s="223">
        <f xml:space="preserve"> InputsTS!RJM$184</f>
        <v>0</v>
      </c>
      <c r="RJN77" s="223">
        <f xml:space="preserve"> InputsTS!RJN$184</f>
        <v>0</v>
      </c>
      <c r="RJO77" s="223">
        <f xml:space="preserve"> InputsTS!RJO$184</f>
        <v>0</v>
      </c>
      <c r="RJP77" s="223">
        <f xml:space="preserve"> InputsTS!RJP$184</f>
        <v>0</v>
      </c>
      <c r="RJQ77" s="223">
        <f xml:space="preserve"> InputsTS!RJQ$184</f>
        <v>0</v>
      </c>
      <c r="RJR77" s="223">
        <f xml:space="preserve"> InputsTS!RJR$184</f>
        <v>0</v>
      </c>
      <c r="RJS77" s="223">
        <f xml:space="preserve"> InputsTS!RJS$184</f>
        <v>0</v>
      </c>
      <c r="RJT77" s="223">
        <f xml:space="preserve"> InputsTS!RJT$184</f>
        <v>0</v>
      </c>
      <c r="RJU77" s="223">
        <f xml:space="preserve"> InputsTS!RJU$184</f>
        <v>0</v>
      </c>
      <c r="RJV77" s="223">
        <f xml:space="preserve"> InputsTS!RJV$184</f>
        <v>0</v>
      </c>
      <c r="RJW77" s="223">
        <f xml:space="preserve"> InputsTS!RJW$184</f>
        <v>0</v>
      </c>
      <c r="RJX77" s="223">
        <f xml:space="preserve"> InputsTS!RJX$184</f>
        <v>0</v>
      </c>
      <c r="RJY77" s="223">
        <f xml:space="preserve"> InputsTS!RJY$184</f>
        <v>0</v>
      </c>
      <c r="RJZ77" s="223">
        <f xml:space="preserve"> InputsTS!RJZ$184</f>
        <v>0</v>
      </c>
      <c r="RKA77" s="223">
        <f xml:space="preserve"> InputsTS!RKA$184</f>
        <v>0</v>
      </c>
      <c r="RKB77" s="223">
        <f xml:space="preserve"> InputsTS!RKB$184</f>
        <v>0</v>
      </c>
      <c r="RKC77" s="223">
        <f xml:space="preserve"> InputsTS!RKC$184</f>
        <v>0</v>
      </c>
      <c r="RKD77" s="223">
        <f xml:space="preserve"> InputsTS!RKD$184</f>
        <v>0</v>
      </c>
      <c r="RKE77" s="223">
        <f xml:space="preserve"> InputsTS!RKE$184</f>
        <v>0</v>
      </c>
      <c r="RKF77" s="223">
        <f xml:space="preserve"> InputsTS!RKF$184</f>
        <v>0</v>
      </c>
      <c r="RKG77" s="223">
        <f xml:space="preserve"> InputsTS!RKG$184</f>
        <v>0</v>
      </c>
      <c r="RKH77" s="223">
        <f xml:space="preserve"> InputsTS!RKH$184</f>
        <v>0</v>
      </c>
      <c r="RKI77" s="223">
        <f xml:space="preserve"> InputsTS!RKI$184</f>
        <v>0</v>
      </c>
      <c r="RKJ77" s="223">
        <f xml:space="preserve"> InputsTS!RKJ$184</f>
        <v>0</v>
      </c>
      <c r="RKK77" s="223">
        <f xml:space="preserve"> InputsTS!RKK$184</f>
        <v>0</v>
      </c>
      <c r="RKL77" s="223">
        <f xml:space="preserve"> InputsTS!RKL$184</f>
        <v>0</v>
      </c>
      <c r="RKM77" s="223">
        <f xml:space="preserve"> InputsTS!RKM$184</f>
        <v>0</v>
      </c>
      <c r="RKN77" s="223">
        <f xml:space="preserve"> InputsTS!RKN$184</f>
        <v>0</v>
      </c>
      <c r="RKO77" s="223">
        <f xml:space="preserve"> InputsTS!RKO$184</f>
        <v>0</v>
      </c>
      <c r="RKP77" s="223">
        <f xml:space="preserve"> InputsTS!RKP$184</f>
        <v>0</v>
      </c>
      <c r="RKQ77" s="223">
        <f xml:space="preserve"> InputsTS!RKQ$184</f>
        <v>0</v>
      </c>
      <c r="RKR77" s="223">
        <f xml:space="preserve"> InputsTS!RKR$184</f>
        <v>0</v>
      </c>
      <c r="RKS77" s="223">
        <f xml:space="preserve"> InputsTS!RKS$184</f>
        <v>0</v>
      </c>
      <c r="RKT77" s="223">
        <f xml:space="preserve"> InputsTS!RKT$184</f>
        <v>0</v>
      </c>
      <c r="RKU77" s="223">
        <f xml:space="preserve"> InputsTS!RKU$184</f>
        <v>0</v>
      </c>
      <c r="RKV77" s="223">
        <f xml:space="preserve"> InputsTS!RKV$184</f>
        <v>0</v>
      </c>
      <c r="RKW77" s="223">
        <f xml:space="preserve"> InputsTS!RKW$184</f>
        <v>0</v>
      </c>
      <c r="RKX77" s="223">
        <f xml:space="preserve"> InputsTS!RKX$184</f>
        <v>0</v>
      </c>
      <c r="RKY77" s="223">
        <f xml:space="preserve"> InputsTS!RKY$184</f>
        <v>0</v>
      </c>
      <c r="RKZ77" s="223">
        <f xml:space="preserve"> InputsTS!RKZ$184</f>
        <v>0</v>
      </c>
      <c r="RLA77" s="223">
        <f xml:space="preserve"> InputsTS!RLA$184</f>
        <v>0</v>
      </c>
      <c r="RLB77" s="223">
        <f xml:space="preserve"> InputsTS!RLB$184</f>
        <v>0</v>
      </c>
      <c r="RLC77" s="223">
        <f xml:space="preserve"> InputsTS!RLC$184</f>
        <v>0</v>
      </c>
      <c r="RLD77" s="223">
        <f xml:space="preserve"> InputsTS!RLD$184</f>
        <v>0</v>
      </c>
      <c r="RLE77" s="223">
        <f xml:space="preserve"> InputsTS!RLE$184</f>
        <v>0</v>
      </c>
      <c r="RLF77" s="223">
        <f xml:space="preserve"> InputsTS!RLF$184</f>
        <v>0</v>
      </c>
      <c r="RLG77" s="223">
        <f xml:space="preserve"> InputsTS!RLG$184</f>
        <v>0</v>
      </c>
      <c r="RLH77" s="223">
        <f xml:space="preserve"> InputsTS!RLH$184</f>
        <v>0</v>
      </c>
      <c r="RLI77" s="223">
        <f xml:space="preserve"> InputsTS!RLI$184</f>
        <v>0</v>
      </c>
      <c r="RLJ77" s="223">
        <f xml:space="preserve"> InputsTS!RLJ$184</f>
        <v>0</v>
      </c>
      <c r="RLK77" s="223">
        <f xml:space="preserve"> InputsTS!RLK$184</f>
        <v>0</v>
      </c>
      <c r="RLL77" s="223">
        <f xml:space="preserve"> InputsTS!RLL$184</f>
        <v>0</v>
      </c>
      <c r="RLM77" s="223">
        <f xml:space="preserve"> InputsTS!RLM$184</f>
        <v>0</v>
      </c>
      <c r="RLN77" s="223">
        <f xml:space="preserve"> InputsTS!RLN$184</f>
        <v>0</v>
      </c>
      <c r="RLO77" s="223">
        <f xml:space="preserve"> InputsTS!RLO$184</f>
        <v>0</v>
      </c>
      <c r="RLP77" s="223">
        <f xml:space="preserve"> InputsTS!RLP$184</f>
        <v>0</v>
      </c>
      <c r="RLQ77" s="223">
        <f xml:space="preserve"> InputsTS!RLQ$184</f>
        <v>0</v>
      </c>
      <c r="RLR77" s="223">
        <f xml:space="preserve"> InputsTS!RLR$184</f>
        <v>0</v>
      </c>
      <c r="RLS77" s="223">
        <f xml:space="preserve"> InputsTS!RLS$184</f>
        <v>0</v>
      </c>
      <c r="RLT77" s="223">
        <f xml:space="preserve"> InputsTS!RLT$184</f>
        <v>0</v>
      </c>
      <c r="RLU77" s="223">
        <f xml:space="preserve"> InputsTS!RLU$184</f>
        <v>0</v>
      </c>
      <c r="RLV77" s="223">
        <f xml:space="preserve"> InputsTS!RLV$184</f>
        <v>0</v>
      </c>
      <c r="RLW77" s="223">
        <f xml:space="preserve"> InputsTS!RLW$184</f>
        <v>0</v>
      </c>
      <c r="RLX77" s="223">
        <f xml:space="preserve"> InputsTS!RLX$184</f>
        <v>0</v>
      </c>
      <c r="RLY77" s="223">
        <f xml:space="preserve"> InputsTS!RLY$184</f>
        <v>0</v>
      </c>
      <c r="RLZ77" s="223">
        <f xml:space="preserve"> InputsTS!RLZ$184</f>
        <v>0</v>
      </c>
      <c r="RMA77" s="223">
        <f xml:space="preserve"> InputsTS!RMA$184</f>
        <v>0</v>
      </c>
      <c r="RMB77" s="223">
        <f xml:space="preserve"> InputsTS!RMB$184</f>
        <v>0</v>
      </c>
      <c r="RMC77" s="223">
        <f xml:space="preserve"> InputsTS!RMC$184</f>
        <v>0</v>
      </c>
      <c r="RMD77" s="223">
        <f xml:space="preserve"> InputsTS!RMD$184</f>
        <v>0</v>
      </c>
      <c r="RME77" s="223">
        <f xml:space="preserve"> InputsTS!RME$184</f>
        <v>0</v>
      </c>
      <c r="RMF77" s="223">
        <f xml:space="preserve"> InputsTS!RMF$184</f>
        <v>0</v>
      </c>
      <c r="RMG77" s="223">
        <f xml:space="preserve"> InputsTS!RMG$184</f>
        <v>0</v>
      </c>
      <c r="RMH77" s="223">
        <f xml:space="preserve"> InputsTS!RMH$184</f>
        <v>0</v>
      </c>
      <c r="RMI77" s="223">
        <f xml:space="preserve"> InputsTS!RMI$184</f>
        <v>0</v>
      </c>
      <c r="RMJ77" s="223">
        <f xml:space="preserve"> InputsTS!RMJ$184</f>
        <v>0</v>
      </c>
      <c r="RMK77" s="223">
        <f xml:space="preserve"> InputsTS!RMK$184</f>
        <v>0</v>
      </c>
      <c r="RML77" s="223">
        <f xml:space="preserve"> InputsTS!RML$184</f>
        <v>0</v>
      </c>
      <c r="RMM77" s="223">
        <f xml:space="preserve"> InputsTS!RMM$184</f>
        <v>0</v>
      </c>
      <c r="RMN77" s="223">
        <f xml:space="preserve"> InputsTS!RMN$184</f>
        <v>0</v>
      </c>
      <c r="RMO77" s="223">
        <f xml:space="preserve"> InputsTS!RMO$184</f>
        <v>0</v>
      </c>
      <c r="RMP77" s="223">
        <f xml:space="preserve"> InputsTS!RMP$184</f>
        <v>0</v>
      </c>
      <c r="RMQ77" s="223">
        <f xml:space="preserve"> InputsTS!RMQ$184</f>
        <v>0</v>
      </c>
      <c r="RMR77" s="223">
        <f xml:space="preserve"> InputsTS!RMR$184</f>
        <v>0</v>
      </c>
      <c r="RMS77" s="223">
        <f xml:space="preserve"> InputsTS!RMS$184</f>
        <v>0</v>
      </c>
      <c r="RMT77" s="223">
        <f xml:space="preserve"> InputsTS!RMT$184</f>
        <v>0</v>
      </c>
      <c r="RMU77" s="223">
        <f xml:space="preserve"> InputsTS!RMU$184</f>
        <v>0</v>
      </c>
      <c r="RMV77" s="223">
        <f xml:space="preserve"> InputsTS!RMV$184</f>
        <v>0</v>
      </c>
      <c r="RMW77" s="223">
        <f xml:space="preserve"> InputsTS!RMW$184</f>
        <v>0</v>
      </c>
      <c r="RMX77" s="223">
        <f xml:space="preserve"> InputsTS!RMX$184</f>
        <v>0</v>
      </c>
      <c r="RMY77" s="223">
        <f xml:space="preserve"> InputsTS!RMY$184</f>
        <v>0</v>
      </c>
      <c r="RMZ77" s="223">
        <f xml:space="preserve"> InputsTS!RMZ$184</f>
        <v>0</v>
      </c>
      <c r="RNA77" s="223">
        <f xml:space="preserve"> InputsTS!RNA$184</f>
        <v>0</v>
      </c>
      <c r="RNB77" s="223">
        <f xml:space="preserve"> InputsTS!RNB$184</f>
        <v>0</v>
      </c>
      <c r="RNC77" s="223">
        <f xml:space="preserve"> InputsTS!RNC$184</f>
        <v>0</v>
      </c>
      <c r="RND77" s="223">
        <f xml:space="preserve"> InputsTS!RND$184</f>
        <v>0</v>
      </c>
      <c r="RNE77" s="223">
        <f xml:space="preserve"> InputsTS!RNE$184</f>
        <v>0</v>
      </c>
      <c r="RNF77" s="223">
        <f xml:space="preserve"> InputsTS!RNF$184</f>
        <v>0</v>
      </c>
      <c r="RNG77" s="223">
        <f xml:space="preserve"> InputsTS!RNG$184</f>
        <v>0</v>
      </c>
      <c r="RNH77" s="223">
        <f xml:space="preserve"> InputsTS!RNH$184</f>
        <v>0</v>
      </c>
      <c r="RNI77" s="223">
        <f xml:space="preserve"> InputsTS!RNI$184</f>
        <v>0</v>
      </c>
      <c r="RNJ77" s="223">
        <f xml:space="preserve"> InputsTS!RNJ$184</f>
        <v>0</v>
      </c>
      <c r="RNK77" s="223">
        <f xml:space="preserve"> InputsTS!RNK$184</f>
        <v>0</v>
      </c>
      <c r="RNL77" s="223">
        <f xml:space="preserve"> InputsTS!RNL$184</f>
        <v>0</v>
      </c>
      <c r="RNM77" s="223">
        <f xml:space="preserve"> InputsTS!RNM$184</f>
        <v>0</v>
      </c>
      <c r="RNN77" s="223">
        <f xml:space="preserve"> InputsTS!RNN$184</f>
        <v>0</v>
      </c>
      <c r="RNO77" s="223">
        <f xml:space="preserve"> InputsTS!RNO$184</f>
        <v>0</v>
      </c>
      <c r="RNP77" s="223">
        <f xml:space="preserve"> InputsTS!RNP$184</f>
        <v>0</v>
      </c>
      <c r="RNQ77" s="223">
        <f xml:space="preserve"> InputsTS!RNQ$184</f>
        <v>0</v>
      </c>
      <c r="RNR77" s="223">
        <f xml:space="preserve"> InputsTS!RNR$184</f>
        <v>0</v>
      </c>
      <c r="RNS77" s="223">
        <f xml:space="preserve"> InputsTS!RNS$184</f>
        <v>0</v>
      </c>
      <c r="RNT77" s="223">
        <f xml:space="preserve"> InputsTS!RNT$184</f>
        <v>0</v>
      </c>
      <c r="RNU77" s="223">
        <f xml:space="preserve"> InputsTS!RNU$184</f>
        <v>0</v>
      </c>
      <c r="RNV77" s="223">
        <f xml:space="preserve"> InputsTS!RNV$184</f>
        <v>0</v>
      </c>
      <c r="RNW77" s="223">
        <f xml:space="preserve"> InputsTS!RNW$184</f>
        <v>0</v>
      </c>
      <c r="RNX77" s="223">
        <f xml:space="preserve"> InputsTS!RNX$184</f>
        <v>0</v>
      </c>
      <c r="RNY77" s="223">
        <f xml:space="preserve"> InputsTS!RNY$184</f>
        <v>0</v>
      </c>
      <c r="RNZ77" s="223">
        <f xml:space="preserve"> InputsTS!RNZ$184</f>
        <v>0</v>
      </c>
      <c r="ROA77" s="223">
        <f xml:space="preserve"> InputsTS!ROA$184</f>
        <v>0</v>
      </c>
      <c r="ROB77" s="223">
        <f xml:space="preserve"> InputsTS!ROB$184</f>
        <v>0</v>
      </c>
      <c r="ROC77" s="223">
        <f xml:space="preserve"> InputsTS!ROC$184</f>
        <v>0</v>
      </c>
      <c r="ROD77" s="223">
        <f xml:space="preserve"> InputsTS!ROD$184</f>
        <v>0</v>
      </c>
      <c r="ROE77" s="223">
        <f xml:space="preserve"> InputsTS!ROE$184</f>
        <v>0</v>
      </c>
      <c r="ROF77" s="223">
        <f xml:space="preserve"> InputsTS!ROF$184</f>
        <v>0</v>
      </c>
      <c r="ROG77" s="223">
        <f xml:space="preserve"> InputsTS!ROG$184</f>
        <v>0</v>
      </c>
      <c r="ROH77" s="223">
        <f xml:space="preserve"> InputsTS!ROH$184</f>
        <v>0</v>
      </c>
      <c r="ROI77" s="223">
        <f xml:space="preserve"> InputsTS!ROI$184</f>
        <v>0</v>
      </c>
      <c r="ROJ77" s="223">
        <f xml:space="preserve"> InputsTS!ROJ$184</f>
        <v>0</v>
      </c>
      <c r="ROK77" s="223">
        <f xml:space="preserve"> InputsTS!ROK$184</f>
        <v>0</v>
      </c>
      <c r="ROL77" s="223">
        <f xml:space="preserve"> InputsTS!ROL$184</f>
        <v>0</v>
      </c>
      <c r="ROM77" s="223">
        <f xml:space="preserve"> InputsTS!ROM$184</f>
        <v>0</v>
      </c>
      <c r="RON77" s="223">
        <f xml:space="preserve"> InputsTS!RON$184</f>
        <v>0</v>
      </c>
      <c r="ROO77" s="223">
        <f xml:space="preserve"> InputsTS!ROO$184</f>
        <v>0</v>
      </c>
      <c r="ROP77" s="223">
        <f xml:space="preserve"> InputsTS!ROP$184</f>
        <v>0</v>
      </c>
      <c r="ROQ77" s="223">
        <f xml:space="preserve"> InputsTS!ROQ$184</f>
        <v>0</v>
      </c>
      <c r="ROR77" s="223">
        <f xml:space="preserve"> InputsTS!ROR$184</f>
        <v>0</v>
      </c>
      <c r="ROS77" s="223">
        <f xml:space="preserve"> InputsTS!ROS$184</f>
        <v>0</v>
      </c>
      <c r="ROT77" s="223">
        <f xml:space="preserve"> InputsTS!ROT$184</f>
        <v>0</v>
      </c>
      <c r="ROU77" s="223">
        <f xml:space="preserve"> InputsTS!ROU$184</f>
        <v>0</v>
      </c>
      <c r="ROV77" s="223">
        <f xml:space="preserve"> InputsTS!ROV$184</f>
        <v>0</v>
      </c>
      <c r="ROW77" s="223">
        <f xml:space="preserve"> InputsTS!ROW$184</f>
        <v>0</v>
      </c>
      <c r="ROX77" s="223">
        <f xml:space="preserve"> InputsTS!ROX$184</f>
        <v>0</v>
      </c>
      <c r="ROY77" s="223">
        <f xml:space="preserve"> InputsTS!ROY$184</f>
        <v>0</v>
      </c>
      <c r="ROZ77" s="223">
        <f xml:space="preserve"> InputsTS!ROZ$184</f>
        <v>0</v>
      </c>
      <c r="RPA77" s="223">
        <f xml:space="preserve"> InputsTS!RPA$184</f>
        <v>0</v>
      </c>
      <c r="RPB77" s="223">
        <f xml:space="preserve"> InputsTS!RPB$184</f>
        <v>0</v>
      </c>
      <c r="RPC77" s="223">
        <f xml:space="preserve"> InputsTS!RPC$184</f>
        <v>0</v>
      </c>
      <c r="RPD77" s="223">
        <f xml:space="preserve"> InputsTS!RPD$184</f>
        <v>0</v>
      </c>
      <c r="RPE77" s="223">
        <f xml:space="preserve"> InputsTS!RPE$184</f>
        <v>0</v>
      </c>
      <c r="RPF77" s="223">
        <f xml:space="preserve"> InputsTS!RPF$184</f>
        <v>0</v>
      </c>
      <c r="RPG77" s="223">
        <f xml:space="preserve"> InputsTS!RPG$184</f>
        <v>0</v>
      </c>
      <c r="RPH77" s="223">
        <f xml:space="preserve"> InputsTS!RPH$184</f>
        <v>0</v>
      </c>
      <c r="RPI77" s="223">
        <f xml:space="preserve"> InputsTS!RPI$184</f>
        <v>0</v>
      </c>
      <c r="RPJ77" s="223">
        <f xml:space="preserve"> InputsTS!RPJ$184</f>
        <v>0</v>
      </c>
      <c r="RPK77" s="223">
        <f xml:space="preserve"> InputsTS!RPK$184</f>
        <v>0</v>
      </c>
      <c r="RPL77" s="223">
        <f xml:space="preserve"> InputsTS!RPL$184</f>
        <v>0</v>
      </c>
      <c r="RPM77" s="223">
        <f xml:space="preserve"> InputsTS!RPM$184</f>
        <v>0</v>
      </c>
      <c r="RPN77" s="223">
        <f xml:space="preserve"> InputsTS!RPN$184</f>
        <v>0</v>
      </c>
      <c r="RPO77" s="223">
        <f xml:space="preserve"> InputsTS!RPO$184</f>
        <v>0</v>
      </c>
      <c r="RPP77" s="223">
        <f xml:space="preserve"> InputsTS!RPP$184</f>
        <v>0</v>
      </c>
      <c r="RPQ77" s="223">
        <f xml:space="preserve"> InputsTS!RPQ$184</f>
        <v>0</v>
      </c>
      <c r="RPR77" s="223">
        <f xml:space="preserve"> InputsTS!RPR$184</f>
        <v>0</v>
      </c>
      <c r="RPS77" s="223">
        <f xml:space="preserve"> InputsTS!RPS$184</f>
        <v>0</v>
      </c>
      <c r="RPT77" s="223">
        <f xml:space="preserve"> InputsTS!RPT$184</f>
        <v>0</v>
      </c>
      <c r="RPU77" s="223">
        <f xml:space="preserve"> InputsTS!RPU$184</f>
        <v>0</v>
      </c>
      <c r="RPV77" s="223">
        <f xml:space="preserve"> InputsTS!RPV$184</f>
        <v>0</v>
      </c>
      <c r="RPW77" s="223">
        <f xml:space="preserve"> InputsTS!RPW$184</f>
        <v>0</v>
      </c>
      <c r="RPX77" s="223">
        <f xml:space="preserve"> InputsTS!RPX$184</f>
        <v>0</v>
      </c>
      <c r="RPY77" s="223">
        <f xml:space="preserve"> InputsTS!RPY$184</f>
        <v>0</v>
      </c>
      <c r="RPZ77" s="223">
        <f xml:space="preserve"> InputsTS!RPZ$184</f>
        <v>0</v>
      </c>
      <c r="RQA77" s="223">
        <f xml:space="preserve"> InputsTS!RQA$184</f>
        <v>0</v>
      </c>
      <c r="RQB77" s="223">
        <f xml:space="preserve"> InputsTS!RQB$184</f>
        <v>0</v>
      </c>
      <c r="RQC77" s="223">
        <f xml:space="preserve"> InputsTS!RQC$184</f>
        <v>0</v>
      </c>
      <c r="RQD77" s="223">
        <f xml:space="preserve"> InputsTS!RQD$184</f>
        <v>0</v>
      </c>
      <c r="RQE77" s="223">
        <f xml:space="preserve"> InputsTS!RQE$184</f>
        <v>0</v>
      </c>
      <c r="RQF77" s="223">
        <f xml:space="preserve"> InputsTS!RQF$184</f>
        <v>0</v>
      </c>
      <c r="RQG77" s="223">
        <f xml:space="preserve"> InputsTS!RQG$184</f>
        <v>0</v>
      </c>
      <c r="RQH77" s="223">
        <f xml:space="preserve"> InputsTS!RQH$184</f>
        <v>0</v>
      </c>
      <c r="RQI77" s="223">
        <f xml:space="preserve"> InputsTS!RQI$184</f>
        <v>0</v>
      </c>
      <c r="RQJ77" s="223">
        <f xml:space="preserve"> InputsTS!RQJ$184</f>
        <v>0</v>
      </c>
      <c r="RQK77" s="223">
        <f xml:space="preserve"> InputsTS!RQK$184</f>
        <v>0</v>
      </c>
      <c r="RQL77" s="223">
        <f xml:space="preserve"> InputsTS!RQL$184</f>
        <v>0</v>
      </c>
      <c r="RQM77" s="223">
        <f xml:space="preserve"> InputsTS!RQM$184</f>
        <v>0</v>
      </c>
      <c r="RQN77" s="223">
        <f xml:space="preserve"> InputsTS!RQN$184</f>
        <v>0</v>
      </c>
      <c r="RQO77" s="223">
        <f xml:space="preserve"> InputsTS!RQO$184</f>
        <v>0</v>
      </c>
      <c r="RQP77" s="223">
        <f xml:space="preserve"> InputsTS!RQP$184</f>
        <v>0</v>
      </c>
      <c r="RQQ77" s="223">
        <f xml:space="preserve"> InputsTS!RQQ$184</f>
        <v>0</v>
      </c>
      <c r="RQR77" s="223">
        <f xml:space="preserve"> InputsTS!RQR$184</f>
        <v>0</v>
      </c>
      <c r="RQS77" s="223">
        <f xml:space="preserve"> InputsTS!RQS$184</f>
        <v>0</v>
      </c>
      <c r="RQT77" s="223">
        <f xml:space="preserve"> InputsTS!RQT$184</f>
        <v>0</v>
      </c>
      <c r="RQU77" s="223">
        <f xml:space="preserve"> InputsTS!RQU$184</f>
        <v>0</v>
      </c>
      <c r="RQV77" s="223">
        <f xml:space="preserve"> InputsTS!RQV$184</f>
        <v>0</v>
      </c>
      <c r="RQW77" s="223">
        <f xml:space="preserve"> InputsTS!RQW$184</f>
        <v>0</v>
      </c>
      <c r="RQX77" s="223">
        <f xml:space="preserve"> InputsTS!RQX$184</f>
        <v>0</v>
      </c>
      <c r="RQY77" s="223">
        <f xml:space="preserve"> InputsTS!RQY$184</f>
        <v>0</v>
      </c>
      <c r="RQZ77" s="223">
        <f xml:space="preserve"> InputsTS!RQZ$184</f>
        <v>0</v>
      </c>
      <c r="RRA77" s="223">
        <f xml:space="preserve"> InputsTS!RRA$184</f>
        <v>0</v>
      </c>
      <c r="RRB77" s="223">
        <f xml:space="preserve"> InputsTS!RRB$184</f>
        <v>0</v>
      </c>
      <c r="RRC77" s="223">
        <f xml:space="preserve"> InputsTS!RRC$184</f>
        <v>0</v>
      </c>
      <c r="RRD77" s="223">
        <f xml:space="preserve"> InputsTS!RRD$184</f>
        <v>0</v>
      </c>
      <c r="RRE77" s="223">
        <f xml:space="preserve"> InputsTS!RRE$184</f>
        <v>0</v>
      </c>
      <c r="RRF77" s="223">
        <f xml:space="preserve"> InputsTS!RRF$184</f>
        <v>0</v>
      </c>
      <c r="RRG77" s="223">
        <f xml:space="preserve"> InputsTS!RRG$184</f>
        <v>0</v>
      </c>
      <c r="RRH77" s="223">
        <f xml:space="preserve"> InputsTS!RRH$184</f>
        <v>0</v>
      </c>
      <c r="RRI77" s="223">
        <f xml:space="preserve"> InputsTS!RRI$184</f>
        <v>0</v>
      </c>
      <c r="RRJ77" s="223">
        <f xml:space="preserve"> InputsTS!RRJ$184</f>
        <v>0</v>
      </c>
      <c r="RRK77" s="223">
        <f xml:space="preserve"> InputsTS!RRK$184</f>
        <v>0</v>
      </c>
      <c r="RRL77" s="223">
        <f xml:space="preserve"> InputsTS!RRL$184</f>
        <v>0</v>
      </c>
      <c r="RRM77" s="223">
        <f xml:space="preserve"> InputsTS!RRM$184</f>
        <v>0</v>
      </c>
      <c r="RRN77" s="223">
        <f xml:space="preserve"> InputsTS!RRN$184</f>
        <v>0</v>
      </c>
      <c r="RRO77" s="223">
        <f xml:space="preserve"> InputsTS!RRO$184</f>
        <v>0</v>
      </c>
      <c r="RRP77" s="223">
        <f xml:space="preserve"> InputsTS!RRP$184</f>
        <v>0</v>
      </c>
      <c r="RRQ77" s="223">
        <f xml:space="preserve"> InputsTS!RRQ$184</f>
        <v>0</v>
      </c>
      <c r="RRR77" s="223">
        <f xml:space="preserve"> InputsTS!RRR$184</f>
        <v>0</v>
      </c>
      <c r="RRS77" s="223">
        <f xml:space="preserve"> InputsTS!RRS$184</f>
        <v>0</v>
      </c>
      <c r="RRT77" s="223">
        <f xml:space="preserve"> InputsTS!RRT$184</f>
        <v>0</v>
      </c>
      <c r="RRU77" s="223">
        <f xml:space="preserve"> InputsTS!RRU$184</f>
        <v>0</v>
      </c>
      <c r="RRV77" s="223">
        <f xml:space="preserve"> InputsTS!RRV$184</f>
        <v>0</v>
      </c>
      <c r="RRW77" s="223">
        <f xml:space="preserve"> InputsTS!RRW$184</f>
        <v>0</v>
      </c>
      <c r="RRX77" s="223">
        <f xml:space="preserve"> InputsTS!RRX$184</f>
        <v>0</v>
      </c>
      <c r="RRY77" s="223">
        <f xml:space="preserve"> InputsTS!RRY$184</f>
        <v>0</v>
      </c>
      <c r="RRZ77" s="223">
        <f xml:space="preserve"> InputsTS!RRZ$184</f>
        <v>0</v>
      </c>
      <c r="RSA77" s="223">
        <f xml:space="preserve"> InputsTS!RSA$184</f>
        <v>0</v>
      </c>
      <c r="RSB77" s="223">
        <f xml:space="preserve"> InputsTS!RSB$184</f>
        <v>0</v>
      </c>
      <c r="RSC77" s="223">
        <f xml:space="preserve"> InputsTS!RSC$184</f>
        <v>0</v>
      </c>
      <c r="RSD77" s="223">
        <f xml:space="preserve"> InputsTS!RSD$184</f>
        <v>0</v>
      </c>
      <c r="RSE77" s="223">
        <f xml:space="preserve"> InputsTS!RSE$184</f>
        <v>0</v>
      </c>
      <c r="RSF77" s="223">
        <f xml:space="preserve"> InputsTS!RSF$184</f>
        <v>0</v>
      </c>
      <c r="RSG77" s="223">
        <f xml:space="preserve"> InputsTS!RSG$184</f>
        <v>0</v>
      </c>
      <c r="RSH77" s="223">
        <f xml:space="preserve"> InputsTS!RSH$184</f>
        <v>0</v>
      </c>
      <c r="RSI77" s="223">
        <f xml:space="preserve"> InputsTS!RSI$184</f>
        <v>0</v>
      </c>
      <c r="RSJ77" s="223">
        <f xml:space="preserve"> InputsTS!RSJ$184</f>
        <v>0</v>
      </c>
      <c r="RSK77" s="223">
        <f xml:space="preserve"> InputsTS!RSK$184</f>
        <v>0</v>
      </c>
      <c r="RSL77" s="223">
        <f xml:space="preserve"> InputsTS!RSL$184</f>
        <v>0</v>
      </c>
      <c r="RSM77" s="223">
        <f xml:space="preserve"> InputsTS!RSM$184</f>
        <v>0</v>
      </c>
      <c r="RSN77" s="223">
        <f xml:space="preserve"> InputsTS!RSN$184</f>
        <v>0</v>
      </c>
      <c r="RSO77" s="223">
        <f xml:space="preserve"> InputsTS!RSO$184</f>
        <v>0</v>
      </c>
      <c r="RSP77" s="223">
        <f xml:space="preserve"> InputsTS!RSP$184</f>
        <v>0</v>
      </c>
      <c r="RSQ77" s="223">
        <f xml:space="preserve"> InputsTS!RSQ$184</f>
        <v>0</v>
      </c>
      <c r="RSR77" s="223">
        <f xml:space="preserve"> InputsTS!RSR$184</f>
        <v>0</v>
      </c>
      <c r="RSS77" s="223">
        <f xml:space="preserve"> InputsTS!RSS$184</f>
        <v>0</v>
      </c>
      <c r="RST77" s="223">
        <f xml:space="preserve"> InputsTS!RST$184</f>
        <v>0</v>
      </c>
      <c r="RSU77" s="223">
        <f xml:space="preserve"> InputsTS!RSU$184</f>
        <v>0</v>
      </c>
      <c r="RSV77" s="223">
        <f xml:space="preserve"> InputsTS!RSV$184</f>
        <v>0</v>
      </c>
      <c r="RSW77" s="223">
        <f xml:space="preserve"> InputsTS!RSW$184</f>
        <v>0</v>
      </c>
      <c r="RSX77" s="223">
        <f xml:space="preserve"> InputsTS!RSX$184</f>
        <v>0</v>
      </c>
      <c r="RSY77" s="223">
        <f xml:space="preserve"> InputsTS!RSY$184</f>
        <v>0</v>
      </c>
      <c r="RSZ77" s="223">
        <f xml:space="preserve"> InputsTS!RSZ$184</f>
        <v>0</v>
      </c>
      <c r="RTA77" s="223">
        <f xml:space="preserve"> InputsTS!RTA$184</f>
        <v>0</v>
      </c>
      <c r="RTB77" s="223">
        <f xml:space="preserve"> InputsTS!RTB$184</f>
        <v>0</v>
      </c>
      <c r="RTC77" s="223">
        <f xml:space="preserve"> InputsTS!RTC$184</f>
        <v>0</v>
      </c>
      <c r="RTD77" s="223">
        <f xml:space="preserve"> InputsTS!RTD$184</f>
        <v>0</v>
      </c>
      <c r="RTE77" s="223">
        <f xml:space="preserve"> InputsTS!RTE$184</f>
        <v>0</v>
      </c>
      <c r="RTF77" s="223">
        <f xml:space="preserve"> InputsTS!RTF$184</f>
        <v>0</v>
      </c>
      <c r="RTG77" s="223">
        <f xml:space="preserve"> InputsTS!RTG$184</f>
        <v>0</v>
      </c>
      <c r="RTH77" s="223">
        <f xml:space="preserve"> InputsTS!RTH$184</f>
        <v>0</v>
      </c>
      <c r="RTI77" s="223">
        <f xml:space="preserve"> InputsTS!RTI$184</f>
        <v>0</v>
      </c>
      <c r="RTJ77" s="223">
        <f xml:space="preserve"> InputsTS!RTJ$184</f>
        <v>0</v>
      </c>
      <c r="RTK77" s="223">
        <f xml:space="preserve"> InputsTS!RTK$184</f>
        <v>0</v>
      </c>
      <c r="RTL77" s="223">
        <f xml:space="preserve"> InputsTS!RTL$184</f>
        <v>0</v>
      </c>
      <c r="RTM77" s="223">
        <f xml:space="preserve"> InputsTS!RTM$184</f>
        <v>0</v>
      </c>
      <c r="RTN77" s="223">
        <f xml:space="preserve"> InputsTS!RTN$184</f>
        <v>0</v>
      </c>
      <c r="RTO77" s="223">
        <f xml:space="preserve"> InputsTS!RTO$184</f>
        <v>0</v>
      </c>
      <c r="RTP77" s="223">
        <f xml:space="preserve"> InputsTS!RTP$184</f>
        <v>0</v>
      </c>
      <c r="RTQ77" s="223">
        <f xml:space="preserve"> InputsTS!RTQ$184</f>
        <v>0</v>
      </c>
      <c r="RTR77" s="223">
        <f xml:space="preserve"> InputsTS!RTR$184</f>
        <v>0</v>
      </c>
      <c r="RTS77" s="223">
        <f xml:space="preserve"> InputsTS!RTS$184</f>
        <v>0</v>
      </c>
      <c r="RTT77" s="223">
        <f xml:space="preserve"> InputsTS!RTT$184</f>
        <v>0</v>
      </c>
      <c r="RTU77" s="223">
        <f xml:space="preserve"> InputsTS!RTU$184</f>
        <v>0</v>
      </c>
      <c r="RTV77" s="223">
        <f xml:space="preserve"> InputsTS!RTV$184</f>
        <v>0</v>
      </c>
      <c r="RTW77" s="223">
        <f xml:space="preserve"> InputsTS!RTW$184</f>
        <v>0</v>
      </c>
      <c r="RTX77" s="223">
        <f xml:space="preserve"> InputsTS!RTX$184</f>
        <v>0</v>
      </c>
      <c r="RTY77" s="223">
        <f xml:space="preserve"> InputsTS!RTY$184</f>
        <v>0</v>
      </c>
      <c r="RTZ77" s="223">
        <f xml:space="preserve"> InputsTS!RTZ$184</f>
        <v>0</v>
      </c>
      <c r="RUA77" s="223">
        <f xml:space="preserve"> InputsTS!RUA$184</f>
        <v>0</v>
      </c>
      <c r="RUB77" s="223">
        <f xml:space="preserve"> InputsTS!RUB$184</f>
        <v>0</v>
      </c>
      <c r="RUC77" s="223">
        <f xml:space="preserve"> InputsTS!RUC$184</f>
        <v>0</v>
      </c>
      <c r="RUD77" s="223">
        <f xml:space="preserve"> InputsTS!RUD$184</f>
        <v>0</v>
      </c>
      <c r="RUE77" s="223">
        <f xml:space="preserve"> InputsTS!RUE$184</f>
        <v>0</v>
      </c>
      <c r="RUF77" s="223">
        <f xml:space="preserve"> InputsTS!RUF$184</f>
        <v>0</v>
      </c>
      <c r="RUG77" s="223">
        <f xml:space="preserve"> InputsTS!RUG$184</f>
        <v>0</v>
      </c>
      <c r="RUH77" s="223">
        <f xml:space="preserve"> InputsTS!RUH$184</f>
        <v>0</v>
      </c>
      <c r="RUI77" s="223">
        <f xml:space="preserve"> InputsTS!RUI$184</f>
        <v>0</v>
      </c>
      <c r="RUJ77" s="223">
        <f xml:space="preserve"> InputsTS!RUJ$184</f>
        <v>0</v>
      </c>
      <c r="RUK77" s="223">
        <f xml:space="preserve"> InputsTS!RUK$184</f>
        <v>0</v>
      </c>
      <c r="RUL77" s="223">
        <f xml:space="preserve"> InputsTS!RUL$184</f>
        <v>0</v>
      </c>
      <c r="RUM77" s="223">
        <f xml:space="preserve"> InputsTS!RUM$184</f>
        <v>0</v>
      </c>
      <c r="RUN77" s="223">
        <f xml:space="preserve"> InputsTS!RUN$184</f>
        <v>0</v>
      </c>
      <c r="RUO77" s="223">
        <f xml:space="preserve"> InputsTS!RUO$184</f>
        <v>0</v>
      </c>
      <c r="RUP77" s="223">
        <f xml:space="preserve"> InputsTS!RUP$184</f>
        <v>0</v>
      </c>
      <c r="RUQ77" s="223">
        <f xml:space="preserve"> InputsTS!RUQ$184</f>
        <v>0</v>
      </c>
      <c r="RUR77" s="223">
        <f xml:space="preserve"> InputsTS!RUR$184</f>
        <v>0</v>
      </c>
      <c r="RUS77" s="223">
        <f xml:space="preserve"> InputsTS!RUS$184</f>
        <v>0</v>
      </c>
      <c r="RUT77" s="223">
        <f xml:space="preserve"> InputsTS!RUT$184</f>
        <v>0</v>
      </c>
      <c r="RUU77" s="223">
        <f xml:space="preserve"> InputsTS!RUU$184</f>
        <v>0</v>
      </c>
      <c r="RUV77" s="223">
        <f xml:space="preserve"> InputsTS!RUV$184</f>
        <v>0</v>
      </c>
      <c r="RUW77" s="223">
        <f xml:space="preserve"> InputsTS!RUW$184</f>
        <v>0</v>
      </c>
      <c r="RUX77" s="223">
        <f xml:space="preserve"> InputsTS!RUX$184</f>
        <v>0</v>
      </c>
      <c r="RUY77" s="223">
        <f xml:space="preserve"> InputsTS!RUY$184</f>
        <v>0</v>
      </c>
      <c r="RUZ77" s="223">
        <f xml:space="preserve"> InputsTS!RUZ$184</f>
        <v>0</v>
      </c>
      <c r="RVA77" s="223">
        <f xml:space="preserve"> InputsTS!RVA$184</f>
        <v>0</v>
      </c>
      <c r="RVB77" s="223">
        <f xml:space="preserve"> InputsTS!RVB$184</f>
        <v>0</v>
      </c>
      <c r="RVC77" s="223">
        <f xml:space="preserve"> InputsTS!RVC$184</f>
        <v>0</v>
      </c>
      <c r="RVD77" s="223">
        <f xml:space="preserve"> InputsTS!RVD$184</f>
        <v>0</v>
      </c>
      <c r="RVE77" s="223">
        <f xml:space="preserve"> InputsTS!RVE$184</f>
        <v>0</v>
      </c>
      <c r="RVF77" s="223">
        <f xml:space="preserve"> InputsTS!RVF$184</f>
        <v>0</v>
      </c>
      <c r="RVG77" s="223">
        <f xml:space="preserve"> InputsTS!RVG$184</f>
        <v>0</v>
      </c>
      <c r="RVH77" s="223">
        <f xml:space="preserve"> InputsTS!RVH$184</f>
        <v>0</v>
      </c>
      <c r="RVI77" s="223">
        <f xml:space="preserve"> InputsTS!RVI$184</f>
        <v>0</v>
      </c>
      <c r="RVJ77" s="223">
        <f xml:space="preserve"> InputsTS!RVJ$184</f>
        <v>0</v>
      </c>
      <c r="RVK77" s="223">
        <f xml:space="preserve"> InputsTS!RVK$184</f>
        <v>0</v>
      </c>
      <c r="RVL77" s="223">
        <f xml:space="preserve"> InputsTS!RVL$184</f>
        <v>0</v>
      </c>
      <c r="RVM77" s="223">
        <f xml:space="preserve"> InputsTS!RVM$184</f>
        <v>0</v>
      </c>
      <c r="RVN77" s="223">
        <f xml:space="preserve"> InputsTS!RVN$184</f>
        <v>0</v>
      </c>
      <c r="RVO77" s="223">
        <f xml:space="preserve"> InputsTS!RVO$184</f>
        <v>0</v>
      </c>
      <c r="RVP77" s="223">
        <f xml:space="preserve"> InputsTS!RVP$184</f>
        <v>0</v>
      </c>
      <c r="RVQ77" s="223">
        <f xml:space="preserve"> InputsTS!RVQ$184</f>
        <v>0</v>
      </c>
      <c r="RVR77" s="223">
        <f xml:space="preserve"> InputsTS!RVR$184</f>
        <v>0</v>
      </c>
      <c r="RVS77" s="223">
        <f xml:space="preserve"> InputsTS!RVS$184</f>
        <v>0</v>
      </c>
      <c r="RVT77" s="223">
        <f xml:space="preserve"> InputsTS!RVT$184</f>
        <v>0</v>
      </c>
      <c r="RVU77" s="223">
        <f xml:space="preserve"> InputsTS!RVU$184</f>
        <v>0</v>
      </c>
      <c r="RVV77" s="223">
        <f xml:space="preserve"> InputsTS!RVV$184</f>
        <v>0</v>
      </c>
      <c r="RVW77" s="223">
        <f xml:space="preserve"> InputsTS!RVW$184</f>
        <v>0</v>
      </c>
      <c r="RVX77" s="223">
        <f xml:space="preserve"> InputsTS!RVX$184</f>
        <v>0</v>
      </c>
      <c r="RVY77" s="223">
        <f xml:space="preserve"> InputsTS!RVY$184</f>
        <v>0</v>
      </c>
      <c r="RVZ77" s="223">
        <f xml:space="preserve"> InputsTS!RVZ$184</f>
        <v>0</v>
      </c>
      <c r="RWA77" s="223">
        <f xml:space="preserve"> InputsTS!RWA$184</f>
        <v>0</v>
      </c>
      <c r="RWB77" s="223">
        <f xml:space="preserve"> InputsTS!RWB$184</f>
        <v>0</v>
      </c>
      <c r="RWC77" s="223">
        <f xml:space="preserve"> InputsTS!RWC$184</f>
        <v>0</v>
      </c>
      <c r="RWD77" s="223">
        <f xml:space="preserve"> InputsTS!RWD$184</f>
        <v>0</v>
      </c>
      <c r="RWE77" s="223">
        <f xml:space="preserve"> InputsTS!RWE$184</f>
        <v>0</v>
      </c>
      <c r="RWF77" s="223">
        <f xml:space="preserve"> InputsTS!RWF$184</f>
        <v>0</v>
      </c>
      <c r="RWG77" s="223">
        <f xml:space="preserve"> InputsTS!RWG$184</f>
        <v>0</v>
      </c>
      <c r="RWH77" s="223">
        <f xml:space="preserve"> InputsTS!RWH$184</f>
        <v>0</v>
      </c>
      <c r="RWI77" s="223">
        <f xml:space="preserve"> InputsTS!RWI$184</f>
        <v>0</v>
      </c>
      <c r="RWJ77" s="223">
        <f xml:space="preserve"> InputsTS!RWJ$184</f>
        <v>0</v>
      </c>
      <c r="RWK77" s="223">
        <f xml:space="preserve"> InputsTS!RWK$184</f>
        <v>0</v>
      </c>
      <c r="RWL77" s="223">
        <f xml:space="preserve"> InputsTS!RWL$184</f>
        <v>0</v>
      </c>
      <c r="RWM77" s="223">
        <f xml:space="preserve"> InputsTS!RWM$184</f>
        <v>0</v>
      </c>
      <c r="RWN77" s="223">
        <f xml:space="preserve"> InputsTS!RWN$184</f>
        <v>0</v>
      </c>
      <c r="RWO77" s="223">
        <f xml:space="preserve"> InputsTS!RWO$184</f>
        <v>0</v>
      </c>
      <c r="RWP77" s="223">
        <f xml:space="preserve"> InputsTS!RWP$184</f>
        <v>0</v>
      </c>
      <c r="RWQ77" s="223">
        <f xml:space="preserve"> InputsTS!RWQ$184</f>
        <v>0</v>
      </c>
      <c r="RWR77" s="223">
        <f xml:space="preserve"> InputsTS!RWR$184</f>
        <v>0</v>
      </c>
      <c r="RWS77" s="223">
        <f xml:space="preserve"> InputsTS!RWS$184</f>
        <v>0</v>
      </c>
      <c r="RWT77" s="223">
        <f xml:space="preserve"> InputsTS!RWT$184</f>
        <v>0</v>
      </c>
      <c r="RWU77" s="223">
        <f xml:space="preserve"> InputsTS!RWU$184</f>
        <v>0</v>
      </c>
      <c r="RWV77" s="223">
        <f xml:space="preserve"> InputsTS!RWV$184</f>
        <v>0</v>
      </c>
      <c r="RWW77" s="223">
        <f xml:space="preserve"> InputsTS!RWW$184</f>
        <v>0</v>
      </c>
      <c r="RWX77" s="223">
        <f xml:space="preserve"> InputsTS!RWX$184</f>
        <v>0</v>
      </c>
      <c r="RWY77" s="223">
        <f xml:space="preserve"> InputsTS!RWY$184</f>
        <v>0</v>
      </c>
      <c r="RWZ77" s="223">
        <f xml:space="preserve"> InputsTS!RWZ$184</f>
        <v>0</v>
      </c>
      <c r="RXA77" s="223">
        <f xml:space="preserve"> InputsTS!RXA$184</f>
        <v>0</v>
      </c>
      <c r="RXB77" s="223">
        <f xml:space="preserve"> InputsTS!RXB$184</f>
        <v>0</v>
      </c>
      <c r="RXC77" s="223">
        <f xml:space="preserve"> InputsTS!RXC$184</f>
        <v>0</v>
      </c>
      <c r="RXD77" s="223">
        <f xml:space="preserve"> InputsTS!RXD$184</f>
        <v>0</v>
      </c>
      <c r="RXE77" s="223">
        <f xml:space="preserve"> InputsTS!RXE$184</f>
        <v>0</v>
      </c>
      <c r="RXF77" s="223">
        <f xml:space="preserve"> InputsTS!RXF$184</f>
        <v>0</v>
      </c>
      <c r="RXG77" s="223">
        <f xml:space="preserve"> InputsTS!RXG$184</f>
        <v>0</v>
      </c>
      <c r="RXH77" s="223">
        <f xml:space="preserve"> InputsTS!RXH$184</f>
        <v>0</v>
      </c>
      <c r="RXI77" s="223">
        <f xml:space="preserve"> InputsTS!RXI$184</f>
        <v>0</v>
      </c>
      <c r="RXJ77" s="223">
        <f xml:space="preserve"> InputsTS!RXJ$184</f>
        <v>0</v>
      </c>
      <c r="RXK77" s="223">
        <f xml:space="preserve"> InputsTS!RXK$184</f>
        <v>0</v>
      </c>
      <c r="RXL77" s="223">
        <f xml:space="preserve"> InputsTS!RXL$184</f>
        <v>0</v>
      </c>
      <c r="RXM77" s="223">
        <f xml:space="preserve"> InputsTS!RXM$184</f>
        <v>0</v>
      </c>
      <c r="RXN77" s="223">
        <f xml:space="preserve"> InputsTS!RXN$184</f>
        <v>0</v>
      </c>
      <c r="RXO77" s="223">
        <f xml:space="preserve"> InputsTS!RXO$184</f>
        <v>0</v>
      </c>
      <c r="RXP77" s="223">
        <f xml:space="preserve"> InputsTS!RXP$184</f>
        <v>0</v>
      </c>
      <c r="RXQ77" s="223">
        <f xml:space="preserve"> InputsTS!RXQ$184</f>
        <v>0</v>
      </c>
      <c r="RXR77" s="223">
        <f xml:space="preserve"> InputsTS!RXR$184</f>
        <v>0</v>
      </c>
      <c r="RXS77" s="223">
        <f xml:space="preserve"> InputsTS!RXS$184</f>
        <v>0</v>
      </c>
      <c r="RXT77" s="223">
        <f xml:space="preserve"> InputsTS!RXT$184</f>
        <v>0</v>
      </c>
      <c r="RXU77" s="223">
        <f xml:space="preserve"> InputsTS!RXU$184</f>
        <v>0</v>
      </c>
      <c r="RXV77" s="223">
        <f xml:space="preserve"> InputsTS!RXV$184</f>
        <v>0</v>
      </c>
      <c r="RXW77" s="223">
        <f xml:space="preserve"> InputsTS!RXW$184</f>
        <v>0</v>
      </c>
      <c r="RXX77" s="223">
        <f xml:space="preserve"> InputsTS!RXX$184</f>
        <v>0</v>
      </c>
      <c r="RXY77" s="223">
        <f xml:space="preserve"> InputsTS!RXY$184</f>
        <v>0</v>
      </c>
      <c r="RXZ77" s="223">
        <f xml:space="preserve"> InputsTS!RXZ$184</f>
        <v>0</v>
      </c>
      <c r="RYA77" s="223">
        <f xml:space="preserve"> InputsTS!RYA$184</f>
        <v>0</v>
      </c>
      <c r="RYB77" s="223">
        <f xml:space="preserve"> InputsTS!RYB$184</f>
        <v>0</v>
      </c>
      <c r="RYC77" s="223">
        <f xml:space="preserve"> InputsTS!RYC$184</f>
        <v>0</v>
      </c>
      <c r="RYD77" s="223">
        <f xml:space="preserve"> InputsTS!RYD$184</f>
        <v>0</v>
      </c>
      <c r="RYE77" s="223">
        <f xml:space="preserve"> InputsTS!RYE$184</f>
        <v>0</v>
      </c>
      <c r="RYF77" s="223">
        <f xml:space="preserve"> InputsTS!RYF$184</f>
        <v>0</v>
      </c>
      <c r="RYG77" s="223">
        <f xml:space="preserve"> InputsTS!RYG$184</f>
        <v>0</v>
      </c>
      <c r="RYH77" s="223">
        <f xml:space="preserve"> InputsTS!RYH$184</f>
        <v>0</v>
      </c>
      <c r="RYI77" s="223">
        <f xml:space="preserve"> InputsTS!RYI$184</f>
        <v>0</v>
      </c>
      <c r="RYJ77" s="223">
        <f xml:space="preserve"> InputsTS!RYJ$184</f>
        <v>0</v>
      </c>
      <c r="RYK77" s="223">
        <f xml:space="preserve"> InputsTS!RYK$184</f>
        <v>0</v>
      </c>
      <c r="RYL77" s="223">
        <f xml:space="preserve"> InputsTS!RYL$184</f>
        <v>0</v>
      </c>
      <c r="RYM77" s="223">
        <f xml:space="preserve"> InputsTS!RYM$184</f>
        <v>0</v>
      </c>
      <c r="RYN77" s="223">
        <f xml:space="preserve"> InputsTS!RYN$184</f>
        <v>0</v>
      </c>
      <c r="RYO77" s="223">
        <f xml:space="preserve"> InputsTS!RYO$184</f>
        <v>0</v>
      </c>
      <c r="RYP77" s="223">
        <f xml:space="preserve"> InputsTS!RYP$184</f>
        <v>0</v>
      </c>
      <c r="RYQ77" s="223">
        <f xml:space="preserve"> InputsTS!RYQ$184</f>
        <v>0</v>
      </c>
      <c r="RYR77" s="223">
        <f xml:space="preserve"> InputsTS!RYR$184</f>
        <v>0</v>
      </c>
      <c r="RYS77" s="223">
        <f xml:space="preserve"> InputsTS!RYS$184</f>
        <v>0</v>
      </c>
      <c r="RYT77" s="223">
        <f xml:space="preserve"> InputsTS!RYT$184</f>
        <v>0</v>
      </c>
      <c r="RYU77" s="223">
        <f xml:space="preserve"> InputsTS!RYU$184</f>
        <v>0</v>
      </c>
      <c r="RYV77" s="223">
        <f xml:space="preserve"> InputsTS!RYV$184</f>
        <v>0</v>
      </c>
      <c r="RYW77" s="223">
        <f xml:space="preserve"> InputsTS!RYW$184</f>
        <v>0</v>
      </c>
      <c r="RYX77" s="223">
        <f xml:space="preserve"> InputsTS!RYX$184</f>
        <v>0</v>
      </c>
      <c r="RYY77" s="223">
        <f xml:space="preserve"> InputsTS!RYY$184</f>
        <v>0</v>
      </c>
      <c r="RYZ77" s="223">
        <f xml:space="preserve"> InputsTS!RYZ$184</f>
        <v>0</v>
      </c>
      <c r="RZA77" s="223">
        <f xml:space="preserve"> InputsTS!RZA$184</f>
        <v>0</v>
      </c>
      <c r="RZB77" s="223">
        <f xml:space="preserve"> InputsTS!RZB$184</f>
        <v>0</v>
      </c>
      <c r="RZC77" s="223">
        <f xml:space="preserve"> InputsTS!RZC$184</f>
        <v>0</v>
      </c>
      <c r="RZD77" s="223">
        <f xml:space="preserve"> InputsTS!RZD$184</f>
        <v>0</v>
      </c>
      <c r="RZE77" s="223">
        <f xml:space="preserve"> InputsTS!RZE$184</f>
        <v>0</v>
      </c>
      <c r="RZF77" s="223">
        <f xml:space="preserve"> InputsTS!RZF$184</f>
        <v>0</v>
      </c>
      <c r="RZG77" s="223">
        <f xml:space="preserve"> InputsTS!RZG$184</f>
        <v>0</v>
      </c>
      <c r="RZH77" s="223">
        <f xml:space="preserve"> InputsTS!RZH$184</f>
        <v>0</v>
      </c>
      <c r="RZI77" s="223">
        <f xml:space="preserve"> InputsTS!RZI$184</f>
        <v>0</v>
      </c>
      <c r="RZJ77" s="223">
        <f xml:space="preserve"> InputsTS!RZJ$184</f>
        <v>0</v>
      </c>
      <c r="RZK77" s="223">
        <f xml:space="preserve"> InputsTS!RZK$184</f>
        <v>0</v>
      </c>
      <c r="RZL77" s="223">
        <f xml:space="preserve"> InputsTS!RZL$184</f>
        <v>0</v>
      </c>
      <c r="RZM77" s="223">
        <f xml:space="preserve"> InputsTS!RZM$184</f>
        <v>0</v>
      </c>
      <c r="RZN77" s="223">
        <f xml:space="preserve"> InputsTS!RZN$184</f>
        <v>0</v>
      </c>
      <c r="RZO77" s="223">
        <f xml:space="preserve"> InputsTS!RZO$184</f>
        <v>0</v>
      </c>
      <c r="RZP77" s="223">
        <f xml:space="preserve"> InputsTS!RZP$184</f>
        <v>0</v>
      </c>
      <c r="RZQ77" s="223">
        <f xml:space="preserve"> InputsTS!RZQ$184</f>
        <v>0</v>
      </c>
      <c r="RZR77" s="223">
        <f xml:space="preserve"> InputsTS!RZR$184</f>
        <v>0</v>
      </c>
      <c r="RZS77" s="223">
        <f xml:space="preserve"> InputsTS!RZS$184</f>
        <v>0</v>
      </c>
      <c r="RZT77" s="223">
        <f xml:space="preserve"> InputsTS!RZT$184</f>
        <v>0</v>
      </c>
      <c r="RZU77" s="223">
        <f xml:space="preserve"> InputsTS!RZU$184</f>
        <v>0</v>
      </c>
      <c r="RZV77" s="223">
        <f xml:space="preserve"> InputsTS!RZV$184</f>
        <v>0</v>
      </c>
      <c r="RZW77" s="223">
        <f xml:space="preserve"> InputsTS!RZW$184</f>
        <v>0</v>
      </c>
      <c r="RZX77" s="223">
        <f xml:space="preserve"> InputsTS!RZX$184</f>
        <v>0</v>
      </c>
      <c r="RZY77" s="223">
        <f xml:space="preserve"> InputsTS!RZY$184</f>
        <v>0</v>
      </c>
      <c r="RZZ77" s="223">
        <f xml:space="preserve"> InputsTS!RZZ$184</f>
        <v>0</v>
      </c>
      <c r="SAA77" s="223">
        <f xml:space="preserve"> InputsTS!SAA$184</f>
        <v>0</v>
      </c>
      <c r="SAB77" s="223">
        <f xml:space="preserve"> InputsTS!SAB$184</f>
        <v>0</v>
      </c>
      <c r="SAC77" s="223">
        <f xml:space="preserve"> InputsTS!SAC$184</f>
        <v>0</v>
      </c>
      <c r="SAD77" s="223">
        <f xml:space="preserve"> InputsTS!SAD$184</f>
        <v>0</v>
      </c>
      <c r="SAE77" s="223">
        <f xml:space="preserve"> InputsTS!SAE$184</f>
        <v>0</v>
      </c>
      <c r="SAF77" s="223">
        <f xml:space="preserve"> InputsTS!SAF$184</f>
        <v>0</v>
      </c>
      <c r="SAG77" s="223">
        <f xml:space="preserve"> InputsTS!SAG$184</f>
        <v>0</v>
      </c>
      <c r="SAH77" s="223">
        <f xml:space="preserve"> InputsTS!SAH$184</f>
        <v>0</v>
      </c>
      <c r="SAI77" s="223">
        <f xml:space="preserve"> InputsTS!SAI$184</f>
        <v>0</v>
      </c>
      <c r="SAJ77" s="223">
        <f xml:space="preserve"> InputsTS!SAJ$184</f>
        <v>0</v>
      </c>
      <c r="SAK77" s="223">
        <f xml:space="preserve"> InputsTS!SAK$184</f>
        <v>0</v>
      </c>
      <c r="SAL77" s="223">
        <f xml:space="preserve"> InputsTS!SAL$184</f>
        <v>0</v>
      </c>
      <c r="SAM77" s="223">
        <f xml:space="preserve"> InputsTS!SAM$184</f>
        <v>0</v>
      </c>
      <c r="SAN77" s="223">
        <f xml:space="preserve"> InputsTS!SAN$184</f>
        <v>0</v>
      </c>
      <c r="SAO77" s="223">
        <f xml:space="preserve"> InputsTS!SAO$184</f>
        <v>0</v>
      </c>
      <c r="SAP77" s="223">
        <f xml:space="preserve"> InputsTS!SAP$184</f>
        <v>0</v>
      </c>
      <c r="SAQ77" s="223">
        <f xml:space="preserve"> InputsTS!SAQ$184</f>
        <v>0</v>
      </c>
      <c r="SAR77" s="223">
        <f xml:space="preserve"> InputsTS!SAR$184</f>
        <v>0</v>
      </c>
      <c r="SAS77" s="223">
        <f xml:space="preserve"> InputsTS!SAS$184</f>
        <v>0</v>
      </c>
      <c r="SAT77" s="223">
        <f xml:space="preserve"> InputsTS!SAT$184</f>
        <v>0</v>
      </c>
      <c r="SAU77" s="223">
        <f xml:space="preserve"> InputsTS!SAU$184</f>
        <v>0</v>
      </c>
      <c r="SAV77" s="223">
        <f xml:space="preserve"> InputsTS!SAV$184</f>
        <v>0</v>
      </c>
      <c r="SAW77" s="223">
        <f xml:space="preserve"> InputsTS!SAW$184</f>
        <v>0</v>
      </c>
      <c r="SAX77" s="223">
        <f xml:space="preserve"> InputsTS!SAX$184</f>
        <v>0</v>
      </c>
      <c r="SAY77" s="223">
        <f xml:space="preserve"> InputsTS!SAY$184</f>
        <v>0</v>
      </c>
      <c r="SAZ77" s="223">
        <f xml:space="preserve"> InputsTS!SAZ$184</f>
        <v>0</v>
      </c>
      <c r="SBA77" s="223">
        <f xml:space="preserve"> InputsTS!SBA$184</f>
        <v>0</v>
      </c>
      <c r="SBB77" s="223">
        <f xml:space="preserve"> InputsTS!SBB$184</f>
        <v>0</v>
      </c>
      <c r="SBC77" s="223">
        <f xml:space="preserve"> InputsTS!SBC$184</f>
        <v>0</v>
      </c>
      <c r="SBD77" s="223">
        <f xml:space="preserve"> InputsTS!SBD$184</f>
        <v>0</v>
      </c>
      <c r="SBE77" s="223">
        <f xml:space="preserve"> InputsTS!SBE$184</f>
        <v>0</v>
      </c>
      <c r="SBF77" s="223">
        <f xml:space="preserve"> InputsTS!SBF$184</f>
        <v>0</v>
      </c>
      <c r="SBG77" s="223">
        <f xml:space="preserve"> InputsTS!SBG$184</f>
        <v>0</v>
      </c>
      <c r="SBH77" s="223">
        <f xml:space="preserve"> InputsTS!SBH$184</f>
        <v>0</v>
      </c>
      <c r="SBI77" s="223">
        <f xml:space="preserve"> InputsTS!SBI$184</f>
        <v>0</v>
      </c>
      <c r="SBJ77" s="223">
        <f xml:space="preserve"> InputsTS!SBJ$184</f>
        <v>0</v>
      </c>
      <c r="SBK77" s="223">
        <f xml:space="preserve"> InputsTS!SBK$184</f>
        <v>0</v>
      </c>
      <c r="SBL77" s="223">
        <f xml:space="preserve"> InputsTS!SBL$184</f>
        <v>0</v>
      </c>
      <c r="SBM77" s="223">
        <f xml:space="preserve"> InputsTS!SBM$184</f>
        <v>0</v>
      </c>
      <c r="SBN77" s="223">
        <f xml:space="preserve"> InputsTS!SBN$184</f>
        <v>0</v>
      </c>
      <c r="SBO77" s="223">
        <f xml:space="preserve"> InputsTS!SBO$184</f>
        <v>0</v>
      </c>
      <c r="SBP77" s="223">
        <f xml:space="preserve"> InputsTS!SBP$184</f>
        <v>0</v>
      </c>
      <c r="SBQ77" s="223">
        <f xml:space="preserve"> InputsTS!SBQ$184</f>
        <v>0</v>
      </c>
      <c r="SBR77" s="223">
        <f xml:space="preserve"> InputsTS!SBR$184</f>
        <v>0</v>
      </c>
      <c r="SBS77" s="223">
        <f xml:space="preserve"> InputsTS!SBS$184</f>
        <v>0</v>
      </c>
      <c r="SBT77" s="223">
        <f xml:space="preserve"> InputsTS!SBT$184</f>
        <v>0</v>
      </c>
      <c r="SBU77" s="223">
        <f xml:space="preserve"> InputsTS!SBU$184</f>
        <v>0</v>
      </c>
      <c r="SBV77" s="223">
        <f xml:space="preserve"> InputsTS!SBV$184</f>
        <v>0</v>
      </c>
      <c r="SBW77" s="223">
        <f xml:space="preserve"> InputsTS!SBW$184</f>
        <v>0</v>
      </c>
      <c r="SBX77" s="223">
        <f xml:space="preserve"> InputsTS!SBX$184</f>
        <v>0</v>
      </c>
      <c r="SBY77" s="223">
        <f xml:space="preserve"> InputsTS!SBY$184</f>
        <v>0</v>
      </c>
      <c r="SBZ77" s="223">
        <f xml:space="preserve"> InputsTS!SBZ$184</f>
        <v>0</v>
      </c>
      <c r="SCA77" s="223">
        <f xml:space="preserve"> InputsTS!SCA$184</f>
        <v>0</v>
      </c>
      <c r="SCB77" s="223">
        <f xml:space="preserve"> InputsTS!SCB$184</f>
        <v>0</v>
      </c>
      <c r="SCC77" s="223">
        <f xml:space="preserve"> InputsTS!SCC$184</f>
        <v>0</v>
      </c>
      <c r="SCD77" s="223">
        <f xml:space="preserve"> InputsTS!SCD$184</f>
        <v>0</v>
      </c>
      <c r="SCE77" s="223">
        <f xml:space="preserve"> InputsTS!SCE$184</f>
        <v>0</v>
      </c>
      <c r="SCF77" s="223">
        <f xml:space="preserve"> InputsTS!SCF$184</f>
        <v>0</v>
      </c>
      <c r="SCG77" s="223">
        <f xml:space="preserve"> InputsTS!SCG$184</f>
        <v>0</v>
      </c>
      <c r="SCH77" s="223">
        <f xml:space="preserve"> InputsTS!SCH$184</f>
        <v>0</v>
      </c>
      <c r="SCI77" s="223">
        <f xml:space="preserve"> InputsTS!SCI$184</f>
        <v>0</v>
      </c>
      <c r="SCJ77" s="223">
        <f xml:space="preserve"> InputsTS!SCJ$184</f>
        <v>0</v>
      </c>
      <c r="SCK77" s="223">
        <f xml:space="preserve"> InputsTS!SCK$184</f>
        <v>0</v>
      </c>
      <c r="SCL77" s="223">
        <f xml:space="preserve"> InputsTS!SCL$184</f>
        <v>0</v>
      </c>
      <c r="SCM77" s="223">
        <f xml:space="preserve"> InputsTS!SCM$184</f>
        <v>0</v>
      </c>
      <c r="SCN77" s="223">
        <f xml:space="preserve"> InputsTS!SCN$184</f>
        <v>0</v>
      </c>
      <c r="SCO77" s="223">
        <f xml:space="preserve"> InputsTS!SCO$184</f>
        <v>0</v>
      </c>
      <c r="SCP77" s="223">
        <f xml:space="preserve"> InputsTS!SCP$184</f>
        <v>0</v>
      </c>
      <c r="SCQ77" s="223">
        <f xml:space="preserve"> InputsTS!SCQ$184</f>
        <v>0</v>
      </c>
      <c r="SCR77" s="223">
        <f xml:space="preserve"> InputsTS!SCR$184</f>
        <v>0</v>
      </c>
      <c r="SCS77" s="223">
        <f xml:space="preserve"> InputsTS!SCS$184</f>
        <v>0</v>
      </c>
      <c r="SCT77" s="223">
        <f xml:space="preserve"> InputsTS!SCT$184</f>
        <v>0</v>
      </c>
      <c r="SCU77" s="223">
        <f xml:space="preserve"> InputsTS!SCU$184</f>
        <v>0</v>
      </c>
      <c r="SCV77" s="223">
        <f xml:space="preserve"> InputsTS!SCV$184</f>
        <v>0</v>
      </c>
      <c r="SCW77" s="223">
        <f xml:space="preserve"> InputsTS!SCW$184</f>
        <v>0</v>
      </c>
      <c r="SCX77" s="223">
        <f xml:space="preserve"> InputsTS!SCX$184</f>
        <v>0</v>
      </c>
      <c r="SCY77" s="223">
        <f xml:space="preserve"> InputsTS!SCY$184</f>
        <v>0</v>
      </c>
      <c r="SCZ77" s="223">
        <f xml:space="preserve"> InputsTS!SCZ$184</f>
        <v>0</v>
      </c>
      <c r="SDA77" s="223">
        <f xml:space="preserve"> InputsTS!SDA$184</f>
        <v>0</v>
      </c>
      <c r="SDB77" s="223">
        <f xml:space="preserve"> InputsTS!SDB$184</f>
        <v>0</v>
      </c>
      <c r="SDC77" s="223">
        <f xml:space="preserve"> InputsTS!SDC$184</f>
        <v>0</v>
      </c>
      <c r="SDD77" s="223">
        <f xml:space="preserve"> InputsTS!SDD$184</f>
        <v>0</v>
      </c>
      <c r="SDE77" s="223">
        <f xml:space="preserve"> InputsTS!SDE$184</f>
        <v>0</v>
      </c>
      <c r="SDF77" s="223">
        <f xml:space="preserve"> InputsTS!SDF$184</f>
        <v>0</v>
      </c>
      <c r="SDG77" s="223">
        <f xml:space="preserve"> InputsTS!SDG$184</f>
        <v>0</v>
      </c>
      <c r="SDH77" s="223">
        <f xml:space="preserve"> InputsTS!SDH$184</f>
        <v>0</v>
      </c>
      <c r="SDI77" s="223">
        <f xml:space="preserve"> InputsTS!SDI$184</f>
        <v>0</v>
      </c>
      <c r="SDJ77" s="223">
        <f xml:space="preserve"> InputsTS!SDJ$184</f>
        <v>0</v>
      </c>
      <c r="SDK77" s="223">
        <f xml:space="preserve"> InputsTS!SDK$184</f>
        <v>0</v>
      </c>
      <c r="SDL77" s="223">
        <f xml:space="preserve"> InputsTS!SDL$184</f>
        <v>0</v>
      </c>
      <c r="SDM77" s="223">
        <f xml:space="preserve"> InputsTS!SDM$184</f>
        <v>0</v>
      </c>
      <c r="SDN77" s="223">
        <f xml:space="preserve"> InputsTS!SDN$184</f>
        <v>0</v>
      </c>
      <c r="SDO77" s="223">
        <f xml:space="preserve"> InputsTS!SDO$184</f>
        <v>0</v>
      </c>
      <c r="SDP77" s="223">
        <f xml:space="preserve"> InputsTS!SDP$184</f>
        <v>0</v>
      </c>
      <c r="SDQ77" s="223">
        <f xml:space="preserve"> InputsTS!SDQ$184</f>
        <v>0</v>
      </c>
      <c r="SDR77" s="223">
        <f xml:space="preserve"> InputsTS!SDR$184</f>
        <v>0</v>
      </c>
      <c r="SDS77" s="223">
        <f xml:space="preserve"> InputsTS!SDS$184</f>
        <v>0</v>
      </c>
      <c r="SDT77" s="223">
        <f xml:space="preserve"> InputsTS!SDT$184</f>
        <v>0</v>
      </c>
      <c r="SDU77" s="223">
        <f xml:space="preserve"> InputsTS!SDU$184</f>
        <v>0</v>
      </c>
      <c r="SDV77" s="223">
        <f xml:space="preserve"> InputsTS!SDV$184</f>
        <v>0</v>
      </c>
      <c r="SDW77" s="223">
        <f xml:space="preserve"> InputsTS!SDW$184</f>
        <v>0</v>
      </c>
      <c r="SDX77" s="223">
        <f xml:space="preserve"> InputsTS!SDX$184</f>
        <v>0</v>
      </c>
      <c r="SDY77" s="223">
        <f xml:space="preserve"> InputsTS!SDY$184</f>
        <v>0</v>
      </c>
      <c r="SDZ77" s="223">
        <f xml:space="preserve"> InputsTS!SDZ$184</f>
        <v>0</v>
      </c>
      <c r="SEA77" s="223">
        <f xml:space="preserve"> InputsTS!SEA$184</f>
        <v>0</v>
      </c>
      <c r="SEB77" s="223">
        <f xml:space="preserve"> InputsTS!SEB$184</f>
        <v>0</v>
      </c>
      <c r="SEC77" s="223">
        <f xml:space="preserve"> InputsTS!SEC$184</f>
        <v>0</v>
      </c>
      <c r="SED77" s="223">
        <f xml:space="preserve"> InputsTS!SED$184</f>
        <v>0</v>
      </c>
      <c r="SEE77" s="223">
        <f xml:space="preserve"> InputsTS!SEE$184</f>
        <v>0</v>
      </c>
      <c r="SEF77" s="223">
        <f xml:space="preserve"> InputsTS!SEF$184</f>
        <v>0</v>
      </c>
      <c r="SEG77" s="223">
        <f xml:space="preserve"> InputsTS!SEG$184</f>
        <v>0</v>
      </c>
      <c r="SEH77" s="223">
        <f xml:space="preserve"> InputsTS!SEH$184</f>
        <v>0</v>
      </c>
      <c r="SEI77" s="223">
        <f xml:space="preserve"> InputsTS!SEI$184</f>
        <v>0</v>
      </c>
      <c r="SEJ77" s="223">
        <f xml:space="preserve"> InputsTS!SEJ$184</f>
        <v>0</v>
      </c>
      <c r="SEK77" s="223">
        <f xml:space="preserve"> InputsTS!SEK$184</f>
        <v>0</v>
      </c>
      <c r="SEL77" s="223">
        <f xml:space="preserve"> InputsTS!SEL$184</f>
        <v>0</v>
      </c>
      <c r="SEM77" s="223">
        <f xml:space="preserve"> InputsTS!SEM$184</f>
        <v>0</v>
      </c>
      <c r="SEN77" s="223">
        <f xml:space="preserve"> InputsTS!SEN$184</f>
        <v>0</v>
      </c>
      <c r="SEO77" s="223">
        <f xml:space="preserve"> InputsTS!SEO$184</f>
        <v>0</v>
      </c>
      <c r="SEP77" s="223">
        <f xml:space="preserve"> InputsTS!SEP$184</f>
        <v>0</v>
      </c>
      <c r="SEQ77" s="223">
        <f xml:space="preserve"> InputsTS!SEQ$184</f>
        <v>0</v>
      </c>
      <c r="SER77" s="223">
        <f xml:space="preserve"> InputsTS!SER$184</f>
        <v>0</v>
      </c>
      <c r="SES77" s="223">
        <f xml:space="preserve"> InputsTS!SES$184</f>
        <v>0</v>
      </c>
      <c r="SET77" s="223">
        <f xml:space="preserve"> InputsTS!SET$184</f>
        <v>0</v>
      </c>
      <c r="SEU77" s="223">
        <f xml:space="preserve"> InputsTS!SEU$184</f>
        <v>0</v>
      </c>
      <c r="SEV77" s="223">
        <f xml:space="preserve"> InputsTS!SEV$184</f>
        <v>0</v>
      </c>
      <c r="SEW77" s="223">
        <f xml:space="preserve"> InputsTS!SEW$184</f>
        <v>0</v>
      </c>
      <c r="SEX77" s="223">
        <f xml:space="preserve"> InputsTS!SEX$184</f>
        <v>0</v>
      </c>
      <c r="SEY77" s="223">
        <f xml:space="preserve"> InputsTS!SEY$184</f>
        <v>0</v>
      </c>
      <c r="SEZ77" s="223">
        <f xml:space="preserve"> InputsTS!SEZ$184</f>
        <v>0</v>
      </c>
      <c r="SFA77" s="223">
        <f xml:space="preserve"> InputsTS!SFA$184</f>
        <v>0</v>
      </c>
      <c r="SFB77" s="223">
        <f xml:space="preserve"> InputsTS!SFB$184</f>
        <v>0</v>
      </c>
      <c r="SFC77" s="223">
        <f xml:space="preserve"> InputsTS!SFC$184</f>
        <v>0</v>
      </c>
      <c r="SFD77" s="223">
        <f xml:space="preserve"> InputsTS!SFD$184</f>
        <v>0</v>
      </c>
      <c r="SFE77" s="223">
        <f xml:space="preserve"> InputsTS!SFE$184</f>
        <v>0</v>
      </c>
      <c r="SFF77" s="223">
        <f xml:space="preserve"> InputsTS!SFF$184</f>
        <v>0</v>
      </c>
      <c r="SFG77" s="223">
        <f xml:space="preserve"> InputsTS!SFG$184</f>
        <v>0</v>
      </c>
      <c r="SFH77" s="223">
        <f xml:space="preserve"> InputsTS!SFH$184</f>
        <v>0</v>
      </c>
      <c r="SFI77" s="223">
        <f xml:space="preserve"> InputsTS!SFI$184</f>
        <v>0</v>
      </c>
      <c r="SFJ77" s="223">
        <f xml:space="preserve"> InputsTS!SFJ$184</f>
        <v>0</v>
      </c>
      <c r="SFK77" s="223">
        <f xml:space="preserve"> InputsTS!SFK$184</f>
        <v>0</v>
      </c>
      <c r="SFL77" s="223">
        <f xml:space="preserve"> InputsTS!SFL$184</f>
        <v>0</v>
      </c>
      <c r="SFM77" s="223">
        <f xml:space="preserve"> InputsTS!SFM$184</f>
        <v>0</v>
      </c>
      <c r="SFN77" s="223">
        <f xml:space="preserve"> InputsTS!SFN$184</f>
        <v>0</v>
      </c>
      <c r="SFO77" s="223">
        <f xml:space="preserve"> InputsTS!SFO$184</f>
        <v>0</v>
      </c>
      <c r="SFP77" s="223">
        <f xml:space="preserve"> InputsTS!SFP$184</f>
        <v>0</v>
      </c>
      <c r="SFQ77" s="223">
        <f xml:space="preserve"> InputsTS!SFQ$184</f>
        <v>0</v>
      </c>
      <c r="SFR77" s="223">
        <f xml:space="preserve"> InputsTS!SFR$184</f>
        <v>0</v>
      </c>
      <c r="SFS77" s="223">
        <f xml:space="preserve"> InputsTS!SFS$184</f>
        <v>0</v>
      </c>
      <c r="SFT77" s="223">
        <f xml:space="preserve"> InputsTS!SFT$184</f>
        <v>0</v>
      </c>
      <c r="SFU77" s="223">
        <f xml:space="preserve"> InputsTS!SFU$184</f>
        <v>0</v>
      </c>
      <c r="SFV77" s="223">
        <f xml:space="preserve"> InputsTS!SFV$184</f>
        <v>0</v>
      </c>
      <c r="SFW77" s="223">
        <f xml:space="preserve"> InputsTS!SFW$184</f>
        <v>0</v>
      </c>
      <c r="SFX77" s="223">
        <f xml:space="preserve"> InputsTS!SFX$184</f>
        <v>0</v>
      </c>
      <c r="SFY77" s="223">
        <f xml:space="preserve"> InputsTS!SFY$184</f>
        <v>0</v>
      </c>
      <c r="SFZ77" s="223">
        <f xml:space="preserve"> InputsTS!SFZ$184</f>
        <v>0</v>
      </c>
      <c r="SGA77" s="223">
        <f xml:space="preserve"> InputsTS!SGA$184</f>
        <v>0</v>
      </c>
      <c r="SGB77" s="223">
        <f xml:space="preserve"> InputsTS!SGB$184</f>
        <v>0</v>
      </c>
      <c r="SGC77" s="223">
        <f xml:space="preserve"> InputsTS!SGC$184</f>
        <v>0</v>
      </c>
      <c r="SGD77" s="223">
        <f xml:space="preserve"> InputsTS!SGD$184</f>
        <v>0</v>
      </c>
      <c r="SGE77" s="223">
        <f xml:space="preserve"> InputsTS!SGE$184</f>
        <v>0</v>
      </c>
      <c r="SGF77" s="223">
        <f xml:space="preserve"> InputsTS!SGF$184</f>
        <v>0</v>
      </c>
      <c r="SGG77" s="223">
        <f xml:space="preserve"> InputsTS!SGG$184</f>
        <v>0</v>
      </c>
      <c r="SGH77" s="223">
        <f xml:space="preserve"> InputsTS!SGH$184</f>
        <v>0</v>
      </c>
      <c r="SGI77" s="223">
        <f xml:space="preserve"> InputsTS!SGI$184</f>
        <v>0</v>
      </c>
      <c r="SGJ77" s="223">
        <f xml:space="preserve"> InputsTS!SGJ$184</f>
        <v>0</v>
      </c>
      <c r="SGK77" s="223">
        <f xml:space="preserve"> InputsTS!SGK$184</f>
        <v>0</v>
      </c>
      <c r="SGL77" s="223">
        <f xml:space="preserve"> InputsTS!SGL$184</f>
        <v>0</v>
      </c>
      <c r="SGM77" s="223">
        <f xml:space="preserve"> InputsTS!SGM$184</f>
        <v>0</v>
      </c>
      <c r="SGN77" s="223">
        <f xml:space="preserve"> InputsTS!SGN$184</f>
        <v>0</v>
      </c>
      <c r="SGO77" s="223">
        <f xml:space="preserve"> InputsTS!SGO$184</f>
        <v>0</v>
      </c>
      <c r="SGP77" s="223">
        <f xml:space="preserve"> InputsTS!SGP$184</f>
        <v>0</v>
      </c>
      <c r="SGQ77" s="223">
        <f xml:space="preserve"> InputsTS!SGQ$184</f>
        <v>0</v>
      </c>
      <c r="SGR77" s="223">
        <f xml:space="preserve"> InputsTS!SGR$184</f>
        <v>0</v>
      </c>
      <c r="SGS77" s="223">
        <f xml:space="preserve"> InputsTS!SGS$184</f>
        <v>0</v>
      </c>
      <c r="SGT77" s="223">
        <f xml:space="preserve"> InputsTS!SGT$184</f>
        <v>0</v>
      </c>
      <c r="SGU77" s="223">
        <f xml:space="preserve"> InputsTS!SGU$184</f>
        <v>0</v>
      </c>
      <c r="SGV77" s="223">
        <f xml:space="preserve"> InputsTS!SGV$184</f>
        <v>0</v>
      </c>
      <c r="SGW77" s="223">
        <f xml:space="preserve"> InputsTS!SGW$184</f>
        <v>0</v>
      </c>
      <c r="SGX77" s="223">
        <f xml:space="preserve"> InputsTS!SGX$184</f>
        <v>0</v>
      </c>
      <c r="SGY77" s="223">
        <f xml:space="preserve"> InputsTS!SGY$184</f>
        <v>0</v>
      </c>
      <c r="SGZ77" s="223">
        <f xml:space="preserve"> InputsTS!SGZ$184</f>
        <v>0</v>
      </c>
      <c r="SHA77" s="223">
        <f xml:space="preserve"> InputsTS!SHA$184</f>
        <v>0</v>
      </c>
      <c r="SHB77" s="223">
        <f xml:space="preserve"> InputsTS!SHB$184</f>
        <v>0</v>
      </c>
      <c r="SHC77" s="223">
        <f xml:space="preserve"> InputsTS!SHC$184</f>
        <v>0</v>
      </c>
      <c r="SHD77" s="223">
        <f xml:space="preserve"> InputsTS!SHD$184</f>
        <v>0</v>
      </c>
      <c r="SHE77" s="223">
        <f xml:space="preserve"> InputsTS!SHE$184</f>
        <v>0</v>
      </c>
      <c r="SHF77" s="223">
        <f xml:space="preserve"> InputsTS!SHF$184</f>
        <v>0</v>
      </c>
      <c r="SHG77" s="223">
        <f xml:space="preserve"> InputsTS!SHG$184</f>
        <v>0</v>
      </c>
      <c r="SHH77" s="223">
        <f xml:space="preserve"> InputsTS!SHH$184</f>
        <v>0</v>
      </c>
      <c r="SHI77" s="223">
        <f xml:space="preserve"> InputsTS!SHI$184</f>
        <v>0</v>
      </c>
      <c r="SHJ77" s="223">
        <f xml:space="preserve"> InputsTS!SHJ$184</f>
        <v>0</v>
      </c>
      <c r="SHK77" s="223">
        <f xml:space="preserve"> InputsTS!SHK$184</f>
        <v>0</v>
      </c>
      <c r="SHL77" s="223">
        <f xml:space="preserve"> InputsTS!SHL$184</f>
        <v>0</v>
      </c>
      <c r="SHM77" s="223">
        <f xml:space="preserve"> InputsTS!SHM$184</f>
        <v>0</v>
      </c>
      <c r="SHN77" s="223">
        <f xml:space="preserve"> InputsTS!SHN$184</f>
        <v>0</v>
      </c>
      <c r="SHO77" s="223">
        <f xml:space="preserve"> InputsTS!SHO$184</f>
        <v>0</v>
      </c>
      <c r="SHP77" s="223">
        <f xml:space="preserve"> InputsTS!SHP$184</f>
        <v>0</v>
      </c>
      <c r="SHQ77" s="223">
        <f xml:space="preserve"> InputsTS!SHQ$184</f>
        <v>0</v>
      </c>
      <c r="SHR77" s="223">
        <f xml:space="preserve"> InputsTS!SHR$184</f>
        <v>0</v>
      </c>
      <c r="SHS77" s="223">
        <f xml:space="preserve"> InputsTS!SHS$184</f>
        <v>0</v>
      </c>
      <c r="SHT77" s="223">
        <f xml:space="preserve"> InputsTS!SHT$184</f>
        <v>0</v>
      </c>
      <c r="SHU77" s="223">
        <f xml:space="preserve"> InputsTS!SHU$184</f>
        <v>0</v>
      </c>
      <c r="SHV77" s="223">
        <f xml:space="preserve"> InputsTS!SHV$184</f>
        <v>0</v>
      </c>
      <c r="SHW77" s="223">
        <f xml:space="preserve"> InputsTS!SHW$184</f>
        <v>0</v>
      </c>
      <c r="SHX77" s="223">
        <f xml:space="preserve"> InputsTS!SHX$184</f>
        <v>0</v>
      </c>
      <c r="SHY77" s="223">
        <f xml:space="preserve"> InputsTS!SHY$184</f>
        <v>0</v>
      </c>
      <c r="SHZ77" s="223">
        <f xml:space="preserve"> InputsTS!SHZ$184</f>
        <v>0</v>
      </c>
      <c r="SIA77" s="223">
        <f xml:space="preserve"> InputsTS!SIA$184</f>
        <v>0</v>
      </c>
      <c r="SIB77" s="223">
        <f xml:space="preserve"> InputsTS!SIB$184</f>
        <v>0</v>
      </c>
      <c r="SIC77" s="223">
        <f xml:space="preserve"> InputsTS!SIC$184</f>
        <v>0</v>
      </c>
      <c r="SID77" s="223">
        <f xml:space="preserve"> InputsTS!SID$184</f>
        <v>0</v>
      </c>
      <c r="SIE77" s="223">
        <f xml:space="preserve"> InputsTS!SIE$184</f>
        <v>0</v>
      </c>
      <c r="SIF77" s="223">
        <f xml:space="preserve"> InputsTS!SIF$184</f>
        <v>0</v>
      </c>
      <c r="SIG77" s="223">
        <f xml:space="preserve"> InputsTS!SIG$184</f>
        <v>0</v>
      </c>
      <c r="SIH77" s="223">
        <f xml:space="preserve"> InputsTS!SIH$184</f>
        <v>0</v>
      </c>
      <c r="SII77" s="223">
        <f xml:space="preserve"> InputsTS!SII$184</f>
        <v>0</v>
      </c>
      <c r="SIJ77" s="223">
        <f xml:space="preserve"> InputsTS!SIJ$184</f>
        <v>0</v>
      </c>
      <c r="SIK77" s="223">
        <f xml:space="preserve"> InputsTS!SIK$184</f>
        <v>0</v>
      </c>
      <c r="SIL77" s="223">
        <f xml:space="preserve"> InputsTS!SIL$184</f>
        <v>0</v>
      </c>
      <c r="SIM77" s="223">
        <f xml:space="preserve"> InputsTS!SIM$184</f>
        <v>0</v>
      </c>
      <c r="SIN77" s="223">
        <f xml:space="preserve"> InputsTS!SIN$184</f>
        <v>0</v>
      </c>
      <c r="SIO77" s="223">
        <f xml:space="preserve"> InputsTS!SIO$184</f>
        <v>0</v>
      </c>
      <c r="SIP77" s="223">
        <f xml:space="preserve"> InputsTS!SIP$184</f>
        <v>0</v>
      </c>
      <c r="SIQ77" s="223">
        <f xml:space="preserve"> InputsTS!SIQ$184</f>
        <v>0</v>
      </c>
      <c r="SIR77" s="223">
        <f xml:space="preserve"> InputsTS!SIR$184</f>
        <v>0</v>
      </c>
      <c r="SIS77" s="223">
        <f xml:space="preserve"> InputsTS!SIS$184</f>
        <v>0</v>
      </c>
      <c r="SIT77" s="223">
        <f xml:space="preserve"> InputsTS!SIT$184</f>
        <v>0</v>
      </c>
      <c r="SIU77" s="223">
        <f xml:space="preserve"> InputsTS!SIU$184</f>
        <v>0</v>
      </c>
      <c r="SIV77" s="223">
        <f xml:space="preserve"> InputsTS!SIV$184</f>
        <v>0</v>
      </c>
      <c r="SIW77" s="223">
        <f xml:space="preserve"> InputsTS!SIW$184</f>
        <v>0</v>
      </c>
      <c r="SIX77" s="223">
        <f xml:space="preserve"> InputsTS!SIX$184</f>
        <v>0</v>
      </c>
      <c r="SIY77" s="223">
        <f xml:space="preserve"> InputsTS!SIY$184</f>
        <v>0</v>
      </c>
      <c r="SIZ77" s="223">
        <f xml:space="preserve"> InputsTS!SIZ$184</f>
        <v>0</v>
      </c>
      <c r="SJA77" s="223">
        <f xml:space="preserve"> InputsTS!SJA$184</f>
        <v>0</v>
      </c>
      <c r="SJB77" s="223">
        <f xml:space="preserve"> InputsTS!SJB$184</f>
        <v>0</v>
      </c>
      <c r="SJC77" s="223">
        <f xml:space="preserve"> InputsTS!SJC$184</f>
        <v>0</v>
      </c>
      <c r="SJD77" s="223">
        <f xml:space="preserve"> InputsTS!SJD$184</f>
        <v>0</v>
      </c>
      <c r="SJE77" s="223">
        <f xml:space="preserve"> InputsTS!SJE$184</f>
        <v>0</v>
      </c>
      <c r="SJF77" s="223">
        <f xml:space="preserve"> InputsTS!SJF$184</f>
        <v>0</v>
      </c>
      <c r="SJG77" s="223">
        <f xml:space="preserve"> InputsTS!SJG$184</f>
        <v>0</v>
      </c>
      <c r="SJH77" s="223">
        <f xml:space="preserve"> InputsTS!SJH$184</f>
        <v>0</v>
      </c>
      <c r="SJI77" s="223">
        <f xml:space="preserve"> InputsTS!SJI$184</f>
        <v>0</v>
      </c>
      <c r="SJJ77" s="223">
        <f xml:space="preserve"> InputsTS!SJJ$184</f>
        <v>0</v>
      </c>
      <c r="SJK77" s="223">
        <f xml:space="preserve"> InputsTS!SJK$184</f>
        <v>0</v>
      </c>
      <c r="SJL77" s="223">
        <f xml:space="preserve"> InputsTS!SJL$184</f>
        <v>0</v>
      </c>
      <c r="SJM77" s="223">
        <f xml:space="preserve"> InputsTS!SJM$184</f>
        <v>0</v>
      </c>
      <c r="SJN77" s="223">
        <f xml:space="preserve"> InputsTS!SJN$184</f>
        <v>0</v>
      </c>
      <c r="SJO77" s="223">
        <f xml:space="preserve"> InputsTS!SJO$184</f>
        <v>0</v>
      </c>
      <c r="SJP77" s="223">
        <f xml:space="preserve"> InputsTS!SJP$184</f>
        <v>0</v>
      </c>
      <c r="SJQ77" s="223">
        <f xml:space="preserve"> InputsTS!SJQ$184</f>
        <v>0</v>
      </c>
      <c r="SJR77" s="223">
        <f xml:space="preserve"> InputsTS!SJR$184</f>
        <v>0</v>
      </c>
      <c r="SJS77" s="223">
        <f xml:space="preserve"> InputsTS!SJS$184</f>
        <v>0</v>
      </c>
      <c r="SJT77" s="223">
        <f xml:space="preserve"> InputsTS!SJT$184</f>
        <v>0</v>
      </c>
      <c r="SJU77" s="223">
        <f xml:space="preserve"> InputsTS!SJU$184</f>
        <v>0</v>
      </c>
      <c r="SJV77" s="223">
        <f xml:space="preserve"> InputsTS!SJV$184</f>
        <v>0</v>
      </c>
      <c r="SJW77" s="223">
        <f xml:space="preserve"> InputsTS!SJW$184</f>
        <v>0</v>
      </c>
      <c r="SJX77" s="223">
        <f xml:space="preserve"> InputsTS!SJX$184</f>
        <v>0</v>
      </c>
      <c r="SJY77" s="223">
        <f xml:space="preserve"> InputsTS!SJY$184</f>
        <v>0</v>
      </c>
      <c r="SJZ77" s="223">
        <f xml:space="preserve"> InputsTS!SJZ$184</f>
        <v>0</v>
      </c>
      <c r="SKA77" s="223">
        <f xml:space="preserve"> InputsTS!SKA$184</f>
        <v>0</v>
      </c>
      <c r="SKB77" s="223">
        <f xml:space="preserve"> InputsTS!SKB$184</f>
        <v>0</v>
      </c>
      <c r="SKC77" s="223">
        <f xml:space="preserve"> InputsTS!SKC$184</f>
        <v>0</v>
      </c>
      <c r="SKD77" s="223">
        <f xml:space="preserve"> InputsTS!SKD$184</f>
        <v>0</v>
      </c>
      <c r="SKE77" s="223">
        <f xml:space="preserve"> InputsTS!SKE$184</f>
        <v>0</v>
      </c>
      <c r="SKF77" s="223">
        <f xml:space="preserve"> InputsTS!SKF$184</f>
        <v>0</v>
      </c>
      <c r="SKG77" s="223">
        <f xml:space="preserve"> InputsTS!SKG$184</f>
        <v>0</v>
      </c>
      <c r="SKH77" s="223">
        <f xml:space="preserve"> InputsTS!SKH$184</f>
        <v>0</v>
      </c>
      <c r="SKI77" s="223">
        <f xml:space="preserve"> InputsTS!SKI$184</f>
        <v>0</v>
      </c>
      <c r="SKJ77" s="223">
        <f xml:space="preserve"> InputsTS!SKJ$184</f>
        <v>0</v>
      </c>
      <c r="SKK77" s="223">
        <f xml:space="preserve"> InputsTS!SKK$184</f>
        <v>0</v>
      </c>
      <c r="SKL77" s="223">
        <f xml:space="preserve"> InputsTS!SKL$184</f>
        <v>0</v>
      </c>
      <c r="SKM77" s="223">
        <f xml:space="preserve"> InputsTS!SKM$184</f>
        <v>0</v>
      </c>
      <c r="SKN77" s="223">
        <f xml:space="preserve"> InputsTS!SKN$184</f>
        <v>0</v>
      </c>
      <c r="SKO77" s="223">
        <f xml:space="preserve"> InputsTS!SKO$184</f>
        <v>0</v>
      </c>
      <c r="SKP77" s="223">
        <f xml:space="preserve"> InputsTS!SKP$184</f>
        <v>0</v>
      </c>
      <c r="SKQ77" s="223">
        <f xml:space="preserve"> InputsTS!SKQ$184</f>
        <v>0</v>
      </c>
      <c r="SKR77" s="223">
        <f xml:space="preserve"> InputsTS!SKR$184</f>
        <v>0</v>
      </c>
      <c r="SKS77" s="223">
        <f xml:space="preserve"> InputsTS!SKS$184</f>
        <v>0</v>
      </c>
      <c r="SKT77" s="223">
        <f xml:space="preserve"> InputsTS!SKT$184</f>
        <v>0</v>
      </c>
      <c r="SKU77" s="223">
        <f xml:space="preserve"> InputsTS!SKU$184</f>
        <v>0</v>
      </c>
      <c r="SKV77" s="223">
        <f xml:space="preserve"> InputsTS!SKV$184</f>
        <v>0</v>
      </c>
      <c r="SKW77" s="223">
        <f xml:space="preserve"> InputsTS!SKW$184</f>
        <v>0</v>
      </c>
      <c r="SKX77" s="223">
        <f xml:space="preserve"> InputsTS!SKX$184</f>
        <v>0</v>
      </c>
      <c r="SKY77" s="223">
        <f xml:space="preserve"> InputsTS!SKY$184</f>
        <v>0</v>
      </c>
      <c r="SKZ77" s="223">
        <f xml:space="preserve"> InputsTS!SKZ$184</f>
        <v>0</v>
      </c>
      <c r="SLA77" s="223">
        <f xml:space="preserve"> InputsTS!SLA$184</f>
        <v>0</v>
      </c>
      <c r="SLB77" s="223">
        <f xml:space="preserve"> InputsTS!SLB$184</f>
        <v>0</v>
      </c>
      <c r="SLC77" s="223">
        <f xml:space="preserve"> InputsTS!SLC$184</f>
        <v>0</v>
      </c>
      <c r="SLD77" s="223">
        <f xml:space="preserve"> InputsTS!SLD$184</f>
        <v>0</v>
      </c>
      <c r="SLE77" s="223">
        <f xml:space="preserve"> InputsTS!SLE$184</f>
        <v>0</v>
      </c>
      <c r="SLF77" s="223">
        <f xml:space="preserve"> InputsTS!SLF$184</f>
        <v>0</v>
      </c>
      <c r="SLG77" s="223">
        <f xml:space="preserve"> InputsTS!SLG$184</f>
        <v>0</v>
      </c>
      <c r="SLH77" s="223">
        <f xml:space="preserve"> InputsTS!SLH$184</f>
        <v>0</v>
      </c>
      <c r="SLI77" s="223">
        <f xml:space="preserve"> InputsTS!SLI$184</f>
        <v>0</v>
      </c>
      <c r="SLJ77" s="223">
        <f xml:space="preserve"> InputsTS!SLJ$184</f>
        <v>0</v>
      </c>
      <c r="SLK77" s="223">
        <f xml:space="preserve"> InputsTS!SLK$184</f>
        <v>0</v>
      </c>
      <c r="SLL77" s="223">
        <f xml:space="preserve"> InputsTS!SLL$184</f>
        <v>0</v>
      </c>
      <c r="SLM77" s="223">
        <f xml:space="preserve"> InputsTS!SLM$184</f>
        <v>0</v>
      </c>
      <c r="SLN77" s="223">
        <f xml:space="preserve"> InputsTS!SLN$184</f>
        <v>0</v>
      </c>
      <c r="SLO77" s="223">
        <f xml:space="preserve"> InputsTS!SLO$184</f>
        <v>0</v>
      </c>
      <c r="SLP77" s="223">
        <f xml:space="preserve"> InputsTS!SLP$184</f>
        <v>0</v>
      </c>
      <c r="SLQ77" s="223">
        <f xml:space="preserve"> InputsTS!SLQ$184</f>
        <v>0</v>
      </c>
      <c r="SLR77" s="223">
        <f xml:space="preserve"> InputsTS!SLR$184</f>
        <v>0</v>
      </c>
      <c r="SLS77" s="223">
        <f xml:space="preserve"> InputsTS!SLS$184</f>
        <v>0</v>
      </c>
      <c r="SLT77" s="223">
        <f xml:space="preserve"> InputsTS!SLT$184</f>
        <v>0</v>
      </c>
      <c r="SLU77" s="223">
        <f xml:space="preserve"> InputsTS!SLU$184</f>
        <v>0</v>
      </c>
      <c r="SLV77" s="223">
        <f xml:space="preserve"> InputsTS!SLV$184</f>
        <v>0</v>
      </c>
      <c r="SLW77" s="223">
        <f xml:space="preserve"> InputsTS!SLW$184</f>
        <v>0</v>
      </c>
      <c r="SLX77" s="223">
        <f xml:space="preserve"> InputsTS!SLX$184</f>
        <v>0</v>
      </c>
      <c r="SLY77" s="223">
        <f xml:space="preserve"> InputsTS!SLY$184</f>
        <v>0</v>
      </c>
      <c r="SLZ77" s="223">
        <f xml:space="preserve"> InputsTS!SLZ$184</f>
        <v>0</v>
      </c>
      <c r="SMA77" s="223">
        <f xml:space="preserve"> InputsTS!SMA$184</f>
        <v>0</v>
      </c>
      <c r="SMB77" s="223">
        <f xml:space="preserve"> InputsTS!SMB$184</f>
        <v>0</v>
      </c>
      <c r="SMC77" s="223">
        <f xml:space="preserve"> InputsTS!SMC$184</f>
        <v>0</v>
      </c>
      <c r="SMD77" s="223">
        <f xml:space="preserve"> InputsTS!SMD$184</f>
        <v>0</v>
      </c>
      <c r="SME77" s="223">
        <f xml:space="preserve"> InputsTS!SME$184</f>
        <v>0</v>
      </c>
      <c r="SMF77" s="223">
        <f xml:space="preserve"> InputsTS!SMF$184</f>
        <v>0</v>
      </c>
      <c r="SMG77" s="223">
        <f xml:space="preserve"> InputsTS!SMG$184</f>
        <v>0</v>
      </c>
      <c r="SMH77" s="223">
        <f xml:space="preserve"> InputsTS!SMH$184</f>
        <v>0</v>
      </c>
      <c r="SMI77" s="223">
        <f xml:space="preserve"> InputsTS!SMI$184</f>
        <v>0</v>
      </c>
      <c r="SMJ77" s="223">
        <f xml:space="preserve"> InputsTS!SMJ$184</f>
        <v>0</v>
      </c>
      <c r="SMK77" s="223">
        <f xml:space="preserve"> InputsTS!SMK$184</f>
        <v>0</v>
      </c>
      <c r="SML77" s="223">
        <f xml:space="preserve"> InputsTS!SML$184</f>
        <v>0</v>
      </c>
      <c r="SMM77" s="223">
        <f xml:space="preserve"> InputsTS!SMM$184</f>
        <v>0</v>
      </c>
      <c r="SMN77" s="223">
        <f xml:space="preserve"> InputsTS!SMN$184</f>
        <v>0</v>
      </c>
      <c r="SMO77" s="223">
        <f xml:space="preserve"> InputsTS!SMO$184</f>
        <v>0</v>
      </c>
      <c r="SMP77" s="223">
        <f xml:space="preserve"> InputsTS!SMP$184</f>
        <v>0</v>
      </c>
      <c r="SMQ77" s="223">
        <f xml:space="preserve"> InputsTS!SMQ$184</f>
        <v>0</v>
      </c>
      <c r="SMR77" s="223">
        <f xml:space="preserve"> InputsTS!SMR$184</f>
        <v>0</v>
      </c>
      <c r="SMS77" s="223">
        <f xml:space="preserve"> InputsTS!SMS$184</f>
        <v>0</v>
      </c>
      <c r="SMT77" s="223">
        <f xml:space="preserve"> InputsTS!SMT$184</f>
        <v>0</v>
      </c>
      <c r="SMU77" s="223">
        <f xml:space="preserve"> InputsTS!SMU$184</f>
        <v>0</v>
      </c>
      <c r="SMV77" s="223">
        <f xml:space="preserve"> InputsTS!SMV$184</f>
        <v>0</v>
      </c>
      <c r="SMW77" s="223">
        <f xml:space="preserve"> InputsTS!SMW$184</f>
        <v>0</v>
      </c>
      <c r="SMX77" s="223">
        <f xml:space="preserve"> InputsTS!SMX$184</f>
        <v>0</v>
      </c>
      <c r="SMY77" s="223">
        <f xml:space="preserve"> InputsTS!SMY$184</f>
        <v>0</v>
      </c>
      <c r="SMZ77" s="223">
        <f xml:space="preserve"> InputsTS!SMZ$184</f>
        <v>0</v>
      </c>
      <c r="SNA77" s="223">
        <f xml:space="preserve"> InputsTS!SNA$184</f>
        <v>0</v>
      </c>
      <c r="SNB77" s="223">
        <f xml:space="preserve"> InputsTS!SNB$184</f>
        <v>0</v>
      </c>
      <c r="SNC77" s="223">
        <f xml:space="preserve"> InputsTS!SNC$184</f>
        <v>0</v>
      </c>
      <c r="SND77" s="223">
        <f xml:space="preserve"> InputsTS!SND$184</f>
        <v>0</v>
      </c>
      <c r="SNE77" s="223">
        <f xml:space="preserve"> InputsTS!SNE$184</f>
        <v>0</v>
      </c>
      <c r="SNF77" s="223">
        <f xml:space="preserve"> InputsTS!SNF$184</f>
        <v>0</v>
      </c>
      <c r="SNG77" s="223">
        <f xml:space="preserve"> InputsTS!SNG$184</f>
        <v>0</v>
      </c>
      <c r="SNH77" s="223">
        <f xml:space="preserve"> InputsTS!SNH$184</f>
        <v>0</v>
      </c>
      <c r="SNI77" s="223">
        <f xml:space="preserve"> InputsTS!SNI$184</f>
        <v>0</v>
      </c>
      <c r="SNJ77" s="223">
        <f xml:space="preserve"> InputsTS!SNJ$184</f>
        <v>0</v>
      </c>
      <c r="SNK77" s="223">
        <f xml:space="preserve"> InputsTS!SNK$184</f>
        <v>0</v>
      </c>
      <c r="SNL77" s="223">
        <f xml:space="preserve"> InputsTS!SNL$184</f>
        <v>0</v>
      </c>
      <c r="SNM77" s="223">
        <f xml:space="preserve"> InputsTS!SNM$184</f>
        <v>0</v>
      </c>
      <c r="SNN77" s="223">
        <f xml:space="preserve"> InputsTS!SNN$184</f>
        <v>0</v>
      </c>
      <c r="SNO77" s="223">
        <f xml:space="preserve"> InputsTS!SNO$184</f>
        <v>0</v>
      </c>
      <c r="SNP77" s="223">
        <f xml:space="preserve"> InputsTS!SNP$184</f>
        <v>0</v>
      </c>
      <c r="SNQ77" s="223">
        <f xml:space="preserve"> InputsTS!SNQ$184</f>
        <v>0</v>
      </c>
      <c r="SNR77" s="223">
        <f xml:space="preserve"> InputsTS!SNR$184</f>
        <v>0</v>
      </c>
      <c r="SNS77" s="223">
        <f xml:space="preserve"> InputsTS!SNS$184</f>
        <v>0</v>
      </c>
      <c r="SNT77" s="223">
        <f xml:space="preserve"> InputsTS!SNT$184</f>
        <v>0</v>
      </c>
      <c r="SNU77" s="223">
        <f xml:space="preserve"> InputsTS!SNU$184</f>
        <v>0</v>
      </c>
      <c r="SNV77" s="223">
        <f xml:space="preserve"> InputsTS!SNV$184</f>
        <v>0</v>
      </c>
      <c r="SNW77" s="223">
        <f xml:space="preserve"> InputsTS!SNW$184</f>
        <v>0</v>
      </c>
      <c r="SNX77" s="223">
        <f xml:space="preserve"> InputsTS!SNX$184</f>
        <v>0</v>
      </c>
      <c r="SNY77" s="223">
        <f xml:space="preserve"> InputsTS!SNY$184</f>
        <v>0</v>
      </c>
      <c r="SNZ77" s="223">
        <f xml:space="preserve"> InputsTS!SNZ$184</f>
        <v>0</v>
      </c>
      <c r="SOA77" s="223">
        <f xml:space="preserve"> InputsTS!SOA$184</f>
        <v>0</v>
      </c>
      <c r="SOB77" s="223">
        <f xml:space="preserve"> InputsTS!SOB$184</f>
        <v>0</v>
      </c>
      <c r="SOC77" s="223">
        <f xml:space="preserve"> InputsTS!SOC$184</f>
        <v>0</v>
      </c>
      <c r="SOD77" s="223">
        <f xml:space="preserve"> InputsTS!SOD$184</f>
        <v>0</v>
      </c>
      <c r="SOE77" s="223">
        <f xml:space="preserve"> InputsTS!SOE$184</f>
        <v>0</v>
      </c>
      <c r="SOF77" s="223">
        <f xml:space="preserve"> InputsTS!SOF$184</f>
        <v>0</v>
      </c>
      <c r="SOG77" s="223">
        <f xml:space="preserve"> InputsTS!SOG$184</f>
        <v>0</v>
      </c>
      <c r="SOH77" s="223">
        <f xml:space="preserve"> InputsTS!SOH$184</f>
        <v>0</v>
      </c>
      <c r="SOI77" s="223">
        <f xml:space="preserve"> InputsTS!SOI$184</f>
        <v>0</v>
      </c>
      <c r="SOJ77" s="223">
        <f xml:space="preserve"> InputsTS!SOJ$184</f>
        <v>0</v>
      </c>
      <c r="SOK77" s="223">
        <f xml:space="preserve"> InputsTS!SOK$184</f>
        <v>0</v>
      </c>
      <c r="SOL77" s="223">
        <f xml:space="preserve"> InputsTS!SOL$184</f>
        <v>0</v>
      </c>
      <c r="SOM77" s="223">
        <f xml:space="preserve"> InputsTS!SOM$184</f>
        <v>0</v>
      </c>
      <c r="SON77" s="223">
        <f xml:space="preserve"> InputsTS!SON$184</f>
        <v>0</v>
      </c>
      <c r="SOO77" s="223">
        <f xml:space="preserve"> InputsTS!SOO$184</f>
        <v>0</v>
      </c>
      <c r="SOP77" s="223">
        <f xml:space="preserve"> InputsTS!SOP$184</f>
        <v>0</v>
      </c>
      <c r="SOQ77" s="223">
        <f xml:space="preserve"> InputsTS!SOQ$184</f>
        <v>0</v>
      </c>
      <c r="SOR77" s="223">
        <f xml:space="preserve"> InputsTS!SOR$184</f>
        <v>0</v>
      </c>
      <c r="SOS77" s="223">
        <f xml:space="preserve"> InputsTS!SOS$184</f>
        <v>0</v>
      </c>
      <c r="SOT77" s="223">
        <f xml:space="preserve"> InputsTS!SOT$184</f>
        <v>0</v>
      </c>
      <c r="SOU77" s="223">
        <f xml:space="preserve"> InputsTS!SOU$184</f>
        <v>0</v>
      </c>
      <c r="SOV77" s="223">
        <f xml:space="preserve"> InputsTS!SOV$184</f>
        <v>0</v>
      </c>
      <c r="SOW77" s="223">
        <f xml:space="preserve"> InputsTS!SOW$184</f>
        <v>0</v>
      </c>
      <c r="SOX77" s="223">
        <f xml:space="preserve"> InputsTS!SOX$184</f>
        <v>0</v>
      </c>
      <c r="SOY77" s="223">
        <f xml:space="preserve"> InputsTS!SOY$184</f>
        <v>0</v>
      </c>
      <c r="SOZ77" s="223">
        <f xml:space="preserve"> InputsTS!SOZ$184</f>
        <v>0</v>
      </c>
      <c r="SPA77" s="223">
        <f xml:space="preserve"> InputsTS!SPA$184</f>
        <v>0</v>
      </c>
      <c r="SPB77" s="223">
        <f xml:space="preserve"> InputsTS!SPB$184</f>
        <v>0</v>
      </c>
      <c r="SPC77" s="223">
        <f xml:space="preserve"> InputsTS!SPC$184</f>
        <v>0</v>
      </c>
      <c r="SPD77" s="223">
        <f xml:space="preserve"> InputsTS!SPD$184</f>
        <v>0</v>
      </c>
      <c r="SPE77" s="223">
        <f xml:space="preserve"> InputsTS!SPE$184</f>
        <v>0</v>
      </c>
      <c r="SPF77" s="223">
        <f xml:space="preserve"> InputsTS!SPF$184</f>
        <v>0</v>
      </c>
      <c r="SPG77" s="223">
        <f xml:space="preserve"> InputsTS!SPG$184</f>
        <v>0</v>
      </c>
      <c r="SPH77" s="223">
        <f xml:space="preserve"> InputsTS!SPH$184</f>
        <v>0</v>
      </c>
      <c r="SPI77" s="223">
        <f xml:space="preserve"> InputsTS!SPI$184</f>
        <v>0</v>
      </c>
      <c r="SPJ77" s="223">
        <f xml:space="preserve"> InputsTS!SPJ$184</f>
        <v>0</v>
      </c>
      <c r="SPK77" s="223">
        <f xml:space="preserve"> InputsTS!SPK$184</f>
        <v>0</v>
      </c>
      <c r="SPL77" s="223">
        <f xml:space="preserve"> InputsTS!SPL$184</f>
        <v>0</v>
      </c>
      <c r="SPM77" s="223">
        <f xml:space="preserve"> InputsTS!SPM$184</f>
        <v>0</v>
      </c>
      <c r="SPN77" s="223">
        <f xml:space="preserve"> InputsTS!SPN$184</f>
        <v>0</v>
      </c>
      <c r="SPO77" s="223">
        <f xml:space="preserve"> InputsTS!SPO$184</f>
        <v>0</v>
      </c>
      <c r="SPP77" s="223">
        <f xml:space="preserve"> InputsTS!SPP$184</f>
        <v>0</v>
      </c>
      <c r="SPQ77" s="223">
        <f xml:space="preserve"> InputsTS!SPQ$184</f>
        <v>0</v>
      </c>
      <c r="SPR77" s="223">
        <f xml:space="preserve"> InputsTS!SPR$184</f>
        <v>0</v>
      </c>
      <c r="SPS77" s="223">
        <f xml:space="preserve"> InputsTS!SPS$184</f>
        <v>0</v>
      </c>
      <c r="SPT77" s="223">
        <f xml:space="preserve"> InputsTS!SPT$184</f>
        <v>0</v>
      </c>
      <c r="SPU77" s="223">
        <f xml:space="preserve"> InputsTS!SPU$184</f>
        <v>0</v>
      </c>
      <c r="SPV77" s="223">
        <f xml:space="preserve"> InputsTS!SPV$184</f>
        <v>0</v>
      </c>
      <c r="SPW77" s="223">
        <f xml:space="preserve"> InputsTS!SPW$184</f>
        <v>0</v>
      </c>
      <c r="SPX77" s="223">
        <f xml:space="preserve"> InputsTS!SPX$184</f>
        <v>0</v>
      </c>
      <c r="SPY77" s="223">
        <f xml:space="preserve"> InputsTS!SPY$184</f>
        <v>0</v>
      </c>
      <c r="SPZ77" s="223">
        <f xml:space="preserve"> InputsTS!SPZ$184</f>
        <v>0</v>
      </c>
      <c r="SQA77" s="223">
        <f xml:space="preserve"> InputsTS!SQA$184</f>
        <v>0</v>
      </c>
      <c r="SQB77" s="223">
        <f xml:space="preserve"> InputsTS!SQB$184</f>
        <v>0</v>
      </c>
      <c r="SQC77" s="223">
        <f xml:space="preserve"> InputsTS!SQC$184</f>
        <v>0</v>
      </c>
      <c r="SQD77" s="223">
        <f xml:space="preserve"> InputsTS!SQD$184</f>
        <v>0</v>
      </c>
      <c r="SQE77" s="223">
        <f xml:space="preserve"> InputsTS!SQE$184</f>
        <v>0</v>
      </c>
      <c r="SQF77" s="223">
        <f xml:space="preserve"> InputsTS!SQF$184</f>
        <v>0</v>
      </c>
      <c r="SQG77" s="223">
        <f xml:space="preserve"> InputsTS!SQG$184</f>
        <v>0</v>
      </c>
      <c r="SQH77" s="223">
        <f xml:space="preserve"> InputsTS!SQH$184</f>
        <v>0</v>
      </c>
      <c r="SQI77" s="223">
        <f xml:space="preserve"> InputsTS!SQI$184</f>
        <v>0</v>
      </c>
      <c r="SQJ77" s="223">
        <f xml:space="preserve"> InputsTS!SQJ$184</f>
        <v>0</v>
      </c>
      <c r="SQK77" s="223">
        <f xml:space="preserve"> InputsTS!SQK$184</f>
        <v>0</v>
      </c>
      <c r="SQL77" s="223">
        <f xml:space="preserve"> InputsTS!SQL$184</f>
        <v>0</v>
      </c>
      <c r="SQM77" s="223">
        <f xml:space="preserve"> InputsTS!SQM$184</f>
        <v>0</v>
      </c>
      <c r="SQN77" s="223">
        <f xml:space="preserve"> InputsTS!SQN$184</f>
        <v>0</v>
      </c>
      <c r="SQO77" s="223">
        <f xml:space="preserve"> InputsTS!SQO$184</f>
        <v>0</v>
      </c>
      <c r="SQP77" s="223">
        <f xml:space="preserve"> InputsTS!SQP$184</f>
        <v>0</v>
      </c>
      <c r="SQQ77" s="223">
        <f xml:space="preserve"> InputsTS!SQQ$184</f>
        <v>0</v>
      </c>
      <c r="SQR77" s="223">
        <f xml:space="preserve"> InputsTS!SQR$184</f>
        <v>0</v>
      </c>
      <c r="SQS77" s="223">
        <f xml:space="preserve"> InputsTS!SQS$184</f>
        <v>0</v>
      </c>
      <c r="SQT77" s="223">
        <f xml:space="preserve"> InputsTS!SQT$184</f>
        <v>0</v>
      </c>
      <c r="SQU77" s="223">
        <f xml:space="preserve"> InputsTS!SQU$184</f>
        <v>0</v>
      </c>
      <c r="SQV77" s="223">
        <f xml:space="preserve"> InputsTS!SQV$184</f>
        <v>0</v>
      </c>
      <c r="SQW77" s="223">
        <f xml:space="preserve"> InputsTS!SQW$184</f>
        <v>0</v>
      </c>
      <c r="SQX77" s="223">
        <f xml:space="preserve"> InputsTS!SQX$184</f>
        <v>0</v>
      </c>
      <c r="SQY77" s="223">
        <f xml:space="preserve"> InputsTS!SQY$184</f>
        <v>0</v>
      </c>
      <c r="SQZ77" s="223">
        <f xml:space="preserve"> InputsTS!SQZ$184</f>
        <v>0</v>
      </c>
      <c r="SRA77" s="223">
        <f xml:space="preserve"> InputsTS!SRA$184</f>
        <v>0</v>
      </c>
      <c r="SRB77" s="223">
        <f xml:space="preserve"> InputsTS!SRB$184</f>
        <v>0</v>
      </c>
      <c r="SRC77" s="223">
        <f xml:space="preserve"> InputsTS!SRC$184</f>
        <v>0</v>
      </c>
      <c r="SRD77" s="223">
        <f xml:space="preserve"> InputsTS!SRD$184</f>
        <v>0</v>
      </c>
      <c r="SRE77" s="223">
        <f xml:space="preserve"> InputsTS!SRE$184</f>
        <v>0</v>
      </c>
      <c r="SRF77" s="223">
        <f xml:space="preserve"> InputsTS!SRF$184</f>
        <v>0</v>
      </c>
      <c r="SRG77" s="223">
        <f xml:space="preserve"> InputsTS!SRG$184</f>
        <v>0</v>
      </c>
      <c r="SRH77" s="223">
        <f xml:space="preserve"> InputsTS!SRH$184</f>
        <v>0</v>
      </c>
      <c r="SRI77" s="223">
        <f xml:space="preserve"> InputsTS!SRI$184</f>
        <v>0</v>
      </c>
      <c r="SRJ77" s="223">
        <f xml:space="preserve"> InputsTS!SRJ$184</f>
        <v>0</v>
      </c>
      <c r="SRK77" s="223">
        <f xml:space="preserve"> InputsTS!SRK$184</f>
        <v>0</v>
      </c>
      <c r="SRL77" s="223">
        <f xml:space="preserve"> InputsTS!SRL$184</f>
        <v>0</v>
      </c>
      <c r="SRM77" s="223">
        <f xml:space="preserve"> InputsTS!SRM$184</f>
        <v>0</v>
      </c>
      <c r="SRN77" s="223">
        <f xml:space="preserve"> InputsTS!SRN$184</f>
        <v>0</v>
      </c>
      <c r="SRO77" s="223">
        <f xml:space="preserve"> InputsTS!SRO$184</f>
        <v>0</v>
      </c>
      <c r="SRP77" s="223">
        <f xml:space="preserve"> InputsTS!SRP$184</f>
        <v>0</v>
      </c>
      <c r="SRQ77" s="223">
        <f xml:space="preserve"> InputsTS!SRQ$184</f>
        <v>0</v>
      </c>
      <c r="SRR77" s="223">
        <f xml:space="preserve"> InputsTS!SRR$184</f>
        <v>0</v>
      </c>
      <c r="SRS77" s="223">
        <f xml:space="preserve"> InputsTS!SRS$184</f>
        <v>0</v>
      </c>
      <c r="SRT77" s="223">
        <f xml:space="preserve"> InputsTS!SRT$184</f>
        <v>0</v>
      </c>
      <c r="SRU77" s="223">
        <f xml:space="preserve"> InputsTS!SRU$184</f>
        <v>0</v>
      </c>
      <c r="SRV77" s="223">
        <f xml:space="preserve"> InputsTS!SRV$184</f>
        <v>0</v>
      </c>
      <c r="SRW77" s="223">
        <f xml:space="preserve"> InputsTS!SRW$184</f>
        <v>0</v>
      </c>
      <c r="SRX77" s="223">
        <f xml:space="preserve"> InputsTS!SRX$184</f>
        <v>0</v>
      </c>
      <c r="SRY77" s="223">
        <f xml:space="preserve"> InputsTS!SRY$184</f>
        <v>0</v>
      </c>
      <c r="SRZ77" s="223">
        <f xml:space="preserve"> InputsTS!SRZ$184</f>
        <v>0</v>
      </c>
      <c r="SSA77" s="223">
        <f xml:space="preserve"> InputsTS!SSA$184</f>
        <v>0</v>
      </c>
      <c r="SSB77" s="223">
        <f xml:space="preserve"> InputsTS!SSB$184</f>
        <v>0</v>
      </c>
      <c r="SSC77" s="223">
        <f xml:space="preserve"> InputsTS!SSC$184</f>
        <v>0</v>
      </c>
      <c r="SSD77" s="223">
        <f xml:space="preserve"> InputsTS!SSD$184</f>
        <v>0</v>
      </c>
      <c r="SSE77" s="223">
        <f xml:space="preserve"> InputsTS!SSE$184</f>
        <v>0</v>
      </c>
      <c r="SSF77" s="223">
        <f xml:space="preserve"> InputsTS!SSF$184</f>
        <v>0</v>
      </c>
      <c r="SSG77" s="223">
        <f xml:space="preserve"> InputsTS!SSG$184</f>
        <v>0</v>
      </c>
      <c r="SSH77" s="223">
        <f xml:space="preserve"> InputsTS!SSH$184</f>
        <v>0</v>
      </c>
      <c r="SSI77" s="223">
        <f xml:space="preserve"> InputsTS!SSI$184</f>
        <v>0</v>
      </c>
      <c r="SSJ77" s="223">
        <f xml:space="preserve"> InputsTS!SSJ$184</f>
        <v>0</v>
      </c>
      <c r="SSK77" s="223">
        <f xml:space="preserve"> InputsTS!SSK$184</f>
        <v>0</v>
      </c>
      <c r="SSL77" s="223">
        <f xml:space="preserve"> InputsTS!SSL$184</f>
        <v>0</v>
      </c>
      <c r="SSM77" s="223">
        <f xml:space="preserve"> InputsTS!SSM$184</f>
        <v>0</v>
      </c>
      <c r="SSN77" s="223">
        <f xml:space="preserve"> InputsTS!SSN$184</f>
        <v>0</v>
      </c>
      <c r="SSO77" s="223">
        <f xml:space="preserve"> InputsTS!SSO$184</f>
        <v>0</v>
      </c>
      <c r="SSP77" s="223">
        <f xml:space="preserve"> InputsTS!SSP$184</f>
        <v>0</v>
      </c>
      <c r="SSQ77" s="223">
        <f xml:space="preserve"> InputsTS!SSQ$184</f>
        <v>0</v>
      </c>
      <c r="SSR77" s="223">
        <f xml:space="preserve"> InputsTS!SSR$184</f>
        <v>0</v>
      </c>
      <c r="SSS77" s="223">
        <f xml:space="preserve"> InputsTS!SSS$184</f>
        <v>0</v>
      </c>
      <c r="SST77" s="223">
        <f xml:space="preserve"> InputsTS!SST$184</f>
        <v>0</v>
      </c>
      <c r="SSU77" s="223">
        <f xml:space="preserve"> InputsTS!SSU$184</f>
        <v>0</v>
      </c>
      <c r="SSV77" s="223">
        <f xml:space="preserve"> InputsTS!SSV$184</f>
        <v>0</v>
      </c>
      <c r="SSW77" s="223">
        <f xml:space="preserve"> InputsTS!SSW$184</f>
        <v>0</v>
      </c>
      <c r="SSX77" s="223">
        <f xml:space="preserve"> InputsTS!SSX$184</f>
        <v>0</v>
      </c>
      <c r="SSY77" s="223">
        <f xml:space="preserve"> InputsTS!SSY$184</f>
        <v>0</v>
      </c>
      <c r="SSZ77" s="223">
        <f xml:space="preserve"> InputsTS!SSZ$184</f>
        <v>0</v>
      </c>
      <c r="STA77" s="223">
        <f xml:space="preserve"> InputsTS!STA$184</f>
        <v>0</v>
      </c>
      <c r="STB77" s="223">
        <f xml:space="preserve"> InputsTS!STB$184</f>
        <v>0</v>
      </c>
      <c r="STC77" s="223">
        <f xml:space="preserve"> InputsTS!STC$184</f>
        <v>0</v>
      </c>
      <c r="STD77" s="223">
        <f xml:space="preserve"> InputsTS!STD$184</f>
        <v>0</v>
      </c>
      <c r="STE77" s="223">
        <f xml:space="preserve"> InputsTS!STE$184</f>
        <v>0</v>
      </c>
      <c r="STF77" s="223">
        <f xml:space="preserve"> InputsTS!STF$184</f>
        <v>0</v>
      </c>
      <c r="STG77" s="223">
        <f xml:space="preserve"> InputsTS!STG$184</f>
        <v>0</v>
      </c>
      <c r="STH77" s="223">
        <f xml:space="preserve"> InputsTS!STH$184</f>
        <v>0</v>
      </c>
      <c r="STI77" s="223">
        <f xml:space="preserve"> InputsTS!STI$184</f>
        <v>0</v>
      </c>
      <c r="STJ77" s="223">
        <f xml:space="preserve"> InputsTS!STJ$184</f>
        <v>0</v>
      </c>
      <c r="STK77" s="223">
        <f xml:space="preserve"> InputsTS!STK$184</f>
        <v>0</v>
      </c>
      <c r="STL77" s="223">
        <f xml:space="preserve"> InputsTS!STL$184</f>
        <v>0</v>
      </c>
      <c r="STM77" s="223">
        <f xml:space="preserve"> InputsTS!STM$184</f>
        <v>0</v>
      </c>
      <c r="STN77" s="223">
        <f xml:space="preserve"> InputsTS!STN$184</f>
        <v>0</v>
      </c>
      <c r="STO77" s="223">
        <f xml:space="preserve"> InputsTS!STO$184</f>
        <v>0</v>
      </c>
      <c r="STP77" s="223">
        <f xml:space="preserve"> InputsTS!STP$184</f>
        <v>0</v>
      </c>
      <c r="STQ77" s="223">
        <f xml:space="preserve"> InputsTS!STQ$184</f>
        <v>0</v>
      </c>
      <c r="STR77" s="223">
        <f xml:space="preserve"> InputsTS!STR$184</f>
        <v>0</v>
      </c>
      <c r="STS77" s="223">
        <f xml:space="preserve"> InputsTS!STS$184</f>
        <v>0</v>
      </c>
      <c r="STT77" s="223">
        <f xml:space="preserve"> InputsTS!STT$184</f>
        <v>0</v>
      </c>
      <c r="STU77" s="223">
        <f xml:space="preserve"> InputsTS!STU$184</f>
        <v>0</v>
      </c>
      <c r="STV77" s="223">
        <f xml:space="preserve"> InputsTS!STV$184</f>
        <v>0</v>
      </c>
      <c r="STW77" s="223">
        <f xml:space="preserve"> InputsTS!STW$184</f>
        <v>0</v>
      </c>
      <c r="STX77" s="223">
        <f xml:space="preserve"> InputsTS!STX$184</f>
        <v>0</v>
      </c>
      <c r="STY77" s="223">
        <f xml:space="preserve"> InputsTS!STY$184</f>
        <v>0</v>
      </c>
      <c r="STZ77" s="223">
        <f xml:space="preserve"> InputsTS!STZ$184</f>
        <v>0</v>
      </c>
      <c r="SUA77" s="223">
        <f xml:space="preserve"> InputsTS!SUA$184</f>
        <v>0</v>
      </c>
      <c r="SUB77" s="223">
        <f xml:space="preserve"> InputsTS!SUB$184</f>
        <v>0</v>
      </c>
      <c r="SUC77" s="223">
        <f xml:space="preserve"> InputsTS!SUC$184</f>
        <v>0</v>
      </c>
      <c r="SUD77" s="223">
        <f xml:space="preserve"> InputsTS!SUD$184</f>
        <v>0</v>
      </c>
      <c r="SUE77" s="223">
        <f xml:space="preserve"> InputsTS!SUE$184</f>
        <v>0</v>
      </c>
      <c r="SUF77" s="223">
        <f xml:space="preserve"> InputsTS!SUF$184</f>
        <v>0</v>
      </c>
      <c r="SUG77" s="223">
        <f xml:space="preserve"> InputsTS!SUG$184</f>
        <v>0</v>
      </c>
      <c r="SUH77" s="223">
        <f xml:space="preserve"> InputsTS!SUH$184</f>
        <v>0</v>
      </c>
      <c r="SUI77" s="223">
        <f xml:space="preserve"> InputsTS!SUI$184</f>
        <v>0</v>
      </c>
      <c r="SUJ77" s="223">
        <f xml:space="preserve"> InputsTS!SUJ$184</f>
        <v>0</v>
      </c>
      <c r="SUK77" s="223">
        <f xml:space="preserve"> InputsTS!SUK$184</f>
        <v>0</v>
      </c>
      <c r="SUL77" s="223">
        <f xml:space="preserve"> InputsTS!SUL$184</f>
        <v>0</v>
      </c>
      <c r="SUM77" s="223">
        <f xml:space="preserve"> InputsTS!SUM$184</f>
        <v>0</v>
      </c>
      <c r="SUN77" s="223">
        <f xml:space="preserve"> InputsTS!SUN$184</f>
        <v>0</v>
      </c>
      <c r="SUO77" s="223">
        <f xml:space="preserve"> InputsTS!SUO$184</f>
        <v>0</v>
      </c>
      <c r="SUP77" s="223">
        <f xml:space="preserve"> InputsTS!SUP$184</f>
        <v>0</v>
      </c>
      <c r="SUQ77" s="223">
        <f xml:space="preserve"> InputsTS!SUQ$184</f>
        <v>0</v>
      </c>
      <c r="SUR77" s="223">
        <f xml:space="preserve"> InputsTS!SUR$184</f>
        <v>0</v>
      </c>
      <c r="SUS77" s="223">
        <f xml:space="preserve"> InputsTS!SUS$184</f>
        <v>0</v>
      </c>
      <c r="SUT77" s="223">
        <f xml:space="preserve"> InputsTS!SUT$184</f>
        <v>0</v>
      </c>
      <c r="SUU77" s="223">
        <f xml:space="preserve"> InputsTS!SUU$184</f>
        <v>0</v>
      </c>
      <c r="SUV77" s="223">
        <f xml:space="preserve"> InputsTS!SUV$184</f>
        <v>0</v>
      </c>
      <c r="SUW77" s="223">
        <f xml:space="preserve"> InputsTS!SUW$184</f>
        <v>0</v>
      </c>
      <c r="SUX77" s="223">
        <f xml:space="preserve"> InputsTS!SUX$184</f>
        <v>0</v>
      </c>
      <c r="SUY77" s="223">
        <f xml:space="preserve"> InputsTS!SUY$184</f>
        <v>0</v>
      </c>
      <c r="SUZ77" s="223">
        <f xml:space="preserve"> InputsTS!SUZ$184</f>
        <v>0</v>
      </c>
      <c r="SVA77" s="223">
        <f xml:space="preserve"> InputsTS!SVA$184</f>
        <v>0</v>
      </c>
      <c r="SVB77" s="223">
        <f xml:space="preserve"> InputsTS!SVB$184</f>
        <v>0</v>
      </c>
      <c r="SVC77" s="223">
        <f xml:space="preserve"> InputsTS!SVC$184</f>
        <v>0</v>
      </c>
      <c r="SVD77" s="223">
        <f xml:space="preserve"> InputsTS!SVD$184</f>
        <v>0</v>
      </c>
      <c r="SVE77" s="223">
        <f xml:space="preserve"> InputsTS!SVE$184</f>
        <v>0</v>
      </c>
      <c r="SVF77" s="223">
        <f xml:space="preserve"> InputsTS!SVF$184</f>
        <v>0</v>
      </c>
      <c r="SVG77" s="223">
        <f xml:space="preserve"> InputsTS!SVG$184</f>
        <v>0</v>
      </c>
      <c r="SVH77" s="223">
        <f xml:space="preserve"> InputsTS!SVH$184</f>
        <v>0</v>
      </c>
      <c r="SVI77" s="223">
        <f xml:space="preserve"> InputsTS!SVI$184</f>
        <v>0</v>
      </c>
      <c r="SVJ77" s="223">
        <f xml:space="preserve"> InputsTS!SVJ$184</f>
        <v>0</v>
      </c>
      <c r="SVK77" s="223">
        <f xml:space="preserve"> InputsTS!SVK$184</f>
        <v>0</v>
      </c>
      <c r="SVL77" s="223">
        <f xml:space="preserve"> InputsTS!SVL$184</f>
        <v>0</v>
      </c>
      <c r="SVM77" s="223">
        <f xml:space="preserve"> InputsTS!SVM$184</f>
        <v>0</v>
      </c>
      <c r="SVN77" s="223">
        <f xml:space="preserve"> InputsTS!SVN$184</f>
        <v>0</v>
      </c>
      <c r="SVO77" s="223">
        <f xml:space="preserve"> InputsTS!SVO$184</f>
        <v>0</v>
      </c>
      <c r="SVP77" s="223">
        <f xml:space="preserve"> InputsTS!SVP$184</f>
        <v>0</v>
      </c>
      <c r="SVQ77" s="223">
        <f xml:space="preserve"> InputsTS!SVQ$184</f>
        <v>0</v>
      </c>
      <c r="SVR77" s="223">
        <f xml:space="preserve"> InputsTS!SVR$184</f>
        <v>0</v>
      </c>
      <c r="SVS77" s="223">
        <f xml:space="preserve"> InputsTS!SVS$184</f>
        <v>0</v>
      </c>
      <c r="SVT77" s="223">
        <f xml:space="preserve"> InputsTS!SVT$184</f>
        <v>0</v>
      </c>
      <c r="SVU77" s="223">
        <f xml:space="preserve"> InputsTS!SVU$184</f>
        <v>0</v>
      </c>
      <c r="SVV77" s="223">
        <f xml:space="preserve"> InputsTS!SVV$184</f>
        <v>0</v>
      </c>
      <c r="SVW77" s="223">
        <f xml:space="preserve"> InputsTS!SVW$184</f>
        <v>0</v>
      </c>
      <c r="SVX77" s="223">
        <f xml:space="preserve"> InputsTS!SVX$184</f>
        <v>0</v>
      </c>
      <c r="SVY77" s="223">
        <f xml:space="preserve"> InputsTS!SVY$184</f>
        <v>0</v>
      </c>
      <c r="SVZ77" s="223">
        <f xml:space="preserve"> InputsTS!SVZ$184</f>
        <v>0</v>
      </c>
      <c r="SWA77" s="223">
        <f xml:space="preserve"> InputsTS!SWA$184</f>
        <v>0</v>
      </c>
      <c r="SWB77" s="223">
        <f xml:space="preserve"> InputsTS!SWB$184</f>
        <v>0</v>
      </c>
      <c r="SWC77" s="223">
        <f xml:space="preserve"> InputsTS!SWC$184</f>
        <v>0</v>
      </c>
      <c r="SWD77" s="223">
        <f xml:space="preserve"> InputsTS!SWD$184</f>
        <v>0</v>
      </c>
      <c r="SWE77" s="223">
        <f xml:space="preserve"> InputsTS!SWE$184</f>
        <v>0</v>
      </c>
      <c r="SWF77" s="223">
        <f xml:space="preserve"> InputsTS!SWF$184</f>
        <v>0</v>
      </c>
      <c r="SWG77" s="223">
        <f xml:space="preserve"> InputsTS!SWG$184</f>
        <v>0</v>
      </c>
      <c r="SWH77" s="223">
        <f xml:space="preserve"> InputsTS!SWH$184</f>
        <v>0</v>
      </c>
      <c r="SWI77" s="223">
        <f xml:space="preserve"> InputsTS!SWI$184</f>
        <v>0</v>
      </c>
      <c r="SWJ77" s="223">
        <f xml:space="preserve"> InputsTS!SWJ$184</f>
        <v>0</v>
      </c>
      <c r="SWK77" s="223">
        <f xml:space="preserve"> InputsTS!SWK$184</f>
        <v>0</v>
      </c>
      <c r="SWL77" s="223">
        <f xml:space="preserve"> InputsTS!SWL$184</f>
        <v>0</v>
      </c>
      <c r="SWM77" s="223">
        <f xml:space="preserve"> InputsTS!SWM$184</f>
        <v>0</v>
      </c>
      <c r="SWN77" s="223">
        <f xml:space="preserve"> InputsTS!SWN$184</f>
        <v>0</v>
      </c>
      <c r="SWO77" s="223">
        <f xml:space="preserve"> InputsTS!SWO$184</f>
        <v>0</v>
      </c>
      <c r="SWP77" s="223">
        <f xml:space="preserve"> InputsTS!SWP$184</f>
        <v>0</v>
      </c>
      <c r="SWQ77" s="223">
        <f xml:space="preserve"> InputsTS!SWQ$184</f>
        <v>0</v>
      </c>
      <c r="SWR77" s="223">
        <f xml:space="preserve"> InputsTS!SWR$184</f>
        <v>0</v>
      </c>
      <c r="SWS77" s="223">
        <f xml:space="preserve"> InputsTS!SWS$184</f>
        <v>0</v>
      </c>
      <c r="SWT77" s="223">
        <f xml:space="preserve"> InputsTS!SWT$184</f>
        <v>0</v>
      </c>
      <c r="SWU77" s="223">
        <f xml:space="preserve"> InputsTS!SWU$184</f>
        <v>0</v>
      </c>
      <c r="SWV77" s="223">
        <f xml:space="preserve"> InputsTS!SWV$184</f>
        <v>0</v>
      </c>
      <c r="SWW77" s="223">
        <f xml:space="preserve"> InputsTS!SWW$184</f>
        <v>0</v>
      </c>
      <c r="SWX77" s="223">
        <f xml:space="preserve"> InputsTS!SWX$184</f>
        <v>0</v>
      </c>
      <c r="SWY77" s="223">
        <f xml:space="preserve"> InputsTS!SWY$184</f>
        <v>0</v>
      </c>
      <c r="SWZ77" s="223">
        <f xml:space="preserve"> InputsTS!SWZ$184</f>
        <v>0</v>
      </c>
      <c r="SXA77" s="223">
        <f xml:space="preserve"> InputsTS!SXA$184</f>
        <v>0</v>
      </c>
      <c r="SXB77" s="223">
        <f xml:space="preserve"> InputsTS!SXB$184</f>
        <v>0</v>
      </c>
      <c r="SXC77" s="223">
        <f xml:space="preserve"> InputsTS!SXC$184</f>
        <v>0</v>
      </c>
      <c r="SXD77" s="223">
        <f xml:space="preserve"> InputsTS!SXD$184</f>
        <v>0</v>
      </c>
      <c r="SXE77" s="223">
        <f xml:space="preserve"> InputsTS!SXE$184</f>
        <v>0</v>
      </c>
      <c r="SXF77" s="223">
        <f xml:space="preserve"> InputsTS!SXF$184</f>
        <v>0</v>
      </c>
      <c r="SXG77" s="223">
        <f xml:space="preserve"> InputsTS!SXG$184</f>
        <v>0</v>
      </c>
      <c r="SXH77" s="223">
        <f xml:space="preserve"> InputsTS!SXH$184</f>
        <v>0</v>
      </c>
      <c r="SXI77" s="223">
        <f xml:space="preserve"> InputsTS!SXI$184</f>
        <v>0</v>
      </c>
      <c r="SXJ77" s="223">
        <f xml:space="preserve"> InputsTS!SXJ$184</f>
        <v>0</v>
      </c>
      <c r="SXK77" s="223">
        <f xml:space="preserve"> InputsTS!SXK$184</f>
        <v>0</v>
      </c>
      <c r="SXL77" s="223">
        <f xml:space="preserve"> InputsTS!SXL$184</f>
        <v>0</v>
      </c>
      <c r="SXM77" s="223">
        <f xml:space="preserve"> InputsTS!SXM$184</f>
        <v>0</v>
      </c>
      <c r="SXN77" s="223">
        <f xml:space="preserve"> InputsTS!SXN$184</f>
        <v>0</v>
      </c>
      <c r="SXO77" s="223">
        <f xml:space="preserve"> InputsTS!SXO$184</f>
        <v>0</v>
      </c>
      <c r="SXP77" s="223">
        <f xml:space="preserve"> InputsTS!SXP$184</f>
        <v>0</v>
      </c>
      <c r="SXQ77" s="223">
        <f xml:space="preserve"> InputsTS!SXQ$184</f>
        <v>0</v>
      </c>
      <c r="SXR77" s="223">
        <f xml:space="preserve"> InputsTS!SXR$184</f>
        <v>0</v>
      </c>
      <c r="SXS77" s="223">
        <f xml:space="preserve"> InputsTS!SXS$184</f>
        <v>0</v>
      </c>
      <c r="SXT77" s="223">
        <f xml:space="preserve"> InputsTS!SXT$184</f>
        <v>0</v>
      </c>
      <c r="SXU77" s="223">
        <f xml:space="preserve"> InputsTS!SXU$184</f>
        <v>0</v>
      </c>
      <c r="SXV77" s="223">
        <f xml:space="preserve"> InputsTS!SXV$184</f>
        <v>0</v>
      </c>
      <c r="SXW77" s="223">
        <f xml:space="preserve"> InputsTS!SXW$184</f>
        <v>0</v>
      </c>
      <c r="SXX77" s="223">
        <f xml:space="preserve"> InputsTS!SXX$184</f>
        <v>0</v>
      </c>
      <c r="SXY77" s="223">
        <f xml:space="preserve"> InputsTS!SXY$184</f>
        <v>0</v>
      </c>
      <c r="SXZ77" s="223">
        <f xml:space="preserve"> InputsTS!SXZ$184</f>
        <v>0</v>
      </c>
      <c r="SYA77" s="223">
        <f xml:space="preserve"> InputsTS!SYA$184</f>
        <v>0</v>
      </c>
      <c r="SYB77" s="223">
        <f xml:space="preserve"> InputsTS!SYB$184</f>
        <v>0</v>
      </c>
      <c r="SYC77" s="223">
        <f xml:space="preserve"> InputsTS!SYC$184</f>
        <v>0</v>
      </c>
      <c r="SYD77" s="223">
        <f xml:space="preserve"> InputsTS!SYD$184</f>
        <v>0</v>
      </c>
      <c r="SYE77" s="223">
        <f xml:space="preserve"> InputsTS!SYE$184</f>
        <v>0</v>
      </c>
      <c r="SYF77" s="223">
        <f xml:space="preserve"> InputsTS!SYF$184</f>
        <v>0</v>
      </c>
      <c r="SYG77" s="223">
        <f xml:space="preserve"> InputsTS!SYG$184</f>
        <v>0</v>
      </c>
      <c r="SYH77" s="223">
        <f xml:space="preserve"> InputsTS!SYH$184</f>
        <v>0</v>
      </c>
      <c r="SYI77" s="223">
        <f xml:space="preserve"> InputsTS!SYI$184</f>
        <v>0</v>
      </c>
      <c r="SYJ77" s="223">
        <f xml:space="preserve"> InputsTS!SYJ$184</f>
        <v>0</v>
      </c>
      <c r="SYK77" s="223">
        <f xml:space="preserve"> InputsTS!SYK$184</f>
        <v>0</v>
      </c>
      <c r="SYL77" s="223">
        <f xml:space="preserve"> InputsTS!SYL$184</f>
        <v>0</v>
      </c>
      <c r="SYM77" s="223">
        <f xml:space="preserve"> InputsTS!SYM$184</f>
        <v>0</v>
      </c>
      <c r="SYN77" s="223">
        <f xml:space="preserve"> InputsTS!SYN$184</f>
        <v>0</v>
      </c>
      <c r="SYO77" s="223">
        <f xml:space="preserve"> InputsTS!SYO$184</f>
        <v>0</v>
      </c>
      <c r="SYP77" s="223">
        <f xml:space="preserve"> InputsTS!SYP$184</f>
        <v>0</v>
      </c>
      <c r="SYQ77" s="223">
        <f xml:space="preserve"> InputsTS!SYQ$184</f>
        <v>0</v>
      </c>
      <c r="SYR77" s="223">
        <f xml:space="preserve"> InputsTS!SYR$184</f>
        <v>0</v>
      </c>
      <c r="SYS77" s="223">
        <f xml:space="preserve"> InputsTS!SYS$184</f>
        <v>0</v>
      </c>
      <c r="SYT77" s="223">
        <f xml:space="preserve"> InputsTS!SYT$184</f>
        <v>0</v>
      </c>
      <c r="SYU77" s="223">
        <f xml:space="preserve"> InputsTS!SYU$184</f>
        <v>0</v>
      </c>
      <c r="SYV77" s="223">
        <f xml:space="preserve"> InputsTS!SYV$184</f>
        <v>0</v>
      </c>
      <c r="SYW77" s="223">
        <f xml:space="preserve"> InputsTS!SYW$184</f>
        <v>0</v>
      </c>
      <c r="SYX77" s="223">
        <f xml:space="preserve"> InputsTS!SYX$184</f>
        <v>0</v>
      </c>
      <c r="SYY77" s="223">
        <f xml:space="preserve"> InputsTS!SYY$184</f>
        <v>0</v>
      </c>
      <c r="SYZ77" s="223">
        <f xml:space="preserve"> InputsTS!SYZ$184</f>
        <v>0</v>
      </c>
      <c r="SZA77" s="223">
        <f xml:space="preserve"> InputsTS!SZA$184</f>
        <v>0</v>
      </c>
      <c r="SZB77" s="223">
        <f xml:space="preserve"> InputsTS!SZB$184</f>
        <v>0</v>
      </c>
      <c r="SZC77" s="223">
        <f xml:space="preserve"> InputsTS!SZC$184</f>
        <v>0</v>
      </c>
      <c r="SZD77" s="223">
        <f xml:space="preserve"> InputsTS!SZD$184</f>
        <v>0</v>
      </c>
      <c r="SZE77" s="223">
        <f xml:space="preserve"> InputsTS!SZE$184</f>
        <v>0</v>
      </c>
      <c r="SZF77" s="223">
        <f xml:space="preserve"> InputsTS!SZF$184</f>
        <v>0</v>
      </c>
      <c r="SZG77" s="223">
        <f xml:space="preserve"> InputsTS!SZG$184</f>
        <v>0</v>
      </c>
      <c r="SZH77" s="223">
        <f xml:space="preserve"> InputsTS!SZH$184</f>
        <v>0</v>
      </c>
      <c r="SZI77" s="223">
        <f xml:space="preserve"> InputsTS!SZI$184</f>
        <v>0</v>
      </c>
      <c r="SZJ77" s="223">
        <f xml:space="preserve"> InputsTS!SZJ$184</f>
        <v>0</v>
      </c>
      <c r="SZK77" s="223">
        <f xml:space="preserve"> InputsTS!SZK$184</f>
        <v>0</v>
      </c>
      <c r="SZL77" s="223">
        <f xml:space="preserve"> InputsTS!SZL$184</f>
        <v>0</v>
      </c>
      <c r="SZM77" s="223">
        <f xml:space="preserve"> InputsTS!SZM$184</f>
        <v>0</v>
      </c>
      <c r="SZN77" s="223">
        <f xml:space="preserve"> InputsTS!SZN$184</f>
        <v>0</v>
      </c>
      <c r="SZO77" s="223">
        <f xml:space="preserve"> InputsTS!SZO$184</f>
        <v>0</v>
      </c>
      <c r="SZP77" s="223">
        <f xml:space="preserve"> InputsTS!SZP$184</f>
        <v>0</v>
      </c>
      <c r="SZQ77" s="223">
        <f xml:space="preserve"> InputsTS!SZQ$184</f>
        <v>0</v>
      </c>
      <c r="SZR77" s="223">
        <f xml:space="preserve"> InputsTS!SZR$184</f>
        <v>0</v>
      </c>
      <c r="SZS77" s="223">
        <f xml:space="preserve"> InputsTS!SZS$184</f>
        <v>0</v>
      </c>
      <c r="SZT77" s="223">
        <f xml:space="preserve"> InputsTS!SZT$184</f>
        <v>0</v>
      </c>
      <c r="SZU77" s="223">
        <f xml:space="preserve"> InputsTS!SZU$184</f>
        <v>0</v>
      </c>
      <c r="SZV77" s="223">
        <f xml:space="preserve"> InputsTS!SZV$184</f>
        <v>0</v>
      </c>
      <c r="SZW77" s="223">
        <f xml:space="preserve"> InputsTS!SZW$184</f>
        <v>0</v>
      </c>
      <c r="SZX77" s="223">
        <f xml:space="preserve"> InputsTS!SZX$184</f>
        <v>0</v>
      </c>
      <c r="SZY77" s="223">
        <f xml:space="preserve"> InputsTS!SZY$184</f>
        <v>0</v>
      </c>
      <c r="SZZ77" s="223">
        <f xml:space="preserve"> InputsTS!SZZ$184</f>
        <v>0</v>
      </c>
      <c r="TAA77" s="223">
        <f xml:space="preserve"> InputsTS!TAA$184</f>
        <v>0</v>
      </c>
      <c r="TAB77" s="223">
        <f xml:space="preserve"> InputsTS!TAB$184</f>
        <v>0</v>
      </c>
      <c r="TAC77" s="223">
        <f xml:space="preserve"> InputsTS!TAC$184</f>
        <v>0</v>
      </c>
      <c r="TAD77" s="223">
        <f xml:space="preserve"> InputsTS!TAD$184</f>
        <v>0</v>
      </c>
      <c r="TAE77" s="223">
        <f xml:space="preserve"> InputsTS!TAE$184</f>
        <v>0</v>
      </c>
      <c r="TAF77" s="223">
        <f xml:space="preserve"> InputsTS!TAF$184</f>
        <v>0</v>
      </c>
      <c r="TAG77" s="223">
        <f xml:space="preserve"> InputsTS!TAG$184</f>
        <v>0</v>
      </c>
      <c r="TAH77" s="223">
        <f xml:space="preserve"> InputsTS!TAH$184</f>
        <v>0</v>
      </c>
      <c r="TAI77" s="223">
        <f xml:space="preserve"> InputsTS!TAI$184</f>
        <v>0</v>
      </c>
      <c r="TAJ77" s="223">
        <f xml:space="preserve"> InputsTS!TAJ$184</f>
        <v>0</v>
      </c>
      <c r="TAK77" s="223">
        <f xml:space="preserve"> InputsTS!TAK$184</f>
        <v>0</v>
      </c>
      <c r="TAL77" s="223">
        <f xml:space="preserve"> InputsTS!TAL$184</f>
        <v>0</v>
      </c>
      <c r="TAM77" s="223">
        <f xml:space="preserve"> InputsTS!TAM$184</f>
        <v>0</v>
      </c>
      <c r="TAN77" s="223">
        <f xml:space="preserve"> InputsTS!TAN$184</f>
        <v>0</v>
      </c>
      <c r="TAO77" s="223">
        <f xml:space="preserve"> InputsTS!TAO$184</f>
        <v>0</v>
      </c>
      <c r="TAP77" s="223">
        <f xml:space="preserve"> InputsTS!TAP$184</f>
        <v>0</v>
      </c>
      <c r="TAQ77" s="223">
        <f xml:space="preserve"> InputsTS!TAQ$184</f>
        <v>0</v>
      </c>
      <c r="TAR77" s="223">
        <f xml:space="preserve"> InputsTS!TAR$184</f>
        <v>0</v>
      </c>
      <c r="TAS77" s="223">
        <f xml:space="preserve"> InputsTS!TAS$184</f>
        <v>0</v>
      </c>
      <c r="TAT77" s="223">
        <f xml:space="preserve"> InputsTS!TAT$184</f>
        <v>0</v>
      </c>
      <c r="TAU77" s="223">
        <f xml:space="preserve"> InputsTS!TAU$184</f>
        <v>0</v>
      </c>
      <c r="TAV77" s="223">
        <f xml:space="preserve"> InputsTS!TAV$184</f>
        <v>0</v>
      </c>
      <c r="TAW77" s="223">
        <f xml:space="preserve"> InputsTS!TAW$184</f>
        <v>0</v>
      </c>
      <c r="TAX77" s="223">
        <f xml:space="preserve"> InputsTS!TAX$184</f>
        <v>0</v>
      </c>
      <c r="TAY77" s="223">
        <f xml:space="preserve"> InputsTS!TAY$184</f>
        <v>0</v>
      </c>
      <c r="TAZ77" s="223">
        <f xml:space="preserve"> InputsTS!TAZ$184</f>
        <v>0</v>
      </c>
      <c r="TBA77" s="223">
        <f xml:space="preserve"> InputsTS!TBA$184</f>
        <v>0</v>
      </c>
      <c r="TBB77" s="223">
        <f xml:space="preserve"> InputsTS!TBB$184</f>
        <v>0</v>
      </c>
      <c r="TBC77" s="223">
        <f xml:space="preserve"> InputsTS!TBC$184</f>
        <v>0</v>
      </c>
      <c r="TBD77" s="223">
        <f xml:space="preserve"> InputsTS!TBD$184</f>
        <v>0</v>
      </c>
      <c r="TBE77" s="223">
        <f xml:space="preserve"> InputsTS!TBE$184</f>
        <v>0</v>
      </c>
      <c r="TBF77" s="223">
        <f xml:space="preserve"> InputsTS!TBF$184</f>
        <v>0</v>
      </c>
      <c r="TBG77" s="223">
        <f xml:space="preserve"> InputsTS!TBG$184</f>
        <v>0</v>
      </c>
      <c r="TBH77" s="223">
        <f xml:space="preserve"> InputsTS!TBH$184</f>
        <v>0</v>
      </c>
      <c r="TBI77" s="223">
        <f xml:space="preserve"> InputsTS!TBI$184</f>
        <v>0</v>
      </c>
      <c r="TBJ77" s="223">
        <f xml:space="preserve"> InputsTS!TBJ$184</f>
        <v>0</v>
      </c>
      <c r="TBK77" s="223">
        <f xml:space="preserve"> InputsTS!TBK$184</f>
        <v>0</v>
      </c>
      <c r="TBL77" s="223">
        <f xml:space="preserve"> InputsTS!TBL$184</f>
        <v>0</v>
      </c>
      <c r="TBM77" s="223">
        <f xml:space="preserve"> InputsTS!TBM$184</f>
        <v>0</v>
      </c>
      <c r="TBN77" s="223">
        <f xml:space="preserve"> InputsTS!TBN$184</f>
        <v>0</v>
      </c>
      <c r="TBO77" s="223">
        <f xml:space="preserve"> InputsTS!TBO$184</f>
        <v>0</v>
      </c>
      <c r="TBP77" s="223">
        <f xml:space="preserve"> InputsTS!TBP$184</f>
        <v>0</v>
      </c>
      <c r="TBQ77" s="223">
        <f xml:space="preserve"> InputsTS!TBQ$184</f>
        <v>0</v>
      </c>
      <c r="TBR77" s="223">
        <f xml:space="preserve"> InputsTS!TBR$184</f>
        <v>0</v>
      </c>
      <c r="TBS77" s="223">
        <f xml:space="preserve"> InputsTS!TBS$184</f>
        <v>0</v>
      </c>
      <c r="TBT77" s="223">
        <f xml:space="preserve"> InputsTS!TBT$184</f>
        <v>0</v>
      </c>
      <c r="TBU77" s="223">
        <f xml:space="preserve"> InputsTS!TBU$184</f>
        <v>0</v>
      </c>
      <c r="TBV77" s="223">
        <f xml:space="preserve"> InputsTS!TBV$184</f>
        <v>0</v>
      </c>
      <c r="TBW77" s="223">
        <f xml:space="preserve"> InputsTS!TBW$184</f>
        <v>0</v>
      </c>
      <c r="TBX77" s="223">
        <f xml:space="preserve"> InputsTS!TBX$184</f>
        <v>0</v>
      </c>
      <c r="TBY77" s="223">
        <f xml:space="preserve"> InputsTS!TBY$184</f>
        <v>0</v>
      </c>
      <c r="TBZ77" s="223">
        <f xml:space="preserve"> InputsTS!TBZ$184</f>
        <v>0</v>
      </c>
      <c r="TCA77" s="223">
        <f xml:space="preserve"> InputsTS!TCA$184</f>
        <v>0</v>
      </c>
      <c r="TCB77" s="223">
        <f xml:space="preserve"> InputsTS!TCB$184</f>
        <v>0</v>
      </c>
      <c r="TCC77" s="223">
        <f xml:space="preserve"> InputsTS!TCC$184</f>
        <v>0</v>
      </c>
      <c r="TCD77" s="223">
        <f xml:space="preserve"> InputsTS!TCD$184</f>
        <v>0</v>
      </c>
      <c r="TCE77" s="223">
        <f xml:space="preserve"> InputsTS!TCE$184</f>
        <v>0</v>
      </c>
      <c r="TCF77" s="223">
        <f xml:space="preserve"> InputsTS!TCF$184</f>
        <v>0</v>
      </c>
      <c r="TCG77" s="223">
        <f xml:space="preserve"> InputsTS!TCG$184</f>
        <v>0</v>
      </c>
      <c r="TCH77" s="223">
        <f xml:space="preserve"> InputsTS!TCH$184</f>
        <v>0</v>
      </c>
      <c r="TCI77" s="223">
        <f xml:space="preserve"> InputsTS!TCI$184</f>
        <v>0</v>
      </c>
      <c r="TCJ77" s="223">
        <f xml:space="preserve"> InputsTS!TCJ$184</f>
        <v>0</v>
      </c>
      <c r="TCK77" s="223">
        <f xml:space="preserve"> InputsTS!TCK$184</f>
        <v>0</v>
      </c>
      <c r="TCL77" s="223">
        <f xml:space="preserve"> InputsTS!TCL$184</f>
        <v>0</v>
      </c>
      <c r="TCM77" s="223">
        <f xml:space="preserve"> InputsTS!TCM$184</f>
        <v>0</v>
      </c>
      <c r="TCN77" s="223">
        <f xml:space="preserve"> InputsTS!TCN$184</f>
        <v>0</v>
      </c>
      <c r="TCO77" s="223">
        <f xml:space="preserve"> InputsTS!TCO$184</f>
        <v>0</v>
      </c>
      <c r="TCP77" s="223">
        <f xml:space="preserve"> InputsTS!TCP$184</f>
        <v>0</v>
      </c>
      <c r="TCQ77" s="223">
        <f xml:space="preserve"> InputsTS!TCQ$184</f>
        <v>0</v>
      </c>
      <c r="TCR77" s="223">
        <f xml:space="preserve"> InputsTS!TCR$184</f>
        <v>0</v>
      </c>
      <c r="TCS77" s="223">
        <f xml:space="preserve"> InputsTS!TCS$184</f>
        <v>0</v>
      </c>
      <c r="TCT77" s="223">
        <f xml:space="preserve"> InputsTS!TCT$184</f>
        <v>0</v>
      </c>
      <c r="TCU77" s="223">
        <f xml:space="preserve"> InputsTS!TCU$184</f>
        <v>0</v>
      </c>
      <c r="TCV77" s="223">
        <f xml:space="preserve"> InputsTS!TCV$184</f>
        <v>0</v>
      </c>
      <c r="TCW77" s="223">
        <f xml:space="preserve"> InputsTS!TCW$184</f>
        <v>0</v>
      </c>
      <c r="TCX77" s="223">
        <f xml:space="preserve"> InputsTS!TCX$184</f>
        <v>0</v>
      </c>
      <c r="TCY77" s="223">
        <f xml:space="preserve"> InputsTS!TCY$184</f>
        <v>0</v>
      </c>
      <c r="TCZ77" s="223">
        <f xml:space="preserve"> InputsTS!TCZ$184</f>
        <v>0</v>
      </c>
      <c r="TDA77" s="223">
        <f xml:space="preserve"> InputsTS!TDA$184</f>
        <v>0</v>
      </c>
      <c r="TDB77" s="223">
        <f xml:space="preserve"> InputsTS!TDB$184</f>
        <v>0</v>
      </c>
      <c r="TDC77" s="223">
        <f xml:space="preserve"> InputsTS!TDC$184</f>
        <v>0</v>
      </c>
      <c r="TDD77" s="223">
        <f xml:space="preserve"> InputsTS!TDD$184</f>
        <v>0</v>
      </c>
      <c r="TDE77" s="223">
        <f xml:space="preserve"> InputsTS!TDE$184</f>
        <v>0</v>
      </c>
      <c r="TDF77" s="223">
        <f xml:space="preserve"> InputsTS!TDF$184</f>
        <v>0</v>
      </c>
      <c r="TDG77" s="223">
        <f xml:space="preserve"> InputsTS!TDG$184</f>
        <v>0</v>
      </c>
      <c r="TDH77" s="223">
        <f xml:space="preserve"> InputsTS!TDH$184</f>
        <v>0</v>
      </c>
      <c r="TDI77" s="223">
        <f xml:space="preserve"> InputsTS!TDI$184</f>
        <v>0</v>
      </c>
      <c r="TDJ77" s="223">
        <f xml:space="preserve"> InputsTS!TDJ$184</f>
        <v>0</v>
      </c>
      <c r="TDK77" s="223">
        <f xml:space="preserve"> InputsTS!TDK$184</f>
        <v>0</v>
      </c>
      <c r="TDL77" s="223">
        <f xml:space="preserve"> InputsTS!TDL$184</f>
        <v>0</v>
      </c>
      <c r="TDM77" s="223">
        <f xml:space="preserve"> InputsTS!TDM$184</f>
        <v>0</v>
      </c>
      <c r="TDN77" s="223">
        <f xml:space="preserve"> InputsTS!TDN$184</f>
        <v>0</v>
      </c>
      <c r="TDO77" s="223">
        <f xml:space="preserve"> InputsTS!TDO$184</f>
        <v>0</v>
      </c>
      <c r="TDP77" s="223">
        <f xml:space="preserve"> InputsTS!TDP$184</f>
        <v>0</v>
      </c>
      <c r="TDQ77" s="223">
        <f xml:space="preserve"> InputsTS!TDQ$184</f>
        <v>0</v>
      </c>
      <c r="TDR77" s="223">
        <f xml:space="preserve"> InputsTS!TDR$184</f>
        <v>0</v>
      </c>
      <c r="TDS77" s="223">
        <f xml:space="preserve"> InputsTS!TDS$184</f>
        <v>0</v>
      </c>
      <c r="TDT77" s="223">
        <f xml:space="preserve"> InputsTS!TDT$184</f>
        <v>0</v>
      </c>
      <c r="TDU77" s="223">
        <f xml:space="preserve"> InputsTS!TDU$184</f>
        <v>0</v>
      </c>
      <c r="TDV77" s="223">
        <f xml:space="preserve"> InputsTS!TDV$184</f>
        <v>0</v>
      </c>
      <c r="TDW77" s="223">
        <f xml:space="preserve"> InputsTS!TDW$184</f>
        <v>0</v>
      </c>
      <c r="TDX77" s="223">
        <f xml:space="preserve"> InputsTS!TDX$184</f>
        <v>0</v>
      </c>
      <c r="TDY77" s="223">
        <f xml:space="preserve"> InputsTS!TDY$184</f>
        <v>0</v>
      </c>
      <c r="TDZ77" s="223">
        <f xml:space="preserve"> InputsTS!TDZ$184</f>
        <v>0</v>
      </c>
      <c r="TEA77" s="223">
        <f xml:space="preserve"> InputsTS!TEA$184</f>
        <v>0</v>
      </c>
      <c r="TEB77" s="223">
        <f xml:space="preserve"> InputsTS!TEB$184</f>
        <v>0</v>
      </c>
      <c r="TEC77" s="223">
        <f xml:space="preserve"> InputsTS!TEC$184</f>
        <v>0</v>
      </c>
      <c r="TED77" s="223">
        <f xml:space="preserve"> InputsTS!TED$184</f>
        <v>0</v>
      </c>
      <c r="TEE77" s="223">
        <f xml:space="preserve"> InputsTS!TEE$184</f>
        <v>0</v>
      </c>
      <c r="TEF77" s="223">
        <f xml:space="preserve"> InputsTS!TEF$184</f>
        <v>0</v>
      </c>
      <c r="TEG77" s="223">
        <f xml:space="preserve"> InputsTS!TEG$184</f>
        <v>0</v>
      </c>
      <c r="TEH77" s="223">
        <f xml:space="preserve"> InputsTS!TEH$184</f>
        <v>0</v>
      </c>
      <c r="TEI77" s="223">
        <f xml:space="preserve"> InputsTS!TEI$184</f>
        <v>0</v>
      </c>
      <c r="TEJ77" s="223">
        <f xml:space="preserve"> InputsTS!TEJ$184</f>
        <v>0</v>
      </c>
      <c r="TEK77" s="223">
        <f xml:space="preserve"> InputsTS!TEK$184</f>
        <v>0</v>
      </c>
      <c r="TEL77" s="223">
        <f xml:space="preserve"> InputsTS!TEL$184</f>
        <v>0</v>
      </c>
      <c r="TEM77" s="223">
        <f xml:space="preserve"> InputsTS!TEM$184</f>
        <v>0</v>
      </c>
      <c r="TEN77" s="223">
        <f xml:space="preserve"> InputsTS!TEN$184</f>
        <v>0</v>
      </c>
      <c r="TEO77" s="223">
        <f xml:space="preserve"> InputsTS!TEO$184</f>
        <v>0</v>
      </c>
      <c r="TEP77" s="223">
        <f xml:space="preserve"> InputsTS!TEP$184</f>
        <v>0</v>
      </c>
      <c r="TEQ77" s="223">
        <f xml:space="preserve"> InputsTS!TEQ$184</f>
        <v>0</v>
      </c>
      <c r="TER77" s="223">
        <f xml:space="preserve"> InputsTS!TER$184</f>
        <v>0</v>
      </c>
      <c r="TES77" s="223">
        <f xml:space="preserve"> InputsTS!TES$184</f>
        <v>0</v>
      </c>
      <c r="TET77" s="223">
        <f xml:space="preserve"> InputsTS!TET$184</f>
        <v>0</v>
      </c>
      <c r="TEU77" s="223">
        <f xml:space="preserve"> InputsTS!TEU$184</f>
        <v>0</v>
      </c>
      <c r="TEV77" s="223">
        <f xml:space="preserve"> InputsTS!TEV$184</f>
        <v>0</v>
      </c>
      <c r="TEW77" s="223">
        <f xml:space="preserve"> InputsTS!TEW$184</f>
        <v>0</v>
      </c>
      <c r="TEX77" s="223">
        <f xml:space="preserve"> InputsTS!TEX$184</f>
        <v>0</v>
      </c>
      <c r="TEY77" s="223">
        <f xml:space="preserve"> InputsTS!TEY$184</f>
        <v>0</v>
      </c>
      <c r="TEZ77" s="223">
        <f xml:space="preserve"> InputsTS!TEZ$184</f>
        <v>0</v>
      </c>
      <c r="TFA77" s="223">
        <f xml:space="preserve"> InputsTS!TFA$184</f>
        <v>0</v>
      </c>
      <c r="TFB77" s="223">
        <f xml:space="preserve"> InputsTS!TFB$184</f>
        <v>0</v>
      </c>
      <c r="TFC77" s="223">
        <f xml:space="preserve"> InputsTS!TFC$184</f>
        <v>0</v>
      </c>
      <c r="TFD77" s="223">
        <f xml:space="preserve"> InputsTS!TFD$184</f>
        <v>0</v>
      </c>
      <c r="TFE77" s="223">
        <f xml:space="preserve"> InputsTS!TFE$184</f>
        <v>0</v>
      </c>
      <c r="TFF77" s="223">
        <f xml:space="preserve"> InputsTS!TFF$184</f>
        <v>0</v>
      </c>
      <c r="TFG77" s="223">
        <f xml:space="preserve"> InputsTS!TFG$184</f>
        <v>0</v>
      </c>
      <c r="TFH77" s="223">
        <f xml:space="preserve"> InputsTS!TFH$184</f>
        <v>0</v>
      </c>
      <c r="TFI77" s="223">
        <f xml:space="preserve"> InputsTS!TFI$184</f>
        <v>0</v>
      </c>
      <c r="TFJ77" s="223">
        <f xml:space="preserve"> InputsTS!TFJ$184</f>
        <v>0</v>
      </c>
      <c r="TFK77" s="223">
        <f xml:space="preserve"> InputsTS!TFK$184</f>
        <v>0</v>
      </c>
      <c r="TFL77" s="223">
        <f xml:space="preserve"> InputsTS!TFL$184</f>
        <v>0</v>
      </c>
      <c r="TFM77" s="223">
        <f xml:space="preserve"> InputsTS!TFM$184</f>
        <v>0</v>
      </c>
      <c r="TFN77" s="223">
        <f xml:space="preserve"> InputsTS!TFN$184</f>
        <v>0</v>
      </c>
      <c r="TFO77" s="223">
        <f xml:space="preserve"> InputsTS!TFO$184</f>
        <v>0</v>
      </c>
      <c r="TFP77" s="223">
        <f xml:space="preserve"> InputsTS!TFP$184</f>
        <v>0</v>
      </c>
      <c r="TFQ77" s="223">
        <f xml:space="preserve"> InputsTS!TFQ$184</f>
        <v>0</v>
      </c>
      <c r="TFR77" s="223">
        <f xml:space="preserve"> InputsTS!TFR$184</f>
        <v>0</v>
      </c>
      <c r="TFS77" s="223">
        <f xml:space="preserve"> InputsTS!TFS$184</f>
        <v>0</v>
      </c>
      <c r="TFT77" s="223">
        <f xml:space="preserve"> InputsTS!TFT$184</f>
        <v>0</v>
      </c>
      <c r="TFU77" s="223">
        <f xml:space="preserve"> InputsTS!TFU$184</f>
        <v>0</v>
      </c>
      <c r="TFV77" s="223">
        <f xml:space="preserve"> InputsTS!TFV$184</f>
        <v>0</v>
      </c>
      <c r="TFW77" s="223">
        <f xml:space="preserve"> InputsTS!TFW$184</f>
        <v>0</v>
      </c>
      <c r="TFX77" s="223">
        <f xml:space="preserve"> InputsTS!TFX$184</f>
        <v>0</v>
      </c>
      <c r="TFY77" s="223">
        <f xml:space="preserve"> InputsTS!TFY$184</f>
        <v>0</v>
      </c>
      <c r="TFZ77" s="223">
        <f xml:space="preserve"> InputsTS!TFZ$184</f>
        <v>0</v>
      </c>
      <c r="TGA77" s="223">
        <f xml:space="preserve"> InputsTS!TGA$184</f>
        <v>0</v>
      </c>
      <c r="TGB77" s="223">
        <f xml:space="preserve"> InputsTS!TGB$184</f>
        <v>0</v>
      </c>
      <c r="TGC77" s="223">
        <f xml:space="preserve"> InputsTS!TGC$184</f>
        <v>0</v>
      </c>
      <c r="TGD77" s="223">
        <f xml:space="preserve"> InputsTS!TGD$184</f>
        <v>0</v>
      </c>
      <c r="TGE77" s="223">
        <f xml:space="preserve"> InputsTS!TGE$184</f>
        <v>0</v>
      </c>
      <c r="TGF77" s="223">
        <f xml:space="preserve"> InputsTS!TGF$184</f>
        <v>0</v>
      </c>
      <c r="TGG77" s="223">
        <f xml:space="preserve"> InputsTS!TGG$184</f>
        <v>0</v>
      </c>
      <c r="TGH77" s="223">
        <f xml:space="preserve"> InputsTS!TGH$184</f>
        <v>0</v>
      </c>
      <c r="TGI77" s="223">
        <f xml:space="preserve"> InputsTS!TGI$184</f>
        <v>0</v>
      </c>
      <c r="TGJ77" s="223">
        <f xml:space="preserve"> InputsTS!TGJ$184</f>
        <v>0</v>
      </c>
      <c r="TGK77" s="223">
        <f xml:space="preserve"> InputsTS!TGK$184</f>
        <v>0</v>
      </c>
      <c r="TGL77" s="223">
        <f xml:space="preserve"> InputsTS!TGL$184</f>
        <v>0</v>
      </c>
      <c r="TGM77" s="223">
        <f xml:space="preserve"> InputsTS!TGM$184</f>
        <v>0</v>
      </c>
      <c r="TGN77" s="223">
        <f xml:space="preserve"> InputsTS!TGN$184</f>
        <v>0</v>
      </c>
      <c r="TGO77" s="223">
        <f xml:space="preserve"> InputsTS!TGO$184</f>
        <v>0</v>
      </c>
      <c r="TGP77" s="223">
        <f xml:space="preserve"> InputsTS!TGP$184</f>
        <v>0</v>
      </c>
      <c r="TGQ77" s="223">
        <f xml:space="preserve"> InputsTS!TGQ$184</f>
        <v>0</v>
      </c>
      <c r="TGR77" s="223">
        <f xml:space="preserve"> InputsTS!TGR$184</f>
        <v>0</v>
      </c>
      <c r="TGS77" s="223">
        <f xml:space="preserve"> InputsTS!TGS$184</f>
        <v>0</v>
      </c>
      <c r="TGT77" s="223">
        <f xml:space="preserve"> InputsTS!TGT$184</f>
        <v>0</v>
      </c>
      <c r="TGU77" s="223">
        <f xml:space="preserve"> InputsTS!TGU$184</f>
        <v>0</v>
      </c>
      <c r="TGV77" s="223">
        <f xml:space="preserve"> InputsTS!TGV$184</f>
        <v>0</v>
      </c>
      <c r="TGW77" s="223">
        <f xml:space="preserve"> InputsTS!TGW$184</f>
        <v>0</v>
      </c>
      <c r="TGX77" s="223">
        <f xml:space="preserve"> InputsTS!TGX$184</f>
        <v>0</v>
      </c>
      <c r="TGY77" s="223">
        <f xml:space="preserve"> InputsTS!TGY$184</f>
        <v>0</v>
      </c>
      <c r="TGZ77" s="223">
        <f xml:space="preserve"> InputsTS!TGZ$184</f>
        <v>0</v>
      </c>
      <c r="THA77" s="223">
        <f xml:space="preserve"> InputsTS!THA$184</f>
        <v>0</v>
      </c>
      <c r="THB77" s="223">
        <f xml:space="preserve"> InputsTS!THB$184</f>
        <v>0</v>
      </c>
      <c r="THC77" s="223">
        <f xml:space="preserve"> InputsTS!THC$184</f>
        <v>0</v>
      </c>
      <c r="THD77" s="223">
        <f xml:space="preserve"> InputsTS!THD$184</f>
        <v>0</v>
      </c>
      <c r="THE77" s="223">
        <f xml:space="preserve"> InputsTS!THE$184</f>
        <v>0</v>
      </c>
      <c r="THF77" s="223">
        <f xml:space="preserve"> InputsTS!THF$184</f>
        <v>0</v>
      </c>
      <c r="THG77" s="223">
        <f xml:space="preserve"> InputsTS!THG$184</f>
        <v>0</v>
      </c>
      <c r="THH77" s="223">
        <f xml:space="preserve"> InputsTS!THH$184</f>
        <v>0</v>
      </c>
      <c r="THI77" s="223">
        <f xml:space="preserve"> InputsTS!THI$184</f>
        <v>0</v>
      </c>
      <c r="THJ77" s="223">
        <f xml:space="preserve"> InputsTS!THJ$184</f>
        <v>0</v>
      </c>
      <c r="THK77" s="223">
        <f xml:space="preserve"> InputsTS!THK$184</f>
        <v>0</v>
      </c>
      <c r="THL77" s="223">
        <f xml:space="preserve"> InputsTS!THL$184</f>
        <v>0</v>
      </c>
      <c r="THM77" s="223">
        <f xml:space="preserve"> InputsTS!THM$184</f>
        <v>0</v>
      </c>
      <c r="THN77" s="223">
        <f xml:space="preserve"> InputsTS!THN$184</f>
        <v>0</v>
      </c>
      <c r="THO77" s="223">
        <f xml:space="preserve"> InputsTS!THO$184</f>
        <v>0</v>
      </c>
      <c r="THP77" s="223">
        <f xml:space="preserve"> InputsTS!THP$184</f>
        <v>0</v>
      </c>
      <c r="THQ77" s="223">
        <f xml:space="preserve"> InputsTS!THQ$184</f>
        <v>0</v>
      </c>
      <c r="THR77" s="223">
        <f xml:space="preserve"> InputsTS!THR$184</f>
        <v>0</v>
      </c>
      <c r="THS77" s="223">
        <f xml:space="preserve"> InputsTS!THS$184</f>
        <v>0</v>
      </c>
      <c r="THT77" s="223">
        <f xml:space="preserve"> InputsTS!THT$184</f>
        <v>0</v>
      </c>
      <c r="THU77" s="223">
        <f xml:space="preserve"> InputsTS!THU$184</f>
        <v>0</v>
      </c>
      <c r="THV77" s="223">
        <f xml:space="preserve"> InputsTS!THV$184</f>
        <v>0</v>
      </c>
      <c r="THW77" s="223">
        <f xml:space="preserve"> InputsTS!THW$184</f>
        <v>0</v>
      </c>
      <c r="THX77" s="223">
        <f xml:space="preserve"> InputsTS!THX$184</f>
        <v>0</v>
      </c>
      <c r="THY77" s="223">
        <f xml:space="preserve"> InputsTS!THY$184</f>
        <v>0</v>
      </c>
      <c r="THZ77" s="223">
        <f xml:space="preserve"> InputsTS!THZ$184</f>
        <v>0</v>
      </c>
      <c r="TIA77" s="223">
        <f xml:space="preserve"> InputsTS!TIA$184</f>
        <v>0</v>
      </c>
      <c r="TIB77" s="223">
        <f xml:space="preserve"> InputsTS!TIB$184</f>
        <v>0</v>
      </c>
      <c r="TIC77" s="223">
        <f xml:space="preserve"> InputsTS!TIC$184</f>
        <v>0</v>
      </c>
      <c r="TID77" s="223">
        <f xml:space="preserve"> InputsTS!TID$184</f>
        <v>0</v>
      </c>
      <c r="TIE77" s="223">
        <f xml:space="preserve"> InputsTS!TIE$184</f>
        <v>0</v>
      </c>
      <c r="TIF77" s="223">
        <f xml:space="preserve"> InputsTS!TIF$184</f>
        <v>0</v>
      </c>
      <c r="TIG77" s="223">
        <f xml:space="preserve"> InputsTS!TIG$184</f>
        <v>0</v>
      </c>
      <c r="TIH77" s="223">
        <f xml:space="preserve"> InputsTS!TIH$184</f>
        <v>0</v>
      </c>
      <c r="TII77" s="223">
        <f xml:space="preserve"> InputsTS!TII$184</f>
        <v>0</v>
      </c>
      <c r="TIJ77" s="223">
        <f xml:space="preserve"> InputsTS!TIJ$184</f>
        <v>0</v>
      </c>
      <c r="TIK77" s="223">
        <f xml:space="preserve"> InputsTS!TIK$184</f>
        <v>0</v>
      </c>
      <c r="TIL77" s="223">
        <f xml:space="preserve"> InputsTS!TIL$184</f>
        <v>0</v>
      </c>
      <c r="TIM77" s="223">
        <f xml:space="preserve"> InputsTS!TIM$184</f>
        <v>0</v>
      </c>
      <c r="TIN77" s="223">
        <f xml:space="preserve"> InputsTS!TIN$184</f>
        <v>0</v>
      </c>
      <c r="TIO77" s="223">
        <f xml:space="preserve"> InputsTS!TIO$184</f>
        <v>0</v>
      </c>
      <c r="TIP77" s="223">
        <f xml:space="preserve"> InputsTS!TIP$184</f>
        <v>0</v>
      </c>
      <c r="TIQ77" s="223">
        <f xml:space="preserve"> InputsTS!TIQ$184</f>
        <v>0</v>
      </c>
      <c r="TIR77" s="223">
        <f xml:space="preserve"> InputsTS!TIR$184</f>
        <v>0</v>
      </c>
      <c r="TIS77" s="223">
        <f xml:space="preserve"> InputsTS!TIS$184</f>
        <v>0</v>
      </c>
      <c r="TIT77" s="223">
        <f xml:space="preserve"> InputsTS!TIT$184</f>
        <v>0</v>
      </c>
      <c r="TIU77" s="223">
        <f xml:space="preserve"> InputsTS!TIU$184</f>
        <v>0</v>
      </c>
      <c r="TIV77" s="223">
        <f xml:space="preserve"> InputsTS!TIV$184</f>
        <v>0</v>
      </c>
      <c r="TIW77" s="223">
        <f xml:space="preserve"> InputsTS!TIW$184</f>
        <v>0</v>
      </c>
      <c r="TIX77" s="223">
        <f xml:space="preserve"> InputsTS!TIX$184</f>
        <v>0</v>
      </c>
      <c r="TIY77" s="223">
        <f xml:space="preserve"> InputsTS!TIY$184</f>
        <v>0</v>
      </c>
      <c r="TIZ77" s="223">
        <f xml:space="preserve"> InputsTS!TIZ$184</f>
        <v>0</v>
      </c>
      <c r="TJA77" s="223">
        <f xml:space="preserve"> InputsTS!TJA$184</f>
        <v>0</v>
      </c>
      <c r="TJB77" s="223">
        <f xml:space="preserve"> InputsTS!TJB$184</f>
        <v>0</v>
      </c>
      <c r="TJC77" s="223">
        <f xml:space="preserve"> InputsTS!TJC$184</f>
        <v>0</v>
      </c>
      <c r="TJD77" s="223">
        <f xml:space="preserve"> InputsTS!TJD$184</f>
        <v>0</v>
      </c>
      <c r="TJE77" s="223">
        <f xml:space="preserve"> InputsTS!TJE$184</f>
        <v>0</v>
      </c>
      <c r="TJF77" s="223">
        <f xml:space="preserve"> InputsTS!TJF$184</f>
        <v>0</v>
      </c>
      <c r="TJG77" s="223">
        <f xml:space="preserve"> InputsTS!TJG$184</f>
        <v>0</v>
      </c>
      <c r="TJH77" s="223">
        <f xml:space="preserve"> InputsTS!TJH$184</f>
        <v>0</v>
      </c>
      <c r="TJI77" s="223">
        <f xml:space="preserve"> InputsTS!TJI$184</f>
        <v>0</v>
      </c>
      <c r="TJJ77" s="223">
        <f xml:space="preserve"> InputsTS!TJJ$184</f>
        <v>0</v>
      </c>
      <c r="TJK77" s="223">
        <f xml:space="preserve"> InputsTS!TJK$184</f>
        <v>0</v>
      </c>
      <c r="TJL77" s="223">
        <f xml:space="preserve"> InputsTS!TJL$184</f>
        <v>0</v>
      </c>
      <c r="TJM77" s="223">
        <f xml:space="preserve"> InputsTS!TJM$184</f>
        <v>0</v>
      </c>
      <c r="TJN77" s="223">
        <f xml:space="preserve"> InputsTS!TJN$184</f>
        <v>0</v>
      </c>
      <c r="TJO77" s="223">
        <f xml:space="preserve"> InputsTS!TJO$184</f>
        <v>0</v>
      </c>
      <c r="TJP77" s="223">
        <f xml:space="preserve"> InputsTS!TJP$184</f>
        <v>0</v>
      </c>
      <c r="TJQ77" s="223">
        <f xml:space="preserve"> InputsTS!TJQ$184</f>
        <v>0</v>
      </c>
      <c r="TJR77" s="223">
        <f xml:space="preserve"> InputsTS!TJR$184</f>
        <v>0</v>
      </c>
      <c r="TJS77" s="223">
        <f xml:space="preserve"> InputsTS!TJS$184</f>
        <v>0</v>
      </c>
      <c r="TJT77" s="223">
        <f xml:space="preserve"> InputsTS!TJT$184</f>
        <v>0</v>
      </c>
      <c r="TJU77" s="223">
        <f xml:space="preserve"> InputsTS!TJU$184</f>
        <v>0</v>
      </c>
      <c r="TJV77" s="223">
        <f xml:space="preserve"> InputsTS!TJV$184</f>
        <v>0</v>
      </c>
      <c r="TJW77" s="223">
        <f xml:space="preserve"> InputsTS!TJW$184</f>
        <v>0</v>
      </c>
      <c r="TJX77" s="223">
        <f xml:space="preserve"> InputsTS!TJX$184</f>
        <v>0</v>
      </c>
      <c r="TJY77" s="223">
        <f xml:space="preserve"> InputsTS!TJY$184</f>
        <v>0</v>
      </c>
      <c r="TJZ77" s="223">
        <f xml:space="preserve"> InputsTS!TJZ$184</f>
        <v>0</v>
      </c>
      <c r="TKA77" s="223">
        <f xml:space="preserve"> InputsTS!TKA$184</f>
        <v>0</v>
      </c>
      <c r="TKB77" s="223">
        <f xml:space="preserve"> InputsTS!TKB$184</f>
        <v>0</v>
      </c>
      <c r="TKC77" s="223">
        <f xml:space="preserve"> InputsTS!TKC$184</f>
        <v>0</v>
      </c>
      <c r="TKD77" s="223">
        <f xml:space="preserve"> InputsTS!TKD$184</f>
        <v>0</v>
      </c>
      <c r="TKE77" s="223">
        <f xml:space="preserve"> InputsTS!TKE$184</f>
        <v>0</v>
      </c>
      <c r="TKF77" s="223">
        <f xml:space="preserve"> InputsTS!TKF$184</f>
        <v>0</v>
      </c>
      <c r="TKG77" s="223">
        <f xml:space="preserve"> InputsTS!TKG$184</f>
        <v>0</v>
      </c>
      <c r="TKH77" s="223">
        <f xml:space="preserve"> InputsTS!TKH$184</f>
        <v>0</v>
      </c>
      <c r="TKI77" s="223">
        <f xml:space="preserve"> InputsTS!TKI$184</f>
        <v>0</v>
      </c>
      <c r="TKJ77" s="223">
        <f xml:space="preserve"> InputsTS!TKJ$184</f>
        <v>0</v>
      </c>
      <c r="TKK77" s="223">
        <f xml:space="preserve"> InputsTS!TKK$184</f>
        <v>0</v>
      </c>
      <c r="TKL77" s="223">
        <f xml:space="preserve"> InputsTS!TKL$184</f>
        <v>0</v>
      </c>
      <c r="TKM77" s="223">
        <f xml:space="preserve"> InputsTS!TKM$184</f>
        <v>0</v>
      </c>
      <c r="TKN77" s="223">
        <f xml:space="preserve"> InputsTS!TKN$184</f>
        <v>0</v>
      </c>
      <c r="TKO77" s="223">
        <f xml:space="preserve"> InputsTS!TKO$184</f>
        <v>0</v>
      </c>
      <c r="TKP77" s="223">
        <f xml:space="preserve"> InputsTS!TKP$184</f>
        <v>0</v>
      </c>
      <c r="TKQ77" s="223">
        <f xml:space="preserve"> InputsTS!TKQ$184</f>
        <v>0</v>
      </c>
      <c r="TKR77" s="223">
        <f xml:space="preserve"> InputsTS!TKR$184</f>
        <v>0</v>
      </c>
      <c r="TKS77" s="223">
        <f xml:space="preserve"> InputsTS!TKS$184</f>
        <v>0</v>
      </c>
      <c r="TKT77" s="223">
        <f xml:space="preserve"> InputsTS!TKT$184</f>
        <v>0</v>
      </c>
      <c r="TKU77" s="223">
        <f xml:space="preserve"> InputsTS!TKU$184</f>
        <v>0</v>
      </c>
      <c r="TKV77" s="223">
        <f xml:space="preserve"> InputsTS!TKV$184</f>
        <v>0</v>
      </c>
      <c r="TKW77" s="223">
        <f xml:space="preserve"> InputsTS!TKW$184</f>
        <v>0</v>
      </c>
      <c r="TKX77" s="223">
        <f xml:space="preserve"> InputsTS!TKX$184</f>
        <v>0</v>
      </c>
      <c r="TKY77" s="223">
        <f xml:space="preserve"> InputsTS!TKY$184</f>
        <v>0</v>
      </c>
      <c r="TKZ77" s="223">
        <f xml:space="preserve"> InputsTS!TKZ$184</f>
        <v>0</v>
      </c>
      <c r="TLA77" s="223">
        <f xml:space="preserve"> InputsTS!TLA$184</f>
        <v>0</v>
      </c>
      <c r="TLB77" s="223">
        <f xml:space="preserve"> InputsTS!TLB$184</f>
        <v>0</v>
      </c>
      <c r="TLC77" s="223">
        <f xml:space="preserve"> InputsTS!TLC$184</f>
        <v>0</v>
      </c>
      <c r="TLD77" s="223">
        <f xml:space="preserve"> InputsTS!TLD$184</f>
        <v>0</v>
      </c>
      <c r="TLE77" s="223">
        <f xml:space="preserve"> InputsTS!TLE$184</f>
        <v>0</v>
      </c>
      <c r="TLF77" s="223">
        <f xml:space="preserve"> InputsTS!TLF$184</f>
        <v>0</v>
      </c>
      <c r="TLG77" s="223">
        <f xml:space="preserve"> InputsTS!TLG$184</f>
        <v>0</v>
      </c>
      <c r="TLH77" s="223">
        <f xml:space="preserve"> InputsTS!TLH$184</f>
        <v>0</v>
      </c>
      <c r="TLI77" s="223">
        <f xml:space="preserve"> InputsTS!TLI$184</f>
        <v>0</v>
      </c>
      <c r="TLJ77" s="223">
        <f xml:space="preserve"> InputsTS!TLJ$184</f>
        <v>0</v>
      </c>
      <c r="TLK77" s="223">
        <f xml:space="preserve"> InputsTS!TLK$184</f>
        <v>0</v>
      </c>
      <c r="TLL77" s="223">
        <f xml:space="preserve"> InputsTS!TLL$184</f>
        <v>0</v>
      </c>
      <c r="TLM77" s="223">
        <f xml:space="preserve"> InputsTS!TLM$184</f>
        <v>0</v>
      </c>
      <c r="TLN77" s="223">
        <f xml:space="preserve"> InputsTS!TLN$184</f>
        <v>0</v>
      </c>
      <c r="TLO77" s="223">
        <f xml:space="preserve"> InputsTS!TLO$184</f>
        <v>0</v>
      </c>
      <c r="TLP77" s="223">
        <f xml:space="preserve"> InputsTS!TLP$184</f>
        <v>0</v>
      </c>
      <c r="TLQ77" s="223">
        <f xml:space="preserve"> InputsTS!TLQ$184</f>
        <v>0</v>
      </c>
      <c r="TLR77" s="223">
        <f xml:space="preserve"> InputsTS!TLR$184</f>
        <v>0</v>
      </c>
      <c r="TLS77" s="223">
        <f xml:space="preserve"> InputsTS!TLS$184</f>
        <v>0</v>
      </c>
      <c r="TLT77" s="223">
        <f xml:space="preserve"> InputsTS!TLT$184</f>
        <v>0</v>
      </c>
      <c r="TLU77" s="223">
        <f xml:space="preserve"> InputsTS!TLU$184</f>
        <v>0</v>
      </c>
      <c r="TLV77" s="223">
        <f xml:space="preserve"> InputsTS!TLV$184</f>
        <v>0</v>
      </c>
      <c r="TLW77" s="223">
        <f xml:space="preserve"> InputsTS!TLW$184</f>
        <v>0</v>
      </c>
      <c r="TLX77" s="223">
        <f xml:space="preserve"> InputsTS!TLX$184</f>
        <v>0</v>
      </c>
      <c r="TLY77" s="223">
        <f xml:space="preserve"> InputsTS!TLY$184</f>
        <v>0</v>
      </c>
      <c r="TLZ77" s="223">
        <f xml:space="preserve"> InputsTS!TLZ$184</f>
        <v>0</v>
      </c>
      <c r="TMA77" s="223">
        <f xml:space="preserve"> InputsTS!TMA$184</f>
        <v>0</v>
      </c>
      <c r="TMB77" s="223">
        <f xml:space="preserve"> InputsTS!TMB$184</f>
        <v>0</v>
      </c>
      <c r="TMC77" s="223">
        <f xml:space="preserve"> InputsTS!TMC$184</f>
        <v>0</v>
      </c>
      <c r="TMD77" s="223">
        <f xml:space="preserve"> InputsTS!TMD$184</f>
        <v>0</v>
      </c>
      <c r="TME77" s="223">
        <f xml:space="preserve"> InputsTS!TME$184</f>
        <v>0</v>
      </c>
      <c r="TMF77" s="223">
        <f xml:space="preserve"> InputsTS!TMF$184</f>
        <v>0</v>
      </c>
      <c r="TMG77" s="223">
        <f xml:space="preserve"> InputsTS!TMG$184</f>
        <v>0</v>
      </c>
      <c r="TMH77" s="223">
        <f xml:space="preserve"> InputsTS!TMH$184</f>
        <v>0</v>
      </c>
      <c r="TMI77" s="223">
        <f xml:space="preserve"> InputsTS!TMI$184</f>
        <v>0</v>
      </c>
      <c r="TMJ77" s="223">
        <f xml:space="preserve"> InputsTS!TMJ$184</f>
        <v>0</v>
      </c>
      <c r="TMK77" s="223">
        <f xml:space="preserve"> InputsTS!TMK$184</f>
        <v>0</v>
      </c>
      <c r="TML77" s="223">
        <f xml:space="preserve"> InputsTS!TML$184</f>
        <v>0</v>
      </c>
      <c r="TMM77" s="223">
        <f xml:space="preserve"> InputsTS!TMM$184</f>
        <v>0</v>
      </c>
      <c r="TMN77" s="223">
        <f xml:space="preserve"> InputsTS!TMN$184</f>
        <v>0</v>
      </c>
      <c r="TMO77" s="223">
        <f xml:space="preserve"> InputsTS!TMO$184</f>
        <v>0</v>
      </c>
      <c r="TMP77" s="223">
        <f xml:space="preserve"> InputsTS!TMP$184</f>
        <v>0</v>
      </c>
      <c r="TMQ77" s="223">
        <f xml:space="preserve"> InputsTS!TMQ$184</f>
        <v>0</v>
      </c>
      <c r="TMR77" s="223">
        <f xml:space="preserve"> InputsTS!TMR$184</f>
        <v>0</v>
      </c>
      <c r="TMS77" s="223">
        <f xml:space="preserve"> InputsTS!TMS$184</f>
        <v>0</v>
      </c>
      <c r="TMT77" s="223">
        <f xml:space="preserve"> InputsTS!TMT$184</f>
        <v>0</v>
      </c>
      <c r="TMU77" s="223">
        <f xml:space="preserve"> InputsTS!TMU$184</f>
        <v>0</v>
      </c>
      <c r="TMV77" s="223">
        <f xml:space="preserve"> InputsTS!TMV$184</f>
        <v>0</v>
      </c>
      <c r="TMW77" s="223">
        <f xml:space="preserve"> InputsTS!TMW$184</f>
        <v>0</v>
      </c>
      <c r="TMX77" s="223">
        <f xml:space="preserve"> InputsTS!TMX$184</f>
        <v>0</v>
      </c>
      <c r="TMY77" s="223">
        <f xml:space="preserve"> InputsTS!TMY$184</f>
        <v>0</v>
      </c>
      <c r="TMZ77" s="223">
        <f xml:space="preserve"> InputsTS!TMZ$184</f>
        <v>0</v>
      </c>
      <c r="TNA77" s="223">
        <f xml:space="preserve"> InputsTS!TNA$184</f>
        <v>0</v>
      </c>
      <c r="TNB77" s="223">
        <f xml:space="preserve"> InputsTS!TNB$184</f>
        <v>0</v>
      </c>
      <c r="TNC77" s="223">
        <f xml:space="preserve"> InputsTS!TNC$184</f>
        <v>0</v>
      </c>
      <c r="TND77" s="223">
        <f xml:space="preserve"> InputsTS!TND$184</f>
        <v>0</v>
      </c>
      <c r="TNE77" s="223">
        <f xml:space="preserve"> InputsTS!TNE$184</f>
        <v>0</v>
      </c>
      <c r="TNF77" s="223">
        <f xml:space="preserve"> InputsTS!TNF$184</f>
        <v>0</v>
      </c>
      <c r="TNG77" s="223">
        <f xml:space="preserve"> InputsTS!TNG$184</f>
        <v>0</v>
      </c>
      <c r="TNH77" s="223">
        <f xml:space="preserve"> InputsTS!TNH$184</f>
        <v>0</v>
      </c>
      <c r="TNI77" s="223">
        <f xml:space="preserve"> InputsTS!TNI$184</f>
        <v>0</v>
      </c>
      <c r="TNJ77" s="223">
        <f xml:space="preserve"> InputsTS!TNJ$184</f>
        <v>0</v>
      </c>
      <c r="TNK77" s="223">
        <f xml:space="preserve"> InputsTS!TNK$184</f>
        <v>0</v>
      </c>
      <c r="TNL77" s="223">
        <f xml:space="preserve"> InputsTS!TNL$184</f>
        <v>0</v>
      </c>
      <c r="TNM77" s="223">
        <f xml:space="preserve"> InputsTS!TNM$184</f>
        <v>0</v>
      </c>
      <c r="TNN77" s="223">
        <f xml:space="preserve"> InputsTS!TNN$184</f>
        <v>0</v>
      </c>
      <c r="TNO77" s="223">
        <f xml:space="preserve"> InputsTS!TNO$184</f>
        <v>0</v>
      </c>
      <c r="TNP77" s="223">
        <f xml:space="preserve"> InputsTS!TNP$184</f>
        <v>0</v>
      </c>
      <c r="TNQ77" s="223">
        <f xml:space="preserve"> InputsTS!TNQ$184</f>
        <v>0</v>
      </c>
      <c r="TNR77" s="223">
        <f xml:space="preserve"> InputsTS!TNR$184</f>
        <v>0</v>
      </c>
      <c r="TNS77" s="223">
        <f xml:space="preserve"> InputsTS!TNS$184</f>
        <v>0</v>
      </c>
      <c r="TNT77" s="223">
        <f xml:space="preserve"> InputsTS!TNT$184</f>
        <v>0</v>
      </c>
      <c r="TNU77" s="223">
        <f xml:space="preserve"> InputsTS!TNU$184</f>
        <v>0</v>
      </c>
      <c r="TNV77" s="223">
        <f xml:space="preserve"> InputsTS!TNV$184</f>
        <v>0</v>
      </c>
      <c r="TNW77" s="223">
        <f xml:space="preserve"> InputsTS!TNW$184</f>
        <v>0</v>
      </c>
      <c r="TNX77" s="223">
        <f xml:space="preserve"> InputsTS!TNX$184</f>
        <v>0</v>
      </c>
      <c r="TNY77" s="223">
        <f xml:space="preserve"> InputsTS!TNY$184</f>
        <v>0</v>
      </c>
      <c r="TNZ77" s="223">
        <f xml:space="preserve"> InputsTS!TNZ$184</f>
        <v>0</v>
      </c>
      <c r="TOA77" s="223">
        <f xml:space="preserve"> InputsTS!TOA$184</f>
        <v>0</v>
      </c>
      <c r="TOB77" s="223">
        <f xml:space="preserve"> InputsTS!TOB$184</f>
        <v>0</v>
      </c>
      <c r="TOC77" s="223">
        <f xml:space="preserve"> InputsTS!TOC$184</f>
        <v>0</v>
      </c>
      <c r="TOD77" s="223">
        <f xml:space="preserve"> InputsTS!TOD$184</f>
        <v>0</v>
      </c>
      <c r="TOE77" s="223">
        <f xml:space="preserve"> InputsTS!TOE$184</f>
        <v>0</v>
      </c>
      <c r="TOF77" s="223">
        <f xml:space="preserve"> InputsTS!TOF$184</f>
        <v>0</v>
      </c>
      <c r="TOG77" s="223">
        <f xml:space="preserve"> InputsTS!TOG$184</f>
        <v>0</v>
      </c>
      <c r="TOH77" s="223">
        <f xml:space="preserve"> InputsTS!TOH$184</f>
        <v>0</v>
      </c>
      <c r="TOI77" s="223">
        <f xml:space="preserve"> InputsTS!TOI$184</f>
        <v>0</v>
      </c>
      <c r="TOJ77" s="223">
        <f xml:space="preserve"> InputsTS!TOJ$184</f>
        <v>0</v>
      </c>
      <c r="TOK77" s="223">
        <f xml:space="preserve"> InputsTS!TOK$184</f>
        <v>0</v>
      </c>
      <c r="TOL77" s="223">
        <f xml:space="preserve"> InputsTS!TOL$184</f>
        <v>0</v>
      </c>
      <c r="TOM77" s="223">
        <f xml:space="preserve"> InputsTS!TOM$184</f>
        <v>0</v>
      </c>
      <c r="TON77" s="223">
        <f xml:space="preserve"> InputsTS!TON$184</f>
        <v>0</v>
      </c>
      <c r="TOO77" s="223">
        <f xml:space="preserve"> InputsTS!TOO$184</f>
        <v>0</v>
      </c>
      <c r="TOP77" s="223">
        <f xml:space="preserve"> InputsTS!TOP$184</f>
        <v>0</v>
      </c>
      <c r="TOQ77" s="223">
        <f xml:space="preserve"> InputsTS!TOQ$184</f>
        <v>0</v>
      </c>
      <c r="TOR77" s="223">
        <f xml:space="preserve"> InputsTS!TOR$184</f>
        <v>0</v>
      </c>
      <c r="TOS77" s="223">
        <f xml:space="preserve"> InputsTS!TOS$184</f>
        <v>0</v>
      </c>
      <c r="TOT77" s="223">
        <f xml:space="preserve"> InputsTS!TOT$184</f>
        <v>0</v>
      </c>
      <c r="TOU77" s="223">
        <f xml:space="preserve"> InputsTS!TOU$184</f>
        <v>0</v>
      </c>
      <c r="TOV77" s="223">
        <f xml:space="preserve"> InputsTS!TOV$184</f>
        <v>0</v>
      </c>
      <c r="TOW77" s="223">
        <f xml:space="preserve"> InputsTS!TOW$184</f>
        <v>0</v>
      </c>
      <c r="TOX77" s="223">
        <f xml:space="preserve"> InputsTS!TOX$184</f>
        <v>0</v>
      </c>
      <c r="TOY77" s="223">
        <f xml:space="preserve"> InputsTS!TOY$184</f>
        <v>0</v>
      </c>
      <c r="TOZ77" s="223">
        <f xml:space="preserve"> InputsTS!TOZ$184</f>
        <v>0</v>
      </c>
      <c r="TPA77" s="223">
        <f xml:space="preserve"> InputsTS!TPA$184</f>
        <v>0</v>
      </c>
      <c r="TPB77" s="223">
        <f xml:space="preserve"> InputsTS!TPB$184</f>
        <v>0</v>
      </c>
      <c r="TPC77" s="223">
        <f xml:space="preserve"> InputsTS!TPC$184</f>
        <v>0</v>
      </c>
      <c r="TPD77" s="223">
        <f xml:space="preserve"> InputsTS!TPD$184</f>
        <v>0</v>
      </c>
      <c r="TPE77" s="223">
        <f xml:space="preserve"> InputsTS!TPE$184</f>
        <v>0</v>
      </c>
      <c r="TPF77" s="223">
        <f xml:space="preserve"> InputsTS!TPF$184</f>
        <v>0</v>
      </c>
      <c r="TPG77" s="223">
        <f xml:space="preserve"> InputsTS!TPG$184</f>
        <v>0</v>
      </c>
      <c r="TPH77" s="223">
        <f xml:space="preserve"> InputsTS!TPH$184</f>
        <v>0</v>
      </c>
      <c r="TPI77" s="223">
        <f xml:space="preserve"> InputsTS!TPI$184</f>
        <v>0</v>
      </c>
      <c r="TPJ77" s="223">
        <f xml:space="preserve"> InputsTS!TPJ$184</f>
        <v>0</v>
      </c>
      <c r="TPK77" s="223">
        <f xml:space="preserve"> InputsTS!TPK$184</f>
        <v>0</v>
      </c>
      <c r="TPL77" s="223">
        <f xml:space="preserve"> InputsTS!TPL$184</f>
        <v>0</v>
      </c>
      <c r="TPM77" s="223">
        <f xml:space="preserve"> InputsTS!TPM$184</f>
        <v>0</v>
      </c>
      <c r="TPN77" s="223">
        <f xml:space="preserve"> InputsTS!TPN$184</f>
        <v>0</v>
      </c>
      <c r="TPO77" s="223">
        <f xml:space="preserve"> InputsTS!TPO$184</f>
        <v>0</v>
      </c>
      <c r="TPP77" s="223">
        <f xml:space="preserve"> InputsTS!TPP$184</f>
        <v>0</v>
      </c>
      <c r="TPQ77" s="223">
        <f xml:space="preserve"> InputsTS!TPQ$184</f>
        <v>0</v>
      </c>
      <c r="TPR77" s="223">
        <f xml:space="preserve"> InputsTS!TPR$184</f>
        <v>0</v>
      </c>
      <c r="TPS77" s="223">
        <f xml:space="preserve"> InputsTS!TPS$184</f>
        <v>0</v>
      </c>
      <c r="TPT77" s="223">
        <f xml:space="preserve"> InputsTS!TPT$184</f>
        <v>0</v>
      </c>
      <c r="TPU77" s="223">
        <f xml:space="preserve"> InputsTS!TPU$184</f>
        <v>0</v>
      </c>
      <c r="TPV77" s="223">
        <f xml:space="preserve"> InputsTS!TPV$184</f>
        <v>0</v>
      </c>
      <c r="TPW77" s="223">
        <f xml:space="preserve"> InputsTS!TPW$184</f>
        <v>0</v>
      </c>
      <c r="TPX77" s="223">
        <f xml:space="preserve"> InputsTS!TPX$184</f>
        <v>0</v>
      </c>
      <c r="TPY77" s="223">
        <f xml:space="preserve"> InputsTS!TPY$184</f>
        <v>0</v>
      </c>
      <c r="TPZ77" s="223">
        <f xml:space="preserve"> InputsTS!TPZ$184</f>
        <v>0</v>
      </c>
      <c r="TQA77" s="223">
        <f xml:space="preserve"> InputsTS!TQA$184</f>
        <v>0</v>
      </c>
      <c r="TQB77" s="223">
        <f xml:space="preserve"> InputsTS!TQB$184</f>
        <v>0</v>
      </c>
      <c r="TQC77" s="223">
        <f xml:space="preserve"> InputsTS!TQC$184</f>
        <v>0</v>
      </c>
      <c r="TQD77" s="223">
        <f xml:space="preserve"> InputsTS!TQD$184</f>
        <v>0</v>
      </c>
      <c r="TQE77" s="223">
        <f xml:space="preserve"> InputsTS!TQE$184</f>
        <v>0</v>
      </c>
      <c r="TQF77" s="223">
        <f xml:space="preserve"> InputsTS!TQF$184</f>
        <v>0</v>
      </c>
      <c r="TQG77" s="223">
        <f xml:space="preserve"> InputsTS!TQG$184</f>
        <v>0</v>
      </c>
      <c r="TQH77" s="223">
        <f xml:space="preserve"> InputsTS!TQH$184</f>
        <v>0</v>
      </c>
      <c r="TQI77" s="223">
        <f xml:space="preserve"> InputsTS!TQI$184</f>
        <v>0</v>
      </c>
      <c r="TQJ77" s="223">
        <f xml:space="preserve"> InputsTS!TQJ$184</f>
        <v>0</v>
      </c>
      <c r="TQK77" s="223">
        <f xml:space="preserve"> InputsTS!TQK$184</f>
        <v>0</v>
      </c>
      <c r="TQL77" s="223">
        <f xml:space="preserve"> InputsTS!TQL$184</f>
        <v>0</v>
      </c>
      <c r="TQM77" s="223">
        <f xml:space="preserve"> InputsTS!TQM$184</f>
        <v>0</v>
      </c>
      <c r="TQN77" s="223">
        <f xml:space="preserve"> InputsTS!TQN$184</f>
        <v>0</v>
      </c>
      <c r="TQO77" s="223">
        <f xml:space="preserve"> InputsTS!TQO$184</f>
        <v>0</v>
      </c>
      <c r="TQP77" s="223">
        <f xml:space="preserve"> InputsTS!TQP$184</f>
        <v>0</v>
      </c>
      <c r="TQQ77" s="223">
        <f xml:space="preserve"> InputsTS!TQQ$184</f>
        <v>0</v>
      </c>
      <c r="TQR77" s="223">
        <f xml:space="preserve"> InputsTS!TQR$184</f>
        <v>0</v>
      </c>
      <c r="TQS77" s="223">
        <f xml:space="preserve"> InputsTS!TQS$184</f>
        <v>0</v>
      </c>
      <c r="TQT77" s="223">
        <f xml:space="preserve"> InputsTS!TQT$184</f>
        <v>0</v>
      </c>
      <c r="TQU77" s="223">
        <f xml:space="preserve"> InputsTS!TQU$184</f>
        <v>0</v>
      </c>
      <c r="TQV77" s="223">
        <f xml:space="preserve"> InputsTS!TQV$184</f>
        <v>0</v>
      </c>
      <c r="TQW77" s="223">
        <f xml:space="preserve"> InputsTS!TQW$184</f>
        <v>0</v>
      </c>
      <c r="TQX77" s="223">
        <f xml:space="preserve"> InputsTS!TQX$184</f>
        <v>0</v>
      </c>
      <c r="TQY77" s="223">
        <f xml:space="preserve"> InputsTS!TQY$184</f>
        <v>0</v>
      </c>
      <c r="TQZ77" s="223">
        <f xml:space="preserve"> InputsTS!TQZ$184</f>
        <v>0</v>
      </c>
      <c r="TRA77" s="223">
        <f xml:space="preserve"> InputsTS!TRA$184</f>
        <v>0</v>
      </c>
      <c r="TRB77" s="223">
        <f xml:space="preserve"> InputsTS!TRB$184</f>
        <v>0</v>
      </c>
      <c r="TRC77" s="223">
        <f xml:space="preserve"> InputsTS!TRC$184</f>
        <v>0</v>
      </c>
      <c r="TRD77" s="223">
        <f xml:space="preserve"> InputsTS!TRD$184</f>
        <v>0</v>
      </c>
      <c r="TRE77" s="223">
        <f xml:space="preserve"> InputsTS!TRE$184</f>
        <v>0</v>
      </c>
      <c r="TRF77" s="223">
        <f xml:space="preserve"> InputsTS!TRF$184</f>
        <v>0</v>
      </c>
      <c r="TRG77" s="223">
        <f xml:space="preserve"> InputsTS!TRG$184</f>
        <v>0</v>
      </c>
      <c r="TRH77" s="223">
        <f xml:space="preserve"> InputsTS!TRH$184</f>
        <v>0</v>
      </c>
      <c r="TRI77" s="223">
        <f xml:space="preserve"> InputsTS!TRI$184</f>
        <v>0</v>
      </c>
      <c r="TRJ77" s="223">
        <f xml:space="preserve"> InputsTS!TRJ$184</f>
        <v>0</v>
      </c>
      <c r="TRK77" s="223">
        <f xml:space="preserve"> InputsTS!TRK$184</f>
        <v>0</v>
      </c>
      <c r="TRL77" s="223">
        <f xml:space="preserve"> InputsTS!TRL$184</f>
        <v>0</v>
      </c>
      <c r="TRM77" s="223">
        <f xml:space="preserve"> InputsTS!TRM$184</f>
        <v>0</v>
      </c>
      <c r="TRN77" s="223">
        <f xml:space="preserve"> InputsTS!TRN$184</f>
        <v>0</v>
      </c>
      <c r="TRO77" s="223">
        <f xml:space="preserve"> InputsTS!TRO$184</f>
        <v>0</v>
      </c>
      <c r="TRP77" s="223">
        <f xml:space="preserve"> InputsTS!TRP$184</f>
        <v>0</v>
      </c>
      <c r="TRQ77" s="223">
        <f xml:space="preserve"> InputsTS!TRQ$184</f>
        <v>0</v>
      </c>
      <c r="TRR77" s="223">
        <f xml:space="preserve"> InputsTS!TRR$184</f>
        <v>0</v>
      </c>
      <c r="TRS77" s="223">
        <f xml:space="preserve"> InputsTS!TRS$184</f>
        <v>0</v>
      </c>
      <c r="TRT77" s="223">
        <f xml:space="preserve"> InputsTS!TRT$184</f>
        <v>0</v>
      </c>
      <c r="TRU77" s="223">
        <f xml:space="preserve"> InputsTS!TRU$184</f>
        <v>0</v>
      </c>
      <c r="TRV77" s="223">
        <f xml:space="preserve"> InputsTS!TRV$184</f>
        <v>0</v>
      </c>
      <c r="TRW77" s="223">
        <f xml:space="preserve"> InputsTS!TRW$184</f>
        <v>0</v>
      </c>
      <c r="TRX77" s="223">
        <f xml:space="preserve"> InputsTS!TRX$184</f>
        <v>0</v>
      </c>
      <c r="TRY77" s="223">
        <f xml:space="preserve"> InputsTS!TRY$184</f>
        <v>0</v>
      </c>
      <c r="TRZ77" s="223">
        <f xml:space="preserve"> InputsTS!TRZ$184</f>
        <v>0</v>
      </c>
      <c r="TSA77" s="223">
        <f xml:space="preserve"> InputsTS!TSA$184</f>
        <v>0</v>
      </c>
      <c r="TSB77" s="223">
        <f xml:space="preserve"> InputsTS!TSB$184</f>
        <v>0</v>
      </c>
      <c r="TSC77" s="223">
        <f xml:space="preserve"> InputsTS!TSC$184</f>
        <v>0</v>
      </c>
      <c r="TSD77" s="223">
        <f xml:space="preserve"> InputsTS!TSD$184</f>
        <v>0</v>
      </c>
      <c r="TSE77" s="223">
        <f xml:space="preserve"> InputsTS!TSE$184</f>
        <v>0</v>
      </c>
      <c r="TSF77" s="223">
        <f xml:space="preserve"> InputsTS!TSF$184</f>
        <v>0</v>
      </c>
      <c r="TSG77" s="223">
        <f xml:space="preserve"> InputsTS!TSG$184</f>
        <v>0</v>
      </c>
      <c r="TSH77" s="223">
        <f xml:space="preserve"> InputsTS!TSH$184</f>
        <v>0</v>
      </c>
      <c r="TSI77" s="223">
        <f xml:space="preserve"> InputsTS!TSI$184</f>
        <v>0</v>
      </c>
      <c r="TSJ77" s="223">
        <f xml:space="preserve"> InputsTS!TSJ$184</f>
        <v>0</v>
      </c>
      <c r="TSK77" s="223">
        <f xml:space="preserve"> InputsTS!TSK$184</f>
        <v>0</v>
      </c>
      <c r="TSL77" s="223">
        <f xml:space="preserve"> InputsTS!TSL$184</f>
        <v>0</v>
      </c>
      <c r="TSM77" s="223">
        <f xml:space="preserve"> InputsTS!TSM$184</f>
        <v>0</v>
      </c>
      <c r="TSN77" s="223">
        <f xml:space="preserve"> InputsTS!TSN$184</f>
        <v>0</v>
      </c>
      <c r="TSO77" s="223">
        <f xml:space="preserve"> InputsTS!TSO$184</f>
        <v>0</v>
      </c>
      <c r="TSP77" s="223">
        <f xml:space="preserve"> InputsTS!TSP$184</f>
        <v>0</v>
      </c>
      <c r="TSQ77" s="223">
        <f xml:space="preserve"> InputsTS!TSQ$184</f>
        <v>0</v>
      </c>
      <c r="TSR77" s="223">
        <f xml:space="preserve"> InputsTS!TSR$184</f>
        <v>0</v>
      </c>
      <c r="TSS77" s="223">
        <f xml:space="preserve"> InputsTS!TSS$184</f>
        <v>0</v>
      </c>
      <c r="TST77" s="223">
        <f xml:space="preserve"> InputsTS!TST$184</f>
        <v>0</v>
      </c>
      <c r="TSU77" s="223">
        <f xml:space="preserve"> InputsTS!TSU$184</f>
        <v>0</v>
      </c>
      <c r="TSV77" s="223">
        <f xml:space="preserve"> InputsTS!TSV$184</f>
        <v>0</v>
      </c>
      <c r="TSW77" s="223">
        <f xml:space="preserve"> InputsTS!TSW$184</f>
        <v>0</v>
      </c>
      <c r="TSX77" s="223">
        <f xml:space="preserve"> InputsTS!TSX$184</f>
        <v>0</v>
      </c>
      <c r="TSY77" s="223">
        <f xml:space="preserve"> InputsTS!TSY$184</f>
        <v>0</v>
      </c>
      <c r="TSZ77" s="223">
        <f xml:space="preserve"> InputsTS!TSZ$184</f>
        <v>0</v>
      </c>
      <c r="TTA77" s="223">
        <f xml:space="preserve"> InputsTS!TTA$184</f>
        <v>0</v>
      </c>
      <c r="TTB77" s="223">
        <f xml:space="preserve"> InputsTS!TTB$184</f>
        <v>0</v>
      </c>
      <c r="TTC77" s="223">
        <f xml:space="preserve"> InputsTS!TTC$184</f>
        <v>0</v>
      </c>
      <c r="TTD77" s="223">
        <f xml:space="preserve"> InputsTS!TTD$184</f>
        <v>0</v>
      </c>
      <c r="TTE77" s="223">
        <f xml:space="preserve"> InputsTS!TTE$184</f>
        <v>0</v>
      </c>
      <c r="TTF77" s="223">
        <f xml:space="preserve"> InputsTS!TTF$184</f>
        <v>0</v>
      </c>
      <c r="TTG77" s="223">
        <f xml:space="preserve"> InputsTS!TTG$184</f>
        <v>0</v>
      </c>
      <c r="TTH77" s="223">
        <f xml:space="preserve"> InputsTS!TTH$184</f>
        <v>0</v>
      </c>
      <c r="TTI77" s="223">
        <f xml:space="preserve"> InputsTS!TTI$184</f>
        <v>0</v>
      </c>
      <c r="TTJ77" s="223">
        <f xml:space="preserve"> InputsTS!TTJ$184</f>
        <v>0</v>
      </c>
      <c r="TTK77" s="223">
        <f xml:space="preserve"> InputsTS!TTK$184</f>
        <v>0</v>
      </c>
      <c r="TTL77" s="223">
        <f xml:space="preserve"> InputsTS!TTL$184</f>
        <v>0</v>
      </c>
      <c r="TTM77" s="223">
        <f xml:space="preserve"> InputsTS!TTM$184</f>
        <v>0</v>
      </c>
      <c r="TTN77" s="223">
        <f xml:space="preserve"> InputsTS!TTN$184</f>
        <v>0</v>
      </c>
      <c r="TTO77" s="223">
        <f xml:space="preserve"> InputsTS!TTO$184</f>
        <v>0</v>
      </c>
      <c r="TTP77" s="223">
        <f xml:space="preserve"> InputsTS!TTP$184</f>
        <v>0</v>
      </c>
      <c r="TTQ77" s="223">
        <f xml:space="preserve"> InputsTS!TTQ$184</f>
        <v>0</v>
      </c>
      <c r="TTR77" s="223">
        <f xml:space="preserve"> InputsTS!TTR$184</f>
        <v>0</v>
      </c>
      <c r="TTS77" s="223">
        <f xml:space="preserve"> InputsTS!TTS$184</f>
        <v>0</v>
      </c>
      <c r="TTT77" s="223">
        <f xml:space="preserve"> InputsTS!TTT$184</f>
        <v>0</v>
      </c>
      <c r="TTU77" s="223">
        <f xml:space="preserve"> InputsTS!TTU$184</f>
        <v>0</v>
      </c>
      <c r="TTV77" s="223">
        <f xml:space="preserve"> InputsTS!TTV$184</f>
        <v>0</v>
      </c>
      <c r="TTW77" s="223">
        <f xml:space="preserve"> InputsTS!TTW$184</f>
        <v>0</v>
      </c>
      <c r="TTX77" s="223">
        <f xml:space="preserve"> InputsTS!TTX$184</f>
        <v>0</v>
      </c>
      <c r="TTY77" s="223">
        <f xml:space="preserve"> InputsTS!TTY$184</f>
        <v>0</v>
      </c>
      <c r="TTZ77" s="223">
        <f xml:space="preserve"> InputsTS!TTZ$184</f>
        <v>0</v>
      </c>
      <c r="TUA77" s="223">
        <f xml:space="preserve"> InputsTS!TUA$184</f>
        <v>0</v>
      </c>
      <c r="TUB77" s="223">
        <f xml:space="preserve"> InputsTS!TUB$184</f>
        <v>0</v>
      </c>
      <c r="TUC77" s="223">
        <f xml:space="preserve"> InputsTS!TUC$184</f>
        <v>0</v>
      </c>
      <c r="TUD77" s="223">
        <f xml:space="preserve"> InputsTS!TUD$184</f>
        <v>0</v>
      </c>
      <c r="TUE77" s="223">
        <f xml:space="preserve"> InputsTS!TUE$184</f>
        <v>0</v>
      </c>
      <c r="TUF77" s="223">
        <f xml:space="preserve"> InputsTS!TUF$184</f>
        <v>0</v>
      </c>
      <c r="TUG77" s="223">
        <f xml:space="preserve"> InputsTS!TUG$184</f>
        <v>0</v>
      </c>
      <c r="TUH77" s="223">
        <f xml:space="preserve"> InputsTS!TUH$184</f>
        <v>0</v>
      </c>
      <c r="TUI77" s="223">
        <f xml:space="preserve"> InputsTS!TUI$184</f>
        <v>0</v>
      </c>
      <c r="TUJ77" s="223">
        <f xml:space="preserve"> InputsTS!TUJ$184</f>
        <v>0</v>
      </c>
      <c r="TUK77" s="223">
        <f xml:space="preserve"> InputsTS!TUK$184</f>
        <v>0</v>
      </c>
      <c r="TUL77" s="223">
        <f xml:space="preserve"> InputsTS!TUL$184</f>
        <v>0</v>
      </c>
      <c r="TUM77" s="223">
        <f xml:space="preserve"> InputsTS!TUM$184</f>
        <v>0</v>
      </c>
      <c r="TUN77" s="223">
        <f xml:space="preserve"> InputsTS!TUN$184</f>
        <v>0</v>
      </c>
      <c r="TUO77" s="223">
        <f xml:space="preserve"> InputsTS!TUO$184</f>
        <v>0</v>
      </c>
      <c r="TUP77" s="223">
        <f xml:space="preserve"> InputsTS!TUP$184</f>
        <v>0</v>
      </c>
      <c r="TUQ77" s="223">
        <f xml:space="preserve"> InputsTS!TUQ$184</f>
        <v>0</v>
      </c>
      <c r="TUR77" s="223">
        <f xml:space="preserve"> InputsTS!TUR$184</f>
        <v>0</v>
      </c>
      <c r="TUS77" s="223">
        <f xml:space="preserve"> InputsTS!TUS$184</f>
        <v>0</v>
      </c>
      <c r="TUT77" s="223">
        <f xml:space="preserve"> InputsTS!TUT$184</f>
        <v>0</v>
      </c>
      <c r="TUU77" s="223">
        <f xml:space="preserve"> InputsTS!TUU$184</f>
        <v>0</v>
      </c>
      <c r="TUV77" s="223">
        <f xml:space="preserve"> InputsTS!TUV$184</f>
        <v>0</v>
      </c>
      <c r="TUW77" s="223">
        <f xml:space="preserve"> InputsTS!TUW$184</f>
        <v>0</v>
      </c>
      <c r="TUX77" s="223">
        <f xml:space="preserve"> InputsTS!TUX$184</f>
        <v>0</v>
      </c>
      <c r="TUY77" s="223">
        <f xml:space="preserve"> InputsTS!TUY$184</f>
        <v>0</v>
      </c>
      <c r="TUZ77" s="223">
        <f xml:space="preserve"> InputsTS!TUZ$184</f>
        <v>0</v>
      </c>
      <c r="TVA77" s="223">
        <f xml:space="preserve"> InputsTS!TVA$184</f>
        <v>0</v>
      </c>
      <c r="TVB77" s="223">
        <f xml:space="preserve"> InputsTS!TVB$184</f>
        <v>0</v>
      </c>
      <c r="TVC77" s="223">
        <f xml:space="preserve"> InputsTS!TVC$184</f>
        <v>0</v>
      </c>
      <c r="TVD77" s="223">
        <f xml:space="preserve"> InputsTS!TVD$184</f>
        <v>0</v>
      </c>
      <c r="TVE77" s="223">
        <f xml:space="preserve"> InputsTS!TVE$184</f>
        <v>0</v>
      </c>
      <c r="TVF77" s="223">
        <f xml:space="preserve"> InputsTS!TVF$184</f>
        <v>0</v>
      </c>
      <c r="TVG77" s="223">
        <f xml:space="preserve"> InputsTS!TVG$184</f>
        <v>0</v>
      </c>
      <c r="TVH77" s="223">
        <f xml:space="preserve"> InputsTS!TVH$184</f>
        <v>0</v>
      </c>
      <c r="TVI77" s="223">
        <f xml:space="preserve"> InputsTS!TVI$184</f>
        <v>0</v>
      </c>
      <c r="TVJ77" s="223">
        <f xml:space="preserve"> InputsTS!TVJ$184</f>
        <v>0</v>
      </c>
      <c r="TVK77" s="223">
        <f xml:space="preserve"> InputsTS!TVK$184</f>
        <v>0</v>
      </c>
      <c r="TVL77" s="223">
        <f xml:space="preserve"> InputsTS!TVL$184</f>
        <v>0</v>
      </c>
      <c r="TVM77" s="223">
        <f xml:space="preserve"> InputsTS!TVM$184</f>
        <v>0</v>
      </c>
      <c r="TVN77" s="223">
        <f xml:space="preserve"> InputsTS!TVN$184</f>
        <v>0</v>
      </c>
      <c r="TVO77" s="223">
        <f xml:space="preserve"> InputsTS!TVO$184</f>
        <v>0</v>
      </c>
      <c r="TVP77" s="223">
        <f xml:space="preserve"> InputsTS!TVP$184</f>
        <v>0</v>
      </c>
      <c r="TVQ77" s="223">
        <f xml:space="preserve"> InputsTS!TVQ$184</f>
        <v>0</v>
      </c>
      <c r="TVR77" s="223">
        <f xml:space="preserve"> InputsTS!TVR$184</f>
        <v>0</v>
      </c>
      <c r="TVS77" s="223">
        <f xml:space="preserve"> InputsTS!TVS$184</f>
        <v>0</v>
      </c>
      <c r="TVT77" s="223">
        <f xml:space="preserve"> InputsTS!TVT$184</f>
        <v>0</v>
      </c>
      <c r="TVU77" s="223">
        <f xml:space="preserve"> InputsTS!TVU$184</f>
        <v>0</v>
      </c>
      <c r="TVV77" s="223">
        <f xml:space="preserve"> InputsTS!TVV$184</f>
        <v>0</v>
      </c>
      <c r="TVW77" s="223">
        <f xml:space="preserve"> InputsTS!TVW$184</f>
        <v>0</v>
      </c>
      <c r="TVX77" s="223">
        <f xml:space="preserve"> InputsTS!TVX$184</f>
        <v>0</v>
      </c>
      <c r="TVY77" s="223">
        <f xml:space="preserve"> InputsTS!TVY$184</f>
        <v>0</v>
      </c>
      <c r="TVZ77" s="223">
        <f xml:space="preserve"> InputsTS!TVZ$184</f>
        <v>0</v>
      </c>
      <c r="TWA77" s="223">
        <f xml:space="preserve"> InputsTS!TWA$184</f>
        <v>0</v>
      </c>
      <c r="TWB77" s="223">
        <f xml:space="preserve"> InputsTS!TWB$184</f>
        <v>0</v>
      </c>
      <c r="TWC77" s="223">
        <f xml:space="preserve"> InputsTS!TWC$184</f>
        <v>0</v>
      </c>
      <c r="TWD77" s="223">
        <f xml:space="preserve"> InputsTS!TWD$184</f>
        <v>0</v>
      </c>
      <c r="TWE77" s="223">
        <f xml:space="preserve"> InputsTS!TWE$184</f>
        <v>0</v>
      </c>
      <c r="TWF77" s="223">
        <f xml:space="preserve"> InputsTS!TWF$184</f>
        <v>0</v>
      </c>
      <c r="TWG77" s="223">
        <f xml:space="preserve"> InputsTS!TWG$184</f>
        <v>0</v>
      </c>
      <c r="TWH77" s="223">
        <f xml:space="preserve"> InputsTS!TWH$184</f>
        <v>0</v>
      </c>
      <c r="TWI77" s="223">
        <f xml:space="preserve"> InputsTS!TWI$184</f>
        <v>0</v>
      </c>
      <c r="TWJ77" s="223">
        <f xml:space="preserve"> InputsTS!TWJ$184</f>
        <v>0</v>
      </c>
      <c r="TWK77" s="223">
        <f xml:space="preserve"> InputsTS!TWK$184</f>
        <v>0</v>
      </c>
      <c r="TWL77" s="223">
        <f xml:space="preserve"> InputsTS!TWL$184</f>
        <v>0</v>
      </c>
      <c r="TWM77" s="223">
        <f xml:space="preserve"> InputsTS!TWM$184</f>
        <v>0</v>
      </c>
      <c r="TWN77" s="223">
        <f xml:space="preserve"> InputsTS!TWN$184</f>
        <v>0</v>
      </c>
      <c r="TWO77" s="223">
        <f xml:space="preserve"> InputsTS!TWO$184</f>
        <v>0</v>
      </c>
      <c r="TWP77" s="223">
        <f xml:space="preserve"> InputsTS!TWP$184</f>
        <v>0</v>
      </c>
      <c r="TWQ77" s="223">
        <f xml:space="preserve"> InputsTS!TWQ$184</f>
        <v>0</v>
      </c>
      <c r="TWR77" s="223">
        <f xml:space="preserve"> InputsTS!TWR$184</f>
        <v>0</v>
      </c>
      <c r="TWS77" s="223">
        <f xml:space="preserve"> InputsTS!TWS$184</f>
        <v>0</v>
      </c>
      <c r="TWT77" s="223">
        <f xml:space="preserve"> InputsTS!TWT$184</f>
        <v>0</v>
      </c>
      <c r="TWU77" s="223">
        <f xml:space="preserve"> InputsTS!TWU$184</f>
        <v>0</v>
      </c>
      <c r="TWV77" s="223">
        <f xml:space="preserve"> InputsTS!TWV$184</f>
        <v>0</v>
      </c>
      <c r="TWW77" s="223">
        <f xml:space="preserve"> InputsTS!TWW$184</f>
        <v>0</v>
      </c>
      <c r="TWX77" s="223">
        <f xml:space="preserve"> InputsTS!TWX$184</f>
        <v>0</v>
      </c>
      <c r="TWY77" s="223">
        <f xml:space="preserve"> InputsTS!TWY$184</f>
        <v>0</v>
      </c>
      <c r="TWZ77" s="223">
        <f xml:space="preserve"> InputsTS!TWZ$184</f>
        <v>0</v>
      </c>
      <c r="TXA77" s="223">
        <f xml:space="preserve"> InputsTS!TXA$184</f>
        <v>0</v>
      </c>
      <c r="TXB77" s="223">
        <f xml:space="preserve"> InputsTS!TXB$184</f>
        <v>0</v>
      </c>
      <c r="TXC77" s="223">
        <f xml:space="preserve"> InputsTS!TXC$184</f>
        <v>0</v>
      </c>
      <c r="TXD77" s="223">
        <f xml:space="preserve"> InputsTS!TXD$184</f>
        <v>0</v>
      </c>
      <c r="TXE77" s="223">
        <f xml:space="preserve"> InputsTS!TXE$184</f>
        <v>0</v>
      </c>
      <c r="TXF77" s="223">
        <f xml:space="preserve"> InputsTS!TXF$184</f>
        <v>0</v>
      </c>
      <c r="TXG77" s="223">
        <f xml:space="preserve"> InputsTS!TXG$184</f>
        <v>0</v>
      </c>
      <c r="TXH77" s="223">
        <f xml:space="preserve"> InputsTS!TXH$184</f>
        <v>0</v>
      </c>
      <c r="TXI77" s="223">
        <f xml:space="preserve"> InputsTS!TXI$184</f>
        <v>0</v>
      </c>
      <c r="TXJ77" s="223">
        <f xml:space="preserve"> InputsTS!TXJ$184</f>
        <v>0</v>
      </c>
      <c r="TXK77" s="223">
        <f xml:space="preserve"> InputsTS!TXK$184</f>
        <v>0</v>
      </c>
      <c r="TXL77" s="223">
        <f xml:space="preserve"> InputsTS!TXL$184</f>
        <v>0</v>
      </c>
      <c r="TXM77" s="223">
        <f xml:space="preserve"> InputsTS!TXM$184</f>
        <v>0</v>
      </c>
      <c r="TXN77" s="223">
        <f xml:space="preserve"> InputsTS!TXN$184</f>
        <v>0</v>
      </c>
      <c r="TXO77" s="223">
        <f xml:space="preserve"> InputsTS!TXO$184</f>
        <v>0</v>
      </c>
      <c r="TXP77" s="223">
        <f xml:space="preserve"> InputsTS!TXP$184</f>
        <v>0</v>
      </c>
      <c r="TXQ77" s="223">
        <f xml:space="preserve"> InputsTS!TXQ$184</f>
        <v>0</v>
      </c>
      <c r="TXR77" s="223">
        <f xml:space="preserve"> InputsTS!TXR$184</f>
        <v>0</v>
      </c>
      <c r="TXS77" s="223">
        <f xml:space="preserve"> InputsTS!TXS$184</f>
        <v>0</v>
      </c>
      <c r="TXT77" s="223">
        <f xml:space="preserve"> InputsTS!TXT$184</f>
        <v>0</v>
      </c>
      <c r="TXU77" s="223">
        <f xml:space="preserve"> InputsTS!TXU$184</f>
        <v>0</v>
      </c>
      <c r="TXV77" s="223">
        <f xml:space="preserve"> InputsTS!TXV$184</f>
        <v>0</v>
      </c>
      <c r="TXW77" s="223">
        <f xml:space="preserve"> InputsTS!TXW$184</f>
        <v>0</v>
      </c>
      <c r="TXX77" s="223">
        <f xml:space="preserve"> InputsTS!TXX$184</f>
        <v>0</v>
      </c>
      <c r="TXY77" s="223">
        <f xml:space="preserve"> InputsTS!TXY$184</f>
        <v>0</v>
      </c>
      <c r="TXZ77" s="223">
        <f xml:space="preserve"> InputsTS!TXZ$184</f>
        <v>0</v>
      </c>
      <c r="TYA77" s="223">
        <f xml:space="preserve"> InputsTS!TYA$184</f>
        <v>0</v>
      </c>
      <c r="TYB77" s="223">
        <f xml:space="preserve"> InputsTS!TYB$184</f>
        <v>0</v>
      </c>
      <c r="TYC77" s="223">
        <f xml:space="preserve"> InputsTS!TYC$184</f>
        <v>0</v>
      </c>
      <c r="TYD77" s="223">
        <f xml:space="preserve"> InputsTS!TYD$184</f>
        <v>0</v>
      </c>
      <c r="TYE77" s="223">
        <f xml:space="preserve"> InputsTS!TYE$184</f>
        <v>0</v>
      </c>
      <c r="TYF77" s="223">
        <f xml:space="preserve"> InputsTS!TYF$184</f>
        <v>0</v>
      </c>
      <c r="TYG77" s="223">
        <f xml:space="preserve"> InputsTS!TYG$184</f>
        <v>0</v>
      </c>
      <c r="TYH77" s="223">
        <f xml:space="preserve"> InputsTS!TYH$184</f>
        <v>0</v>
      </c>
      <c r="TYI77" s="223">
        <f xml:space="preserve"> InputsTS!TYI$184</f>
        <v>0</v>
      </c>
      <c r="TYJ77" s="223">
        <f xml:space="preserve"> InputsTS!TYJ$184</f>
        <v>0</v>
      </c>
      <c r="TYK77" s="223">
        <f xml:space="preserve"> InputsTS!TYK$184</f>
        <v>0</v>
      </c>
      <c r="TYL77" s="223">
        <f xml:space="preserve"> InputsTS!TYL$184</f>
        <v>0</v>
      </c>
      <c r="TYM77" s="223">
        <f xml:space="preserve"> InputsTS!TYM$184</f>
        <v>0</v>
      </c>
      <c r="TYN77" s="223">
        <f xml:space="preserve"> InputsTS!TYN$184</f>
        <v>0</v>
      </c>
      <c r="TYO77" s="223">
        <f xml:space="preserve"> InputsTS!TYO$184</f>
        <v>0</v>
      </c>
      <c r="TYP77" s="223">
        <f xml:space="preserve"> InputsTS!TYP$184</f>
        <v>0</v>
      </c>
      <c r="TYQ77" s="223">
        <f xml:space="preserve"> InputsTS!TYQ$184</f>
        <v>0</v>
      </c>
      <c r="TYR77" s="223">
        <f xml:space="preserve"> InputsTS!TYR$184</f>
        <v>0</v>
      </c>
      <c r="TYS77" s="223">
        <f xml:space="preserve"> InputsTS!TYS$184</f>
        <v>0</v>
      </c>
      <c r="TYT77" s="223">
        <f xml:space="preserve"> InputsTS!TYT$184</f>
        <v>0</v>
      </c>
      <c r="TYU77" s="223">
        <f xml:space="preserve"> InputsTS!TYU$184</f>
        <v>0</v>
      </c>
      <c r="TYV77" s="223">
        <f xml:space="preserve"> InputsTS!TYV$184</f>
        <v>0</v>
      </c>
      <c r="TYW77" s="223">
        <f xml:space="preserve"> InputsTS!TYW$184</f>
        <v>0</v>
      </c>
      <c r="TYX77" s="223">
        <f xml:space="preserve"> InputsTS!TYX$184</f>
        <v>0</v>
      </c>
      <c r="TYY77" s="223">
        <f xml:space="preserve"> InputsTS!TYY$184</f>
        <v>0</v>
      </c>
      <c r="TYZ77" s="223">
        <f xml:space="preserve"> InputsTS!TYZ$184</f>
        <v>0</v>
      </c>
      <c r="TZA77" s="223">
        <f xml:space="preserve"> InputsTS!TZA$184</f>
        <v>0</v>
      </c>
      <c r="TZB77" s="223">
        <f xml:space="preserve"> InputsTS!TZB$184</f>
        <v>0</v>
      </c>
      <c r="TZC77" s="223">
        <f xml:space="preserve"> InputsTS!TZC$184</f>
        <v>0</v>
      </c>
      <c r="TZD77" s="223">
        <f xml:space="preserve"> InputsTS!TZD$184</f>
        <v>0</v>
      </c>
      <c r="TZE77" s="223">
        <f xml:space="preserve"> InputsTS!TZE$184</f>
        <v>0</v>
      </c>
      <c r="TZF77" s="223">
        <f xml:space="preserve"> InputsTS!TZF$184</f>
        <v>0</v>
      </c>
      <c r="TZG77" s="223">
        <f xml:space="preserve"> InputsTS!TZG$184</f>
        <v>0</v>
      </c>
      <c r="TZH77" s="223">
        <f xml:space="preserve"> InputsTS!TZH$184</f>
        <v>0</v>
      </c>
      <c r="TZI77" s="223">
        <f xml:space="preserve"> InputsTS!TZI$184</f>
        <v>0</v>
      </c>
      <c r="TZJ77" s="223">
        <f xml:space="preserve"> InputsTS!TZJ$184</f>
        <v>0</v>
      </c>
      <c r="TZK77" s="223">
        <f xml:space="preserve"> InputsTS!TZK$184</f>
        <v>0</v>
      </c>
      <c r="TZL77" s="223">
        <f xml:space="preserve"> InputsTS!TZL$184</f>
        <v>0</v>
      </c>
      <c r="TZM77" s="223">
        <f xml:space="preserve"> InputsTS!TZM$184</f>
        <v>0</v>
      </c>
      <c r="TZN77" s="223">
        <f xml:space="preserve"> InputsTS!TZN$184</f>
        <v>0</v>
      </c>
      <c r="TZO77" s="223">
        <f xml:space="preserve"> InputsTS!TZO$184</f>
        <v>0</v>
      </c>
      <c r="TZP77" s="223">
        <f xml:space="preserve"> InputsTS!TZP$184</f>
        <v>0</v>
      </c>
      <c r="TZQ77" s="223">
        <f xml:space="preserve"> InputsTS!TZQ$184</f>
        <v>0</v>
      </c>
      <c r="TZR77" s="223">
        <f xml:space="preserve"> InputsTS!TZR$184</f>
        <v>0</v>
      </c>
      <c r="TZS77" s="223">
        <f xml:space="preserve"> InputsTS!TZS$184</f>
        <v>0</v>
      </c>
      <c r="TZT77" s="223">
        <f xml:space="preserve"> InputsTS!TZT$184</f>
        <v>0</v>
      </c>
      <c r="TZU77" s="223">
        <f xml:space="preserve"> InputsTS!TZU$184</f>
        <v>0</v>
      </c>
      <c r="TZV77" s="223">
        <f xml:space="preserve"> InputsTS!TZV$184</f>
        <v>0</v>
      </c>
      <c r="TZW77" s="223">
        <f xml:space="preserve"> InputsTS!TZW$184</f>
        <v>0</v>
      </c>
      <c r="TZX77" s="223">
        <f xml:space="preserve"> InputsTS!TZX$184</f>
        <v>0</v>
      </c>
      <c r="TZY77" s="223">
        <f xml:space="preserve"> InputsTS!TZY$184</f>
        <v>0</v>
      </c>
      <c r="TZZ77" s="223">
        <f xml:space="preserve"> InputsTS!TZZ$184</f>
        <v>0</v>
      </c>
      <c r="UAA77" s="223">
        <f xml:space="preserve"> InputsTS!UAA$184</f>
        <v>0</v>
      </c>
      <c r="UAB77" s="223">
        <f xml:space="preserve"> InputsTS!UAB$184</f>
        <v>0</v>
      </c>
      <c r="UAC77" s="223">
        <f xml:space="preserve"> InputsTS!UAC$184</f>
        <v>0</v>
      </c>
      <c r="UAD77" s="223">
        <f xml:space="preserve"> InputsTS!UAD$184</f>
        <v>0</v>
      </c>
      <c r="UAE77" s="223">
        <f xml:space="preserve"> InputsTS!UAE$184</f>
        <v>0</v>
      </c>
      <c r="UAF77" s="223">
        <f xml:space="preserve"> InputsTS!UAF$184</f>
        <v>0</v>
      </c>
      <c r="UAG77" s="223">
        <f xml:space="preserve"> InputsTS!UAG$184</f>
        <v>0</v>
      </c>
      <c r="UAH77" s="223">
        <f xml:space="preserve"> InputsTS!UAH$184</f>
        <v>0</v>
      </c>
      <c r="UAI77" s="223">
        <f xml:space="preserve"> InputsTS!UAI$184</f>
        <v>0</v>
      </c>
      <c r="UAJ77" s="223">
        <f xml:space="preserve"> InputsTS!UAJ$184</f>
        <v>0</v>
      </c>
      <c r="UAK77" s="223">
        <f xml:space="preserve"> InputsTS!UAK$184</f>
        <v>0</v>
      </c>
      <c r="UAL77" s="223">
        <f xml:space="preserve"> InputsTS!UAL$184</f>
        <v>0</v>
      </c>
      <c r="UAM77" s="223">
        <f xml:space="preserve"> InputsTS!UAM$184</f>
        <v>0</v>
      </c>
      <c r="UAN77" s="223">
        <f xml:space="preserve"> InputsTS!UAN$184</f>
        <v>0</v>
      </c>
      <c r="UAO77" s="223">
        <f xml:space="preserve"> InputsTS!UAO$184</f>
        <v>0</v>
      </c>
      <c r="UAP77" s="223">
        <f xml:space="preserve"> InputsTS!UAP$184</f>
        <v>0</v>
      </c>
      <c r="UAQ77" s="223">
        <f xml:space="preserve"> InputsTS!UAQ$184</f>
        <v>0</v>
      </c>
      <c r="UAR77" s="223">
        <f xml:space="preserve"> InputsTS!UAR$184</f>
        <v>0</v>
      </c>
      <c r="UAS77" s="223">
        <f xml:space="preserve"> InputsTS!UAS$184</f>
        <v>0</v>
      </c>
      <c r="UAT77" s="223">
        <f xml:space="preserve"> InputsTS!UAT$184</f>
        <v>0</v>
      </c>
      <c r="UAU77" s="223">
        <f xml:space="preserve"> InputsTS!UAU$184</f>
        <v>0</v>
      </c>
      <c r="UAV77" s="223">
        <f xml:space="preserve"> InputsTS!UAV$184</f>
        <v>0</v>
      </c>
      <c r="UAW77" s="223">
        <f xml:space="preserve"> InputsTS!UAW$184</f>
        <v>0</v>
      </c>
      <c r="UAX77" s="223">
        <f xml:space="preserve"> InputsTS!UAX$184</f>
        <v>0</v>
      </c>
      <c r="UAY77" s="223">
        <f xml:space="preserve"> InputsTS!UAY$184</f>
        <v>0</v>
      </c>
      <c r="UAZ77" s="223">
        <f xml:space="preserve"> InputsTS!UAZ$184</f>
        <v>0</v>
      </c>
      <c r="UBA77" s="223">
        <f xml:space="preserve"> InputsTS!UBA$184</f>
        <v>0</v>
      </c>
      <c r="UBB77" s="223">
        <f xml:space="preserve"> InputsTS!UBB$184</f>
        <v>0</v>
      </c>
      <c r="UBC77" s="223">
        <f xml:space="preserve"> InputsTS!UBC$184</f>
        <v>0</v>
      </c>
      <c r="UBD77" s="223">
        <f xml:space="preserve"> InputsTS!UBD$184</f>
        <v>0</v>
      </c>
      <c r="UBE77" s="223">
        <f xml:space="preserve"> InputsTS!UBE$184</f>
        <v>0</v>
      </c>
      <c r="UBF77" s="223">
        <f xml:space="preserve"> InputsTS!UBF$184</f>
        <v>0</v>
      </c>
      <c r="UBG77" s="223">
        <f xml:space="preserve"> InputsTS!UBG$184</f>
        <v>0</v>
      </c>
      <c r="UBH77" s="223">
        <f xml:space="preserve"> InputsTS!UBH$184</f>
        <v>0</v>
      </c>
      <c r="UBI77" s="223">
        <f xml:space="preserve"> InputsTS!UBI$184</f>
        <v>0</v>
      </c>
      <c r="UBJ77" s="223">
        <f xml:space="preserve"> InputsTS!UBJ$184</f>
        <v>0</v>
      </c>
      <c r="UBK77" s="223">
        <f xml:space="preserve"> InputsTS!UBK$184</f>
        <v>0</v>
      </c>
      <c r="UBL77" s="223">
        <f xml:space="preserve"> InputsTS!UBL$184</f>
        <v>0</v>
      </c>
      <c r="UBM77" s="223">
        <f xml:space="preserve"> InputsTS!UBM$184</f>
        <v>0</v>
      </c>
      <c r="UBN77" s="223">
        <f xml:space="preserve"> InputsTS!UBN$184</f>
        <v>0</v>
      </c>
      <c r="UBO77" s="223">
        <f xml:space="preserve"> InputsTS!UBO$184</f>
        <v>0</v>
      </c>
      <c r="UBP77" s="223">
        <f xml:space="preserve"> InputsTS!UBP$184</f>
        <v>0</v>
      </c>
      <c r="UBQ77" s="223">
        <f xml:space="preserve"> InputsTS!UBQ$184</f>
        <v>0</v>
      </c>
      <c r="UBR77" s="223">
        <f xml:space="preserve"> InputsTS!UBR$184</f>
        <v>0</v>
      </c>
      <c r="UBS77" s="223">
        <f xml:space="preserve"> InputsTS!UBS$184</f>
        <v>0</v>
      </c>
      <c r="UBT77" s="223">
        <f xml:space="preserve"> InputsTS!UBT$184</f>
        <v>0</v>
      </c>
      <c r="UBU77" s="223">
        <f xml:space="preserve"> InputsTS!UBU$184</f>
        <v>0</v>
      </c>
      <c r="UBV77" s="223">
        <f xml:space="preserve"> InputsTS!UBV$184</f>
        <v>0</v>
      </c>
      <c r="UBW77" s="223">
        <f xml:space="preserve"> InputsTS!UBW$184</f>
        <v>0</v>
      </c>
      <c r="UBX77" s="223">
        <f xml:space="preserve"> InputsTS!UBX$184</f>
        <v>0</v>
      </c>
      <c r="UBY77" s="223">
        <f xml:space="preserve"> InputsTS!UBY$184</f>
        <v>0</v>
      </c>
      <c r="UBZ77" s="223">
        <f xml:space="preserve"> InputsTS!UBZ$184</f>
        <v>0</v>
      </c>
      <c r="UCA77" s="223">
        <f xml:space="preserve"> InputsTS!UCA$184</f>
        <v>0</v>
      </c>
      <c r="UCB77" s="223">
        <f xml:space="preserve"> InputsTS!UCB$184</f>
        <v>0</v>
      </c>
      <c r="UCC77" s="223">
        <f xml:space="preserve"> InputsTS!UCC$184</f>
        <v>0</v>
      </c>
      <c r="UCD77" s="223">
        <f xml:space="preserve"> InputsTS!UCD$184</f>
        <v>0</v>
      </c>
      <c r="UCE77" s="223">
        <f xml:space="preserve"> InputsTS!UCE$184</f>
        <v>0</v>
      </c>
      <c r="UCF77" s="223">
        <f xml:space="preserve"> InputsTS!UCF$184</f>
        <v>0</v>
      </c>
      <c r="UCG77" s="223">
        <f xml:space="preserve"> InputsTS!UCG$184</f>
        <v>0</v>
      </c>
      <c r="UCH77" s="223">
        <f xml:space="preserve"> InputsTS!UCH$184</f>
        <v>0</v>
      </c>
      <c r="UCI77" s="223">
        <f xml:space="preserve"> InputsTS!UCI$184</f>
        <v>0</v>
      </c>
      <c r="UCJ77" s="223">
        <f xml:space="preserve"> InputsTS!UCJ$184</f>
        <v>0</v>
      </c>
      <c r="UCK77" s="223">
        <f xml:space="preserve"> InputsTS!UCK$184</f>
        <v>0</v>
      </c>
      <c r="UCL77" s="223">
        <f xml:space="preserve"> InputsTS!UCL$184</f>
        <v>0</v>
      </c>
      <c r="UCM77" s="223">
        <f xml:space="preserve"> InputsTS!UCM$184</f>
        <v>0</v>
      </c>
      <c r="UCN77" s="223">
        <f xml:space="preserve"> InputsTS!UCN$184</f>
        <v>0</v>
      </c>
      <c r="UCO77" s="223">
        <f xml:space="preserve"> InputsTS!UCO$184</f>
        <v>0</v>
      </c>
      <c r="UCP77" s="223">
        <f xml:space="preserve"> InputsTS!UCP$184</f>
        <v>0</v>
      </c>
      <c r="UCQ77" s="223">
        <f xml:space="preserve"> InputsTS!UCQ$184</f>
        <v>0</v>
      </c>
      <c r="UCR77" s="223">
        <f xml:space="preserve"> InputsTS!UCR$184</f>
        <v>0</v>
      </c>
      <c r="UCS77" s="223">
        <f xml:space="preserve"> InputsTS!UCS$184</f>
        <v>0</v>
      </c>
      <c r="UCT77" s="223">
        <f xml:space="preserve"> InputsTS!UCT$184</f>
        <v>0</v>
      </c>
      <c r="UCU77" s="223">
        <f xml:space="preserve"> InputsTS!UCU$184</f>
        <v>0</v>
      </c>
      <c r="UCV77" s="223">
        <f xml:space="preserve"> InputsTS!UCV$184</f>
        <v>0</v>
      </c>
      <c r="UCW77" s="223">
        <f xml:space="preserve"> InputsTS!UCW$184</f>
        <v>0</v>
      </c>
      <c r="UCX77" s="223">
        <f xml:space="preserve"> InputsTS!UCX$184</f>
        <v>0</v>
      </c>
      <c r="UCY77" s="223">
        <f xml:space="preserve"> InputsTS!UCY$184</f>
        <v>0</v>
      </c>
      <c r="UCZ77" s="223">
        <f xml:space="preserve"> InputsTS!UCZ$184</f>
        <v>0</v>
      </c>
      <c r="UDA77" s="223">
        <f xml:space="preserve"> InputsTS!UDA$184</f>
        <v>0</v>
      </c>
      <c r="UDB77" s="223">
        <f xml:space="preserve"> InputsTS!UDB$184</f>
        <v>0</v>
      </c>
      <c r="UDC77" s="223">
        <f xml:space="preserve"> InputsTS!UDC$184</f>
        <v>0</v>
      </c>
      <c r="UDD77" s="223">
        <f xml:space="preserve"> InputsTS!UDD$184</f>
        <v>0</v>
      </c>
      <c r="UDE77" s="223">
        <f xml:space="preserve"> InputsTS!UDE$184</f>
        <v>0</v>
      </c>
      <c r="UDF77" s="223">
        <f xml:space="preserve"> InputsTS!UDF$184</f>
        <v>0</v>
      </c>
      <c r="UDG77" s="223">
        <f xml:space="preserve"> InputsTS!UDG$184</f>
        <v>0</v>
      </c>
      <c r="UDH77" s="223">
        <f xml:space="preserve"> InputsTS!UDH$184</f>
        <v>0</v>
      </c>
      <c r="UDI77" s="223">
        <f xml:space="preserve"> InputsTS!UDI$184</f>
        <v>0</v>
      </c>
      <c r="UDJ77" s="223">
        <f xml:space="preserve"> InputsTS!UDJ$184</f>
        <v>0</v>
      </c>
      <c r="UDK77" s="223">
        <f xml:space="preserve"> InputsTS!UDK$184</f>
        <v>0</v>
      </c>
      <c r="UDL77" s="223">
        <f xml:space="preserve"> InputsTS!UDL$184</f>
        <v>0</v>
      </c>
      <c r="UDM77" s="223">
        <f xml:space="preserve"> InputsTS!UDM$184</f>
        <v>0</v>
      </c>
      <c r="UDN77" s="223">
        <f xml:space="preserve"> InputsTS!UDN$184</f>
        <v>0</v>
      </c>
      <c r="UDO77" s="223">
        <f xml:space="preserve"> InputsTS!UDO$184</f>
        <v>0</v>
      </c>
      <c r="UDP77" s="223">
        <f xml:space="preserve"> InputsTS!UDP$184</f>
        <v>0</v>
      </c>
      <c r="UDQ77" s="223">
        <f xml:space="preserve"> InputsTS!UDQ$184</f>
        <v>0</v>
      </c>
      <c r="UDR77" s="223">
        <f xml:space="preserve"> InputsTS!UDR$184</f>
        <v>0</v>
      </c>
      <c r="UDS77" s="223">
        <f xml:space="preserve"> InputsTS!UDS$184</f>
        <v>0</v>
      </c>
      <c r="UDT77" s="223">
        <f xml:space="preserve"> InputsTS!UDT$184</f>
        <v>0</v>
      </c>
      <c r="UDU77" s="223">
        <f xml:space="preserve"> InputsTS!UDU$184</f>
        <v>0</v>
      </c>
      <c r="UDV77" s="223">
        <f xml:space="preserve"> InputsTS!UDV$184</f>
        <v>0</v>
      </c>
      <c r="UDW77" s="223">
        <f xml:space="preserve"> InputsTS!UDW$184</f>
        <v>0</v>
      </c>
      <c r="UDX77" s="223">
        <f xml:space="preserve"> InputsTS!UDX$184</f>
        <v>0</v>
      </c>
      <c r="UDY77" s="223">
        <f xml:space="preserve"> InputsTS!UDY$184</f>
        <v>0</v>
      </c>
      <c r="UDZ77" s="223">
        <f xml:space="preserve"> InputsTS!UDZ$184</f>
        <v>0</v>
      </c>
      <c r="UEA77" s="223">
        <f xml:space="preserve"> InputsTS!UEA$184</f>
        <v>0</v>
      </c>
      <c r="UEB77" s="223">
        <f xml:space="preserve"> InputsTS!UEB$184</f>
        <v>0</v>
      </c>
      <c r="UEC77" s="223">
        <f xml:space="preserve"> InputsTS!UEC$184</f>
        <v>0</v>
      </c>
      <c r="UED77" s="223">
        <f xml:space="preserve"> InputsTS!UED$184</f>
        <v>0</v>
      </c>
      <c r="UEE77" s="223">
        <f xml:space="preserve"> InputsTS!UEE$184</f>
        <v>0</v>
      </c>
      <c r="UEF77" s="223">
        <f xml:space="preserve"> InputsTS!UEF$184</f>
        <v>0</v>
      </c>
      <c r="UEG77" s="223">
        <f xml:space="preserve"> InputsTS!UEG$184</f>
        <v>0</v>
      </c>
      <c r="UEH77" s="223">
        <f xml:space="preserve"> InputsTS!UEH$184</f>
        <v>0</v>
      </c>
      <c r="UEI77" s="223">
        <f xml:space="preserve"> InputsTS!UEI$184</f>
        <v>0</v>
      </c>
      <c r="UEJ77" s="223">
        <f xml:space="preserve"> InputsTS!UEJ$184</f>
        <v>0</v>
      </c>
      <c r="UEK77" s="223">
        <f xml:space="preserve"> InputsTS!UEK$184</f>
        <v>0</v>
      </c>
      <c r="UEL77" s="223">
        <f xml:space="preserve"> InputsTS!UEL$184</f>
        <v>0</v>
      </c>
      <c r="UEM77" s="223">
        <f xml:space="preserve"> InputsTS!UEM$184</f>
        <v>0</v>
      </c>
      <c r="UEN77" s="223">
        <f xml:space="preserve"> InputsTS!UEN$184</f>
        <v>0</v>
      </c>
      <c r="UEO77" s="223">
        <f xml:space="preserve"> InputsTS!UEO$184</f>
        <v>0</v>
      </c>
      <c r="UEP77" s="223">
        <f xml:space="preserve"> InputsTS!UEP$184</f>
        <v>0</v>
      </c>
      <c r="UEQ77" s="223">
        <f xml:space="preserve"> InputsTS!UEQ$184</f>
        <v>0</v>
      </c>
      <c r="UER77" s="223">
        <f xml:space="preserve"> InputsTS!UER$184</f>
        <v>0</v>
      </c>
      <c r="UES77" s="223">
        <f xml:space="preserve"> InputsTS!UES$184</f>
        <v>0</v>
      </c>
      <c r="UET77" s="223">
        <f xml:space="preserve"> InputsTS!UET$184</f>
        <v>0</v>
      </c>
      <c r="UEU77" s="223">
        <f xml:space="preserve"> InputsTS!UEU$184</f>
        <v>0</v>
      </c>
      <c r="UEV77" s="223">
        <f xml:space="preserve"> InputsTS!UEV$184</f>
        <v>0</v>
      </c>
      <c r="UEW77" s="223">
        <f xml:space="preserve"> InputsTS!UEW$184</f>
        <v>0</v>
      </c>
      <c r="UEX77" s="223">
        <f xml:space="preserve"> InputsTS!UEX$184</f>
        <v>0</v>
      </c>
      <c r="UEY77" s="223">
        <f xml:space="preserve"> InputsTS!UEY$184</f>
        <v>0</v>
      </c>
      <c r="UEZ77" s="223">
        <f xml:space="preserve"> InputsTS!UEZ$184</f>
        <v>0</v>
      </c>
      <c r="UFA77" s="223">
        <f xml:space="preserve"> InputsTS!UFA$184</f>
        <v>0</v>
      </c>
      <c r="UFB77" s="223">
        <f xml:space="preserve"> InputsTS!UFB$184</f>
        <v>0</v>
      </c>
      <c r="UFC77" s="223">
        <f xml:space="preserve"> InputsTS!UFC$184</f>
        <v>0</v>
      </c>
      <c r="UFD77" s="223">
        <f xml:space="preserve"> InputsTS!UFD$184</f>
        <v>0</v>
      </c>
      <c r="UFE77" s="223">
        <f xml:space="preserve"> InputsTS!UFE$184</f>
        <v>0</v>
      </c>
      <c r="UFF77" s="223">
        <f xml:space="preserve"> InputsTS!UFF$184</f>
        <v>0</v>
      </c>
      <c r="UFG77" s="223">
        <f xml:space="preserve"> InputsTS!UFG$184</f>
        <v>0</v>
      </c>
      <c r="UFH77" s="223">
        <f xml:space="preserve"> InputsTS!UFH$184</f>
        <v>0</v>
      </c>
      <c r="UFI77" s="223">
        <f xml:space="preserve"> InputsTS!UFI$184</f>
        <v>0</v>
      </c>
      <c r="UFJ77" s="223">
        <f xml:space="preserve"> InputsTS!UFJ$184</f>
        <v>0</v>
      </c>
      <c r="UFK77" s="223">
        <f xml:space="preserve"> InputsTS!UFK$184</f>
        <v>0</v>
      </c>
      <c r="UFL77" s="223">
        <f xml:space="preserve"> InputsTS!UFL$184</f>
        <v>0</v>
      </c>
      <c r="UFM77" s="223">
        <f xml:space="preserve"> InputsTS!UFM$184</f>
        <v>0</v>
      </c>
      <c r="UFN77" s="223">
        <f xml:space="preserve"> InputsTS!UFN$184</f>
        <v>0</v>
      </c>
      <c r="UFO77" s="223">
        <f xml:space="preserve"> InputsTS!UFO$184</f>
        <v>0</v>
      </c>
      <c r="UFP77" s="223">
        <f xml:space="preserve"> InputsTS!UFP$184</f>
        <v>0</v>
      </c>
      <c r="UFQ77" s="223">
        <f xml:space="preserve"> InputsTS!UFQ$184</f>
        <v>0</v>
      </c>
      <c r="UFR77" s="223">
        <f xml:space="preserve"> InputsTS!UFR$184</f>
        <v>0</v>
      </c>
      <c r="UFS77" s="223">
        <f xml:space="preserve"> InputsTS!UFS$184</f>
        <v>0</v>
      </c>
      <c r="UFT77" s="223">
        <f xml:space="preserve"> InputsTS!UFT$184</f>
        <v>0</v>
      </c>
      <c r="UFU77" s="223">
        <f xml:space="preserve"> InputsTS!UFU$184</f>
        <v>0</v>
      </c>
      <c r="UFV77" s="223">
        <f xml:space="preserve"> InputsTS!UFV$184</f>
        <v>0</v>
      </c>
      <c r="UFW77" s="223">
        <f xml:space="preserve"> InputsTS!UFW$184</f>
        <v>0</v>
      </c>
      <c r="UFX77" s="223">
        <f xml:space="preserve"> InputsTS!UFX$184</f>
        <v>0</v>
      </c>
      <c r="UFY77" s="223">
        <f xml:space="preserve"> InputsTS!UFY$184</f>
        <v>0</v>
      </c>
      <c r="UFZ77" s="223">
        <f xml:space="preserve"> InputsTS!UFZ$184</f>
        <v>0</v>
      </c>
      <c r="UGA77" s="223">
        <f xml:space="preserve"> InputsTS!UGA$184</f>
        <v>0</v>
      </c>
      <c r="UGB77" s="223">
        <f xml:space="preserve"> InputsTS!UGB$184</f>
        <v>0</v>
      </c>
      <c r="UGC77" s="223">
        <f xml:space="preserve"> InputsTS!UGC$184</f>
        <v>0</v>
      </c>
      <c r="UGD77" s="223">
        <f xml:space="preserve"> InputsTS!UGD$184</f>
        <v>0</v>
      </c>
      <c r="UGE77" s="223">
        <f xml:space="preserve"> InputsTS!UGE$184</f>
        <v>0</v>
      </c>
      <c r="UGF77" s="223">
        <f xml:space="preserve"> InputsTS!UGF$184</f>
        <v>0</v>
      </c>
      <c r="UGG77" s="223">
        <f xml:space="preserve"> InputsTS!UGG$184</f>
        <v>0</v>
      </c>
      <c r="UGH77" s="223">
        <f xml:space="preserve"> InputsTS!UGH$184</f>
        <v>0</v>
      </c>
      <c r="UGI77" s="223">
        <f xml:space="preserve"> InputsTS!UGI$184</f>
        <v>0</v>
      </c>
      <c r="UGJ77" s="223">
        <f xml:space="preserve"> InputsTS!UGJ$184</f>
        <v>0</v>
      </c>
      <c r="UGK77" s="223">
        <f xml:space="preserve"> InputsTS!UGK$184</f>
        <v>0</v>
      </c>
      <c r="UGL77" s="223">
        <f xml:space="preserve"> InputsTS!UGL$184</f>
        <v>0</v>
      </c>
      <c r="UGM77" s="223">
        <f xml:space="preserve"> InputsTS!UGM$184</f>
        <v>0</v>
      </c>
      <c r="UGN77" s="223">
        <f xml:space="preserve"> InputsTS!UGN$184</f>
        <v>0</v>
      </c>
      <c r="UGO77" s="223">
        <f xml:space="preserve"> InputsTS!UGO$184</f>
        <v>0</v>
      </c>
      <c r="UGP77" s="223">
        <f xml:space="preserve"> InputsTS!UGP$184</f>
        <v>0</v>
      </c>
      <c r="UGQ77" s="223">
        <f xml:space="preserve"> InputsTS!UGQ$184</f>
        <v>0</v>
      </c>
      <c r="UGR77" s="223">
        <f xml:space="preserve"> InputsTS!UGR$184</f>
        <v>0</v>
      </c>
      <c r="UGS77" s="223">
        <f xml:space="preserve"> InputsTS!UGS$184</f>
        <v>0</v>
      </c>
      <c r="UGT77" s="223">
        <f xml:space="preserve"> InputsTS!UGT$184</f>
        <v>0</v>
      </c>
      <c r="UGU77" s="223">
        <f xml:space="preserve"> InputsTS!UGU$184</f>
        <v>0</v>
      </c>
      <c r="UGV77" s="223">
        <f xml:space="preserve"> InputsTS!UGV$184</f>
        <v>0</v>
      </c>
      <c r="UGW77" s="223">
        <f xml:space="preserve"> InputsTS!UGW$184</f>
        <v>0</v>
      </c>
      <c r="UGX77" s="223">
        <f xml:space="preserve"> InputsTS!UGX$184</f>
        <v>0</v>
      </c>
      <c r="UGY77" s="223">
        <f xml:space="preserve"> InputsTS!UGY$184</f>
        <v>0</v>
      </c>
      <c r="UGZ77" s="223">
        <f xml:space="preserve"> InputsTS!UGZ$184</f>
        <v>0</v>
      </c>
      <c r="UHA77" s="223">
        <f xml:space="preserve"> InputsTS!UHA$184</f>
        <v>0</v>
      </c>
      <c r="UHB77" s="223">
        <f xml:space="preserve"> InputsTS!UHB$184</f>
        <v>0</v>
      </c>
      <c r="UHC77" s="223">
        <f xml:space="preserve"> InputsTS!UHC$184</f>
        <v>0</v>
      </c>
      <c r="UHD77" s="223">
        <f xml:space="preserve"> InputsTS!UHD$184</f>
        <v>0</v>
      </c>
      <c r="UHE77" s="223">
        <f xml:space="preserve"> InputsTS!UHE$184</f>
        <v>0</v>
      </c>
      <c r="UHF77" s="223">
        <f xml:space="preserve"> InputsTS!UHF$184</f>
        <v>0</v>
      </c>
      <c r="UHG77" s="223">
        <f xml:space="preserve"> InputsTS!UHG$184</f>
        <v>0</v>
      </c>
      <c r="UHH77" s="223">
        <f xml:space="preserve"> InputsTS!UHH$184</f>
        <v>0</v>
      </c>
      <c r="UHI77" s="223">
        <f xml:space="preserve"> InputsTS!UHI$184</f>
        <v>0</v>
      </c>
      <c r="UHJ77" s="223">
        <f xml:space="preserve"> InputsTS!UHJ$184</f>
        <v>0</v>
      </c>
      <c r="UHK77" s="223">
        <f xml:space="preserve"> InputsTS!UHK$184</f>
        <v>0</v>
      </c>
      <c r="UHL77" s="223">
        <f xml:space="preserve"> InputsTS!UHL$184</f>
        <v>0</v>
      </c>
      <c r="UHM77" s="223">
        <f xml:space="preserve"> InputsTS!UHM$184</f>
        <v>0</v>
      </c>
      <c r="UHN77" s="223">
        <f xml:space="preserve"> InputsTS!UHN$184</f>
        <v>0</v>
      </c>
      <c r="UHO77" s="223">
        <f xml:space="preserve"> InputsTS!UHO$184</f>
        <v>0</v>
      </c>
      <c r="UHP77" s="223">
        <f xml:space="preserve"> InputsTS!UHP$184</f>
        <v>0</v>
      </c>
      <c r="UHQ77" s="223">
        <f xml:space="preserve"> InputsTS!UHQ$184</f>
        <v>0</v>
      </c>
      <c r="UHR77" s="223">
        <f xml:space="preserve"> InputsTS!UHR$184</f>
        <v>0</v>
      </c>
      <c r="UHS77" s="223">
        <f xml:space="preserve"> InputsTS!UHS$184</f>
        <v>0</v>
      </c>
      <c r="UHT77" s="223">
        <f xml:space="preserve"> InputsTS!UHT$184</f>
        <v>0</v>
      </c>
      <c r="UHU77" s="223">
        <f xml:space="preserve"> InputsTS!UHU$184</f>
        <v>0</v>
      </c>
      <c r="UHV77" s="223">
        <f xml:space="preserve"> InputsTS!UHV$184</f>
        <v>0</v>
      </c>
      <c r="UHW77" s="223">
        <f xml:space="preserve"> InputsTS!UHW$184</f>
        <v>0</v>
      </c>
      <c r="UHX77" s="223">
        <f xml:space="preserve"> InputsTS!UHX$184</f>
        <v>0</v>
      </c>
      <c r="UHY77" s="223">
        <f xml:space="preserve"> InputsTS!UHY$184</f>
        <v>0</v>
      </c>
      <c r="UHZ77" s="223">
        <f xml:space="preserve"> InputsTS!UHZ$184</f>
        <v>0</v>
      </c>
      <c r="UIA77" s="223">
        <f xml:space="preserve"> InputsTS!UIA$184</f>
        <v>0</v>
      </c>
      <c r="UIB77" s="223">
        <f xml:space="preserve"> InputsTS!UIB$184</f>
        <v>0</v>
      </c>
      <c r="UIC77" s="223">
        <f xml:space="preserve"> InputsTS!UIC$184</f>
        <v>0</v>
      </c>
      <c r="UID77" s="223">
        <f xml:space="preserve"> InputsTS!UID$184</f>
        <v>0</v>
      </c>
      <c r="UIE77" s="223">
        <f xml:space="preserve"> InputsTS!UIE$184</f>
        <v>0</v>
      </c>
      <c r="UIF77" s="223">
        <f xml:space="preserve"> InputsTS!UIF$184</f>
        <v>0</v>
      </c>
      <c r="UIG77" s="223">
        <f xml:space="preserve"> InputsTS!UIG$184</f>
        <v>0</v>
      </c>
      <c r="UIH77" s="223">
        <f xml:space="preserve"> InputsTS!UIH$184</f>
        <v>0</v>
      </c>
      <c r="UII77" s="223">
        <f xml:space="preserve"> InputsTS!UII$184</f>
        <v>0</v>
      </c>
      <c r="UIJ77" s="223">
        <f xml:space="preserve"> InputsTS!UIJ$184</f>
        <v>0</v>
      </c>
      <c r="UIK77" s="223">
        <f xml:space="preserve"> InputsTS!UIK$184</f>
        <v>0</v>
      </c>
      <c r="UIL77" s="223">
        <f xml:space="preserve"> InputsTS!UIL$184</f>
        <v>0</v>
      </c>
      <c r="UIM77" s="223">
        <f xml:space="preserve"> InputsTS!UIM$184</f>
        <v>0</v>
      </c>
      <c r="UIN77" s="223">
        <f xml:space="preserve"> InputsTS!UIN$184</f>
        <v>0</v>
      </c>
      <c r="UIO77" s="223">
        <f xml:space="preserve"> InputsTS!UIO$184</f>
        <v>0</v>
      </c>
      <c r="UIP77" s="223">
        <f xml:space="preserve"> InputsTS!UIP$184</f>
        <v>0</v>
      </c>
      <c r="UIQ77" s="223">
        <f xml:space="preserve"> InputsTS!UIQ$184</f>
        <v>0</v>
      </c>
      <c r="UIR77" s="223">
        <f xml:space="preserve"> InputsTS!UIR$184</f>
        <v>0</v>
      </c>
      <c r="UIS77" s="223">
        <f xml:space="preserve"> InputsTS!UIS$184</f>
        <v>0</v>
      </c>
      <c r="UIT77" s="223">
        <f xml:space="preserve"> InputsTS!UIT$184</f>
        <v>0</v>
      </c>
      <c r="UIU77" s="223">
        <f xml:space="preserve"> InputsTS!UIU$184</f>
        <v>0</v>
      </c>
      <c r="UIV77" s="223">
        <f xml:space="preserve"> InputsTS!UIV$184</f>
        <v>0</v>
      </c>
      <c r="UIW77" s="223">
        <f xml:space="preserve"> InputsTS!UIW$184</f>
        <v>0</v>
      </c>
      <c r="UIX77" s="223">
        <f xml:space="preserve"> InputsTS!UIX$184</f>
        <v>0</v>
      </c>
      <c r="UIY77" s="223">
        <f xml:space="preserve"> InputsTS!UIY$184</f>
        <v>0</v>
      </c>
      <c r="UIZ77" s="223">
        <f xml:space="preserve"> InputsTS!UIZ$184</f>
        <v>0</v>
      </c>
      <c r="UJA77" s="223">
        <f xml:space="preserve"> InputsTS!UJA$184</f>
        <v>0</v>
      </c>
      <c r="UJB77" s="223">
        <f xml:space="preserve"> InputsTS!UJB$184</f>
        <v>0</v>
      </c>
      <c r="UJC77" s="223">
        <f xml:space="preserve"> InputsTS!UJC$184</f>
        <v>0</v>
      </c>
      <c r="UJD77" s="223">
        <f xml:space="preserve"> InputsTS!UJD$184</f>
        <v>0</v>
      </c>
      <c r="UJE77" s="223">
        <f xml:space="preserve"> InputsTS!UJE$184</f>
        <v>0</v>
      </c>
      <c r="UJF77" s="223">
        <f xml:space="preserve"> InputsTS!UJF$184</f>
        <v>0</v>
      </c>
      <c r="UJG77" s="223">
        <f xml:space="preserve"> InputsTS!UJG$184</f>
        <v>0</v>
      </c>
      <c r="UJH77" s="223">
        <f xml:space="preserve"> InputsTS!UJH$184</f>
        <v>0</v>
      </c>
      <c r="UJI77" s="223">
        <f xml:space="preserve"> InputsTS!UJI$184</f>
        <v>0</v>
      </c>
      <c r="UJJ77" s="223">
        <f xml:space="preserve"> InputsTS!UJJ$184</f>
        <v>0</v>
      </c>
      <c r="UJK77" s="223">
        <f xml:space="preserve"> InputsTS!UJK$184</f>
        <v>0</v>
      </c>
      <c r="UJL77" s="223">
        <f xml:space="preserve"> InputsTS!UJL$184</f>
        <v>0</v>
      </c>
      <c r="UJM77" s="223">
        <f xml:space="preserve"> InputsTS!UJM$184</f>
        <v>0</v>
      </c>
      <c r="UJN77" s="223">
        <f xml:space="preserve"> InputsTS!UJN$184</f>
        <v>0</v>
      </c>
      <c r="UJO77" s="223">
        <f xml:space="preserve"> InputsTS!UJO$184</f>
        <v>0</v>
      </c>
      <c r="UJP77" s="223">
        <f xml:space="preserve"> InputsTS!UJP$184</f>
        <v>0</v>
      </c>
      <c r="UJQ77" s="223">
        <f xml:space="preserve"> InputsTS!UJQ$184</f>
        <v>0</v>
      </c>
      <c r="UJR77" s="223">
        <f xml:space="preserve"> InputsTS!UJR$184</f>
        <v>0</v>
      </c>
      <c r="UJS77" s="223">
        <f xml:space="preserve"> InputsTS!UJS$184</f>
        <v>0</v>
      </c>
      <c r="UJT77" s="223">
        <f xml:space="preserve"> InputsTS!UJT$184</f>
        <v>0</v>
      </c>
      <c r="UJU77" s="223">
        <f xml:space="preserve"> InputsTS!UJU$184</f>
        <v>0</v>
      </c>
      <c r="UJV77" s="223">
        <f xml:space="preserve"> InputsTS!UJV$184</f>
        <v>0</v>
      </c>
      <c r="UJW77" s="223">
        <f xml:space="preserve"> InputsTS!UJW$184</f>
        <v>0</v>
      </c>
      <c r="UJX77" s="223">
        <f xml:space="preserve"> InputsTS!UJX$184</f>
        <v>0</v>
      </c>
      <c r="UJY77" s="223">
        <f xml:space="preserve"> InputsTS!UJY$184</f>
        <v>0</v>
      </c>
      <c r="UJZ77" s="223">
        <f xml:space="preserve"> InputsTS!UJZ$184</f>
        <v>0</v>
      </c>
      <c r="UKA77" s="223">
        <f xml:space="preserve"> InputsTS!UKA$184</f>
        <v>0</v>
      </c>
      <c r="UKB77" s="223">
        <f xml:space="preserve"> InputsTS!UKB$184</f>
        <v>0</v>
      </c>
      <c r="UKC77" s="223">
        <f xml:space="preserve"> InputsTS!UKC$184</f>
        <v>0</v>
      </c>
      <c r="UKD77" s="223">
        <f xml:space="preserve"> InputsTS!UKD$184</f>
        <v>0</v>
      </c>
      <c r="UKE77" s="223">
        <f xml:space="preserve"> InputsTS!UKE$184</f>
        <v>0</v>
      </c>
      <c r="UKF77" s="223">
        <f xml:space="preserve"> InputsTS!UKF$184</f>
        <v>0</v>
      </c>
      <c r="UKG77" s="223">
        <f xml:space="preserve"> InputsTS!UKG$184</f>
        <v>0</v>
      </c>
      <c r="UKH77" s="223">
        <f xml:space="preserve"> InputsTS!UKH$184</f>
        <v>0</v>
      </c>
      <c r="UKI77" s="223">
        <f xml:space="preserve"> InputsTS!UKI$184</f>
        <v>0</v>
      </c>
      <c r="UKJ77" s="223">
        <f xml:space="preserve"> InputsTS!UKJ$184</f>
        <v>0</v>
      </c>
      <c r="UKK77" s="223">
        <f xml:space="preserve"> InputsTS!UKK$184</f>
        <v>0</v>
      </c>
      <c r="UKL77" s="223">
        <f xml:space="preserve"> InputsTS!UKL$184</f>
        <v>0</v>
      </c>
      <c r="UKM77" s="223">
        <f xml:space="preserve"> InputsTS!UKM$184</f>
        <v>0</v>
      </c>
      <c r="UKN77" s="223">
        <f xml:space="preserve"> InputsTS!UKN$184</f>
        <v>0</v>
      </c>
      <c r="UKO77" s="223">
        <f xml:space="preserve"> InputsTS!UKO$184</f>
        <v>0</v>
      </c>
      <c r="UKP77" s="223">
        <f xml:space="preserve"> InputsTS!UKP$184</f>
        <v>0</v>
      </c>
      <c r="UKQ77" s="223">
        <f xml:space="preserve"> InputsTS!UKQ$184</f>
        <v>0</v>
      </c>
      <c r="UKR77" s="223">
        <f xml:space="preserve"> InputsTS!UKR$184</f>
        <v>0</v>
      </c>
      <c r="UKS77" s="223">
        <f xml:space="preserve"> InputsTS!UKS$184</f>
        <v>0</v>
      </c>
      <c r="UKT77" s="223">
        <f xml:space="preserve"> InputsTS!UKT$184</f>
        <v>0</v>
      </c>
      <c r="UKU77" s="223">
        <f xml:space="preserve"> InputsTS!UKU$184</f>
        <v>0</v>
      </c>
      <c r="UKV77" s="223">
        <f xml:space="preserve"> InputsTS!UKV$184</f>
        <v>0</v>
      </c>
      <c r="UKW77" s="223">
        <f xml:space="preserve"> InputsTS!UKW$184</f>
        <v>0</v>
      </c>
      <c r="UKX77" s="223">
        <f xml:space="preserve"> InputsTS!UKX$184</f>
        <v>0</v>
      </c>
      <c r="UKY77" s="223">
        <f xml:space="preserve"> InputsTS!UKY$184</f>
        <v>0</v>
      </c>
      <c r="UKZ77" s="223">
        <f xml:space="preserve"> InputsTS!UKZ$184</f>
        <v>0</v>
      </c>
      <c r="ULA77" s="223">
        <f xml:space="preserve"> InputsTS!ULA$184</f>
        <v>0</v>
      </c>
      <c r="ULB77" s="223">
        <f xml:space="preserve"> InputsTS!ULB$184</f>
        <v>0</v>
      </c>
      <c r="ULC77" s="223">
        <f xml:space="preserve"> InputsTS!ULC$184</f>
        <v>0</v>
      </c>
      <c r="ULD77" s="223">
        <f xml:space="preserve"> InputsTS!ULD$184</f>
        <v>0</v>
      </c>
      <c r="ULE77" s="223">
        <f xml:space="preserve"> InputsTS!ULE$184</f>
        <v>0</v>
      </c>
      <c r="ULF77" s="223">
        <f xml:space="preserve"> InputsTS!ULF$184</f>
        <v>0</v>
      </c>
      <c r="ULG77" s="223">
        <f xml:space="preserve"> InputsTS!ULG$184</f>
        <v>0</v>
      </c>
      <c r="ULH77" s="223">
        <f xml:space="preserve"> InputsTS!ULH$184</f>
        <v>0</v>
      </c>
      <c r="ULI77" s="223">
        <f xml:space="preserve"> InputsTS!ULI$184</f>
        <v>0</v>
      </c>
      <c r="ULJ77" s="223">
        <f xml:space="preserve"> InputsTS!ULJ$184</f>
        <v>0</v>
      </c>
      <c r="ULK77" s="223">
        <f xml:space="preserve"> InputsTS!ULK$184</f>
        <v>0</v>
      </c>
      <c r="ULL77" s="223">
        <f xml:space="preserve"> InputsTS!ULL$184</f>
        <v>0</v>
      </c>
      <c r="ULM77" s="223">
        <f xml:space="preserve"> InputsTS!ULM$184</f>
        <v>0</v>
      </c>
      <c r="ULN77" s="223">
        <f xml:space="preserve"> InputsTS!ULN$184</f>
        <v>0</v>
      </c>
      <c r="ULO77" s="223">
        <f xml:space="preserve"> InputsTS!ULO$184</f>
        <v>0</v>
      </c>
      <c r="ULP77" s="223">
        <f xml:space="preserve"> InputsTS!ULP$184</f>
        <v>0</v>
      </c>
      <c r="ULQ77" s="223">
        <f xml:space="preserve"> InputsTS!ULQ$184</f>
        <v>0</v>
      </c>
      <c r="ULR77" s="223">
        <f xml:space="preserve"> InputsTS!ULR$184</f>
        <v>0</v>
      </c>
      <c r="ULS77" s="223">
        <f xml:space="preserve"> InputsTS!ULS$184</f>
        <v>0</v>
      </c>
      <c r="ULT77" s="223">
        <f xml:space="preserve"> InputsTS!ULT$184</f>
        <v>0</v>
      </c>
      <c r="ULU77" s="223">
        <f xml:space="preserve"> InputsTS!ULU$184</f>
        <v>0</v>
      </c>
      <c r="ULV77" s="223">
        <f xml:space="preserve"> InputsTS!ULV$184</f>
        <v>0</v>
      </c>
      <c r="ULW77" s="223">
        <f xml:space="preserve"> InputsTS!ULW$184</f>
        <v>0</v>
      </c>
      <c r="ULX77" s="223">
        <f xml:space="preserve"> InputsTS!ULX$184</f>
        <v>0</v>
      </c>
      <c r="ULY77" s="223">
        <f xml:space="preserve"> InputsTS!ULY$184</f>
        <v>0</v>
      </c>
      <c r="ULZ77" s="223">
        <f xml:space="preserve"> InputsTS!ULZ$184</f>
        <v>0</v>
      </c>
      <c r="UMA77" s="223">
        <f xml:space="preserve"> InputsTS!UMA$184</f>
        <v>0</v>
      </c>
      <c r="UMB77" s="223">
        <f xml:space="preserve"> InputsTS!UMB$184</f>
        <v>0</v>
      </c>
      <c r="UMC77" s="223">
        <f xml:space="preserve"> InputsTS!UMC$184</f>
        <v>0</v>
      </c>
      <c r="UMD77" s="223">
        <f xml:space="preserve"> InputsTS!UMD$184</f>
        <v>0</v>
      </c>
      <c r="UME77" s="223">
        <f xml:space="preserve"> InputsTS!UME$184</f>
        <v>0</v>
      </c>
      <c r="UMF77" s="223">
        <f xml:space="preserve"> InputsTS!UMF$184</f>
        <v>0</v>
      </c>
      <c r="UMG77" s="223">
        <f xml:space="preserve"> InputsTS!UMG$184</f>
        <v>0</v>
      </c>
      <c r="UMH77" s="223">
        <f xml:space="preserve"> InputsTS!UMH$184</f>
        <v>0</v>
      </c>
      <c r="UMI77" s="223">
        <f xml:space="preserve"> InputsTS!UMI$184</f>
        <v>0</v>
      </c>
      <c r="UMJ77" s="223">
        <f xml:space="preserve"> InputsTS!UMJ$184</f>
        <v>0</v>
      </c>
      <c r="UMK77" s="223">
        <f xml:space="preserve"> InputsTS!UMK$184</f>
        <v>0</v>
      </c>
      <c r="UML77" s="223">
        <f xml:space="preserve"> InputsTS!UML$184</f>
        <v>0</v>
      </c>
      <c r="UMM77" s="223">
        <f xml:space="preserve"> InputsTS!UMM$184</f>
        <v>0</v>
      </c>
      <c r="UMN77" s="223">
        <f xml:space="preserve"> InputsTS!UMN$184</f>
        <v>0</v>
      </c>
      <c r="UMO77" s="223">
        <f xml:space="preserve"> InputsTS!UMO$184</f>
        <v>0</v>
      </c>
      <c r="UMP77" s="223">
        <f xml:space="preserve"> InputsTS!UMP$184</f>
        <v>0</v>
      </c>
      <c r="UMQ77" s="223">
        <f xml:space="preserve"> InputsTS!UMQ$184</f>
        <v>0</v>
      </c>
      <c r="UMR77" s="223">
        <f xml:space="preserve"> InputsTS!UMR$184</f>
        <v>0</v>
      </c>
      <c r="UMS77" s="223">
        <f xml:space="preserve"> InputsTS!UMS$184</f>
        <v>0</v>
      </c>
      <c r="UMT77" s="223">
        <f xml:space="preserve"> InputsTS!UMT$184</f>
        <v>0</v>
      </c>
      <c r="UMU77" s="223">
        <f xml:space="preserve"> InputsTS!UMU$184</f>
        <v>0</v>
      </c>
      <c r="UMV77" s="223">
        <f xml:space="preserve"> InputsTS!UMV$184</f>
        <v>0</v>
      </c>
      <c r="UMW77" s="223">
        <f xml:space="preserve"> InputsTS!UMW$184</f>
        <v>0</v>
      </c>
      <c r="UMX77" s="223">
        <f xml:space="preserve"> InputsTS!UMX$184</f>
        <v>0</v>
      </c>
      <c r="UMY77" s="223">
        <f xml:space="preserve"> InputsTS!UMY$184</f>
        <v>0</v>
      </c>
      <c r="UMZ77" s="223">
        <f xml:space="preserve"> InputsTS!UMZ$184</f>
        <v>0</v>
      </c>
      <c r="UNA77" s="223">
        <f xml:space="preserve"> InputsTS!UNA$184</f>
        <v>0</v>
      </c>
      <c r="UNB77" s="223">
        <f xml:space="preserve"> InputsTS!UNB$184</f>
        <v>0</v>
      </c>
      <c r="UNC77" s="223">
        <f xml:space="preserve"> InputsTS!UNC$184</f>
        <v>0</v>
      </c>
      <c r="UND77" s="223">
        <f xml:space="preserve"> InputsTS!UND$184</f>
        <v>0</v>
      </c>
      <c r="UNE77" s="223">
        <f xml:space="preserve"> InputsTS!UNE$184</f>
        <v>0</v>
      </c>
      <c r="UNF77" s="223">
        <f xml:space="preserve"> InputsTS!UNF$184</f>
        <v>0</v>
      </c>
      <c r="UNG77" s="223">
        <f xml:space="preserve"> InputsTS!UNG$184</f>
        <v>0</v>
      </c>
      <c r="UNH77" s="223">
        <f xml:space="preserve"> InputsTS!UNH$184</f>
        <v>0</v>
      </c>
      <c r="UNI77" s="223">
        <f xml:space="preserve"> InputsTS!UNI$184</f>
        <v>0</v>
      </c>
      <c r="UNJ77" s="223">
        <f xml:space="preserve"> InputsTS!UNJ$184</f>
        <v>0</v>
      </c>
      <c r="UNK77" s="223">
        <f xml:space="preserve"> InputsTS!UNK$184</f>
        <v>0</v>
      </c>
      <c r="UNL77" s="223">
        <f xml:space="preserve"> InputsTS!UNL$184</f>
        <v>0</v>
      </c>
      <c r="UNM77" s="223">
        <f xml:space="preserve"> InputsTS!UNM$184</f>
        <v>0</v>
      </c>
      <c r="UNN77" s="223">
        <f xml:space="preserve"> InputsTS!UNN$184</f>
        <v>0</v>
      </c>
      <c r="UNO77" s="223">
        <f xml:space="preserve"> InputsTS!UNO$184</f>
        <v>0</v>
      </c>
      <c r="UNP77" s="223">
        <f xml:space="preserve"> InputsTS!UNP$184</f>
        <v>0</v>
      </c>
      <c r="UNQ77" s="223">
        <f xml:space="preserve"> InputsTS!UNQ$184</f>
        <v>0</v>
      </c>
      <c r="UNR77" s="223">
        <f xml:space="preserve"> InputsTS!UNR$184</f>
        <v>0</v>
      </c>
      <c r="UNS77" s="223">
        <f xml:space="preserve"> InputsTS!UNS$184</f>
        <v>0</v>
      </c>
      <c r="UNT77" s="223">
        <f xml:space="preserve"> InputsTS!UNT$184</f>
        <v>0</v>
      </c>
      <c r="UNU77" s="223">
        <f xml:space="preserve"> InputsTS!UNU$184</f>
        <v>0</v>
      </c>
      <c r="UNV77" s="223">
        <f xml:space="preserve"> InputsTS!UNV$184</f>
        <v>0</v>
      </c>
      <c r="UNW77" s="223">
        <f xml:space="preserve"> InputsTS!UNW$184</f>
        <v>0</v>
      </c>
      <c r="UNX77" s="223">
        <f xml:space="preserve"> InputsTS!UNX$184</f>
        <v>0</v>
      </c>
      <c r="UNY77" s="223">
        <f xml:space="preserve"> InputsTS!UNY$184</f>
        <v>0</v>
      </c>
      <c r="UNZ77" s="223">
        <f xml:space="preserve"> InputsTS!UNZ$184</f>
        <v>0</v>
      </c>
      <c r="UOA77" s="223">
        <f xml:space="preserve"> InputsTS!UOA$184</f>
        <v>0</v>
      </c>
      <c r="UOB77" s="223">
        <f xml:space="preserve"> InputsTS!UOB$184</f>
        <v>0</v>
      </c>
      <c r="UOC77" s="223">
        <f xml:space="preserve"> InputsTS!UOC$184</f>
        <v>0</v>
      </c>
      <c r="UOD77" s="223">
        <f xml:space="preserve"> InputsTS!UOD$184</f>
        <v>0</v>
      </c>
      <c r="UOE77" s="223">
        <f xml:space="preserve"> InputsTS!UOE$184</f>
        <v>0</v>
      </c>
      <c r="UOF77" s="223">
        <f xml:space="preserve"> InputsTS!UOF$184</f>
        <v>0</v>
      </c>
      <c r="UOG77" s="223">
        <f xml:space="preserve"> InputsTS!UOG$184</f>
        <v>0</v>
      </c>
      <c r="UOH77" s="223">
        <f xml:space="preserve"> InputsTS!UOH$184</f>
        <v>0</v>
      </c>
      <c r="UOI77" s="223">
        <f xml:space="preserve"> InputsTS!UOI$184</f>
        <v>0</v>
      </c>
      <c r="UOJ77" s="223">
        <f xml:space="preserve"> InputsTS!UOJ$184</f>
        <v>0</v>
      </c>
      <c r="UOK77" s="223">
        <f xml:space="preserve"> InputsTS!UOK$184</f>
        <v>0</v>
      </c>
      <c r="UOL77" s="223">
        <f xml:space="preserve"> InputsTS!UOL$184</f>
        <v>0</v>
      </c>
      <c r="UOM77" s="223">
        <f xml:space="preserve"> InputsTS!UOM$184</f>
        <v>0</v>
      </c>
      <c r="UON77" s="223">
        <f xml:space="preserve"> InputsTS!UON$184</f>
        <v>0</v>
      </c>
      <c r="UOO77" s="223">
        <f xml:space="preserve"> InputsTS!UOO$184</f>
        <v>0</v>
      </c>
      <c r="UOP77" s="223">
        <f xml:space="preserve"> InputsTS!UOP$184</f>
        <v>0</v>
      </c>
      <c r="UOQ77" s="223">
        <f xml:space="preserve"> InputsTS!UOQ$184</f>
        <v>0</v>
      </c>
      <c r="UOR77" s="223">
        <f xml:space="preserve"> InputsTS!UOR$184</f>
        <v>0</v>
      </c>
      <c r="UOS77" s="223">
        <f xml:space="preserve"> InputsTS!UOS$184</f>
        <v>0</v>
      </c>
      <c r="UOT77" s="223">
        <f xml:space="preserve"> InputsTS!UOT$184</f>
        <v>0</v>
      </c>
      <c r="UOU77" s="223">
        <f xml:space="preserve"> InputsTS!UOU$184</f>
        <v>0</v>
      </c>
      <c r="UOV77" s="223">
        <f xml:space="preserve"> InputsTS!UOV$184</f>
        <v>0</v>
      </c>
      <c r="UOW77" s="223">
        <f xml:space="preserve"> InputsTS!UOW$184</f>
        <v>0</v>
      </c>
      <c r="UOX77" s="223">
        <f xml:space="preserve"> InputsTS!UOX$184</f>
        <v>0</v>
      </c>
      <c r="UOY77" s="223">
        <f xml:space="preserve"> InputsTS!UOY$184</f>
        <v>0</v>
      </c>
      <c r="UOZ77" s="223">
        <f xml:space="preserve"> InputsTS!UOZ$184</f>
        <v>0</v>
      </c>
      <c r="UPA77" s="223">
        <f xml:space="preserve"> InputsTS!UPA$184</f>
        <v>0</v>
      </c>
      <c r="UPB77" s="223">
        <f xml:space="preserve"> InputsTS!UPB$184</f>
        <v>0</v>
      </c>
      <c r="UPC77" s="223">
        <f xml:space="preserve"> InputsTS!UPC$184</f>
        <v>0</v>
      </c>
      <c r="UPD77" s="223">
        <f xml:space="preserve"> InputsTS!UPD$184</f>
        <v>0</v>
      </c>
      <c r="UPE77" s="223">
        <f xml:space="preserve"> InputsTS!UPE$184</f>
        <v>0</v>
      </c>
      <c r="UPF77" s="223">
        <f xml:space="preserve"> InputsTS!UPF$184</f>
        <v>0</v>
      </c>
      <c r="UPG77" s="223">
        <f xml:space="preserve"> InputsTS!UPG$184</f>
        <v>0</v>
      </c>
      <c r="UPH77" s="223">
        <f xml:space="preserve"> InputsTS!UPH$184</f>
        <v>0</v>
      </c>
      <c r="UPI77" s="223">
        <f xml:space="preserve"> InputsTS!UPI$184</f>
        <v>0</v>
      </c>
      <c r="UPJ77" s="223">
        <f xml:space="preserve"> InputsTS!UPJ$184</f>
        <v>0</v>
      </c>
      <c r="UPK77" s="223">
        <f xml:space="preserve"> InputsTS!UPK$184</f>
        <v>0</v>
      </c>
      <c r="UPL77" s="223">
        <f xml:space="preserve"> InputsTS!UPL$184</f>
        <v>0</v>
      </c>
      <c r="UPM77" s="223">
        <f xml:space="preserve"> InputsTS!UPM$184</f>
        <v>0</v>
      </c>
      <c r="UPN77" s="223">
        <f xml:space="preserve"> InputsTS!UPN$184</f>
        <v>0</v>
      </c>
      <c r="UPO77" s="223">
        <f xml:space="preserve"> InputsTS!UPO$184</f>
        <v>0</v>
      </c>
      <c r="UPP77" s="223">
        <f xml:space="preserve"> InputsTS!UPP$184</f>
        <v>0</v>
      </c>
      <c r="UPQ77" s="223">
        <f xml:space="preserve"> InputsTS!UPQ$184</f>
        <v>0</v>
      </c>
      <c r="UPR77" s="223">
        <f xml:space="preserve"> InputsTS!UPR$184</f>
        <v>0</v>
      </c>
      <c r="UPS77" s="223">
        <f xml:space="preserve"> InputsTS!UPS$184</f>
        <v>0</v>
      </c>
      <c r="UPT77" s="223">
        <f xml:space="preserve"> InputsTS!UPT$184</f>
        <v>0</v>
      </c>
      <c r="UPU77" s="223">
        <f xml:space="preserve"> InputsTS!UPU$184</f>
        <v>0</v>
      </c>
      <c r="UPV77" s="223">
        <f xml:space="preserve"> InputsTS!UPV$184</f>
        <v>0</v>
      </c>
      <c r="UPW77" s="223">
        <f xml:space="preserve"> InputsTS!UPW$184</f>
        <v>0</v>
      </c>
      <c r="UPX77" s="223">
        <f xml:space="preserve"> InputsTS!UPX$184</f>
        <v>0</v>
      </c>
      <c r="UPY77" s="223">
        <f xml:space="preserve"> InputsTS!UPY$184</f>
        <v>0</v>
      </c>
      <c r="UPZ77" s="223">
        <f xml:space="preserve"> InputsTS!UPZ$184</f>
        <v>0</v>
      </c>
      <c r="UQA77" s="223">
        <f xml:space="preserve"> InputsTS!UQA$184</f>
        <v>0</v>
      </c>
      <c r="UQB77" s="223">
        <f xml:space="preserve"> InputsTS!UQB$184</f>
        <v>0</v>
      </c>
      <c r="UQC77" s="223">
        <f xml:space="preserve"> InputsTS!UQC$184</f>
        <v>0</v>
      </c>
      <c r="UQD77" s="223">
        <f xml:space="preserve"> InputsTS!UQD$184</f>
        <v>0</v>
      </c>
      <c r="UQE77" s="223">
        <f xml:space="preserve"> InputsTS!UQE$184</f>
        <v>0</v>
      </c>
      <c r="UQF77" s="223">
        <f xml:space="preserve"> InputsTS!UQF$184</f>
        <v>0</v>
      </c>
      <c r="UQG77" s="223">
        <f xml:space="preserve"> InputsTS!UQG$184</f>
        <v>0</v>
      </c>
      <c r="UQH77" s="223">
        <f xml:space="preserve"> InputsTS!UQH$184</f>
        <v>0</v>
      </c>
      <c r="UQI77" s="223">
        <f xml:space="preserve"> InputsTS!UQI$184</f>
        <v>0</v>
      </c>
      <c r="UQJ77" s="223">
        <f xml:space="preserve"> InputsTS!UQJ$184</f>
        <v>0</v>
      </c>
      <c r="UQK77" s="223">
        <f xml:space="preserve"> InputsTS!UQK$184</f>
        <v>0</v>
      </c>
      <c r="UQL77" s="223">
        <f xml:space="preserve"> InputsTS!UQL$184</f>
        <v>0</v>
      </c>
      <c r="UQM77" s="223">
        <f xml:space="preserve"> InputsTS!UQM$184</f>
        <v>0</v>
      </c>
      <c r="UQN77" s="223">
        <f xml:space="preserve"> InputsTS!UQN$184</f>
        <v>0</v>
      </c>
      <c r="UQO77" s="223">
        <f xml:space="preserve"> InputsTS!UQO$184</f>
        <v>0</v>
      </c>
      <c r="UQP77" s="223">
        <f xml:space="preserve"> InputsTS!UQP$184</f>
        <v>0</v>
      </c>
      <c r="UQQ77" s="223">
        <f xml:space="preserve"> InputsTS!UQQ$184</f>
        <v>0</v>
      </c>
      <c r="UQR77" s="223">
        <f xml:space="preserve"> InputsTS!UQR$184</f>
        <v>0</v>
      </c>
      <c r="UQS77" s="223">
        <f xml:space="preserve"> InputsTS!UQS$184</f>
        <v>0</v>
      </c>
      <c r="UQT77" s="223">
        <f xml:space="preserve"> InputsTS!UQT$184</f>
        <v>0</v>
      </c>
      <c r="UQU77" s="223">
        <f xml:space="preserve"> InputsTS!UQU$184</f>
        <v>0</v>
      </c>
      <c r="UQV77" s="223">
        <f xml:space="preserve"> InputsTS!UQV$184</f>
        <v>0</v>
      </c>
      <c r="UQW77" s="223">
        <f xml:space="preserve"> InputsTS!UQW$184</f>
        <v>0</v>
      </c>
      <c r="UQX77" s="223">
        <f xml:space="preserve"> InputsTS!UQX$184</f>
        <v>0</v>
      </c>
      <c r="UQY77" s="223">
        <f xml:space="preserve"> InputsTS!UQY$184</f>
        <v>0</v>
      </c>
      <c r="UQZ77" s="223">
        <f xml:space="preserve"> InputsTS!UQZ$184</f>
        <v>0</v>
      </c>
      <c r="URA77" s="223">
        <f xml:space="preserve"> InputsTS!URA$184</f>
        <v>0</v>
      </c>
      <c r="URB77" s="223">
        <f xml:space="preserve"> InputsTS!URB$184</f>
        <v>0</v>
      </c>
      <c r="URC77" s="223">
        <f xml:space="preserve"> InputsTS!URC$184</f>
        <v>0</v>
      </c>
      <c r="URD77" s="223">
        <f xml:space="preserve"> InputsTS!URD$184</f>
        <v>0</v>
      </c>
      <c r="URE77" s="223">
        <f xml:space="preserve"> InputsTS!URE$184</f>
        <v>0</v>
      </c>
      <c r="URF77" s="223">
        <f xml:space="preserve"> InputsTS!URF$184</f>
        <v>0</v>
      </c>
      <c r="URG77" s="223">
        <f xml:space="preserve"> InputsTS!URG$184</f>
        <v>0</v>
      </c>
      <c r="URH77" s="223">
        <f xml:space="preserve"> InputsTS!URH$184</f>
        <v>0</v>
      </c>
      <c r="URI77" s="223">
        <f xml:space="preserve"> InputsTS!URI$184</f>
        <v>0</v>
      </c>
      <c r="URJ77" s="223">
        <f xml:space="preserve"> InputsTS!URJ$184</f>
        <v>0</v>
      </c>
      <c r="URK77" s="223">
        <f xml:space="preserve"> InputsTS!URK$184</f>
        <v>0</v>
      </c>
      <c r="URL77" s="223">
        <f xml:space="preserve"> InputsTS!URL$184</f>
        <v>0</v>
      </c>
      <c r="URM77" s="223">
        <f xml:space="preserve"> InputsTS!URM$184</f>
        <v>0</v>
      </c>
      <c r="URN77" s="223">
        <f xml:space="preserve"> InputsTS!URN$184</f>
        <v>0</v>
      </c>
      <c r="URO77" s="223">
        <f xml:space="preserve"> InputsTS!URO$184</f>
        <v>0</v>
      </c>
      <c r="URP77" s="223">
        <f xml:space="preserve"> InputsTS!URP$184</f>
        <v>0</v>
      </c>
      <c r="URQ77" s="223">
        <f xml:space="preserve"> InputsTS!URQ$184</f>
        <v>0</v>
      </c>
      <c r="URR77" s="223">
        <f xml:space="preserve"> InputsTS!URR$184</f>
        <v>0</v>
      </c>
      <c r="URS77" s="223">
        <f xml:space="preserve"> InputsTS!URS$184</f>
        <v>0</v>
      </c>
      <c r="URT77" s="223">
        <f xml:space="preserve"> InputsTS!URT$184</f>
        <v>0</v>
      </c>
      <c r="URU77" s="223">
        <f xml:space="preserve"> InputsTS!URU$184</f>
        <v>0</v>
      </c>
      <c r="URV77" s="223">
        <f xml:space="preserve"> InputsTS!URV$184</f>
        <v>0</v>
      </c>
      <c r="URW77" s="223">
        <f xml:space="preserve"> InputsTS!URW$184</f>
        <v>0</v>
      </c>
      <c r="URX77" s="223">
        <f xml:space="preserve"> InputsTS!URX$184</f>
        <v>0</v>
      </c>
      <c r="URY77" s="223">
        <f xml:space="preserve"> InputsTS!URY$184</f>
        <v>0</v>
      </c>
      <c r="URZ77" s="223">
        <f xml:space="preserve"> InputsTS!URZ$184</f>
        <v>0</v>
      </c>
      <c r="USA77" s="223">
        <f xml:space="preserve"> InputsTS!USA$184</f>
        <v>0</v>
      </c>
      <c r="USB77" s="223">
        <f xml:space="preserve"> InputsTS!USB$184</f>
        <v>0</v>
      </c>
      <c r="USC77" s="223">
        <f xml:space="preserve"> InputsTS!USC$184</f>
        <v>0</v>
      </c>
      <c r="USD77" s="223">
        <f xml:space="preserve"> InputsTS!USD$184</f>
        <v>0</v>
      </c>
      <c r="USE77" s="223">
        <f xml:space="preserve"> InputsTS!USE$184</f>
        <v>0</v>
      </c>
      <c r="USF77" s="223">
        <f xml:space="preserve"> InputsTS!USF$184</f>
        <v>0</v>
      </c>
      <c r="USG77" s="223">
        <f xml:space="preserve"> InputsTS!USG$184</f>
        <v>0</v>
      </c>
      <c r="USH77" s="223">
        <f xml:space="preserve"> InputsTS!USH$184</f>
        <v>0</v>
      </c>
      <c r="USI77" s="223">
        <f xml:space="preserve"> InputsTS!USI$184</f>
        <v>0</v>
      </c>
      <c r="USJ77" s="223">
        <f xml:space="preserve"> InputsTS!USJ$184</f>
        <v>0</v>
      </c>
      <c r="USK77" s="223">
        <f xml:space="preserve"> InputsTS!USK$184</f>
        <v>0</v>
      </c>
      <c r="USL77" s="223">
        <f xml:space="preserve"> InputsTS!USL$184</f>
        <v>0</v>
      </c>
      <c r="USM77" s="223">
        <f xml:space="preserve"> InputsTS!USM$184</f>
        <v>0</v>
      </c>
      <c r="USN77" s="223">
        <f xml:space="preserve"> InputsTS!USN$184</f>
        <v>0</v>
      </c>
      <c r="USO77" s="223">
        <f xml:space="preserve"> InputsTS!USO$184</f>
        <v>0</v>
      </c>
      <c r="USP77" s="223">
        <f xml:space="preserve"> InputsTS!USP$184</f>
        <v>0</v>
      </c>
      <c r="USQ77" s="223">
        <f xml:space="preserve"> InputsTS!USQ$184</f>
        <v>0</v>
      </c>
      <c r="USR77" s="223">
        <f xml:space="preserve"> InputsTS!USR$184</f>
        <v>0</v>
      </c>
      <c r="USS77" s="223">
        <f xml:space="preserve"> InputsTS!USS$184</f>
        <v>0</v>
      </c>
      <c r="UST77" s="223">
        <f xml:space="preserve"> InputsTS!UST$184</f>
        <v>0</v>
      </c>
      <c r="USU77" s="223">
        <f xml:space="preserve"> InputsTS!USU$184</f>
        <v>0</v>
      </c>
      <c r="USV77" s="223">
        <f xml:space="preserve"> InputsTS!USV$184</f>
        <v>0</v>
      </c>
      <c r="USW77" s="223">
        <f xml:space="preserve"> InputsTS!USW$184</f>
        <v>0</v>
      </c>
      <c r="USX77" s="223">
        <f xml:space="preserve"> InputsTS!USX$184</f>
        <v>0</v>
      </c>
      <c r="USY77" s="223">
        <f xml:space="preserve"> InputsTS!USY$184</f>
        <v>0</v>
      </c>
      <c r="USZ77" s="223">
        <f xml:space="preserve"> InputsTS!USZ$184</f>
        <v>0</v>
      </c>
      <c r="UTA77" s="223">
        <f xml:space="preserve"> InputsTS!UTA$184</f>
        <v>0</v>
      </c>
      <c r="UTB77" s="223">
        <f xml:space="preserve"> InputsTS!UTB$184</f>
        <v>0</v>
      </c>
      <c r="UTC77" s="223">
        <f xml:space="preserve"> InputsTS!UTC$184</f>
        <v>0</v>
      </c>
      <c r="UTD77" s="223">
        <f xml:space="preserve"> InputsTS!UTD$184</f>
        <v>0</v>
      </c>
      <c r="UTE77" s="223">
        <f xml:space="preserve"> InputsTS!UTE$184</f>
        <v>0</v>
      </c>
      <c r="UTF77" s="223">
        <f xml:space="preserve"> InputsTS!UTF$184</f>
        <v>0</v>
      </c>
      <c r="UTG77" s="223">
        <f xml:space="preserve"> InputsTS!UTG$184</f>
        <v>0</v>
      </c>
      <c r="UTH77" s="223">
        <f xml:space="preserve"> InputsTS!UTH$184</f>
        <v>0</v>
      </c>
      <c r="UTI77" s="223">
        <f xml:space="preserve"> InputsTS!UTI$184</f>
        <v>0</v>
      </c>
      <c r="UTJ77" s="223">
        <f xml:space="preserve"> InputsTS!UTJ$184</f>
        <v>0</v>
      </c>
      <c r="UTK77" s="223">
        <f xml:space="preserve"> InputsTS!UTK$184</f>
        <v>0</v>
      </c>
      <c r="UTL77" s="223">
        <f xml:space="preserve"> InputsTS!UTL$184</f>
        <v>0</v>
      </c>
      <c r="UTM77" s="223">
        <f xml:space="preserve"> InputsTS!UTM$184</f>
        <v>0</v>
      </c>
      <c r="UTN77" s="223">
        <f xml:space="preserve"> InputsTS!UTN$184</f>
        <v>0</v>
      </c>
      <c r="UTO77" s="223">
        <f xml:space="preserve"> InputsTS!UTO$184</f>
        <v>0</v>
      </c>
      <c r="UTP77" s="223">
        <f xml:space="preserve"> InputsTS!UTP$184</f>
        <v>0</v>
      </c>
      <c r="UTQ77" s="223">
        <f xml:space="preserve"> InputsTS!UTQ$184</f>
        <v>0</v>
      </c>
      <c r="UTR77" s="223">
        <f xml:space="preserve"> InputsTS!UTR$184</f>
        <v>0</v>
      </c>
      <c r="UTS77" s="223">
        <f xml:space="preserve"> InputsTS!UTS$184</f>
        <v>0</v>
      </c>
      <c r="UTT77" s="223">
        <f xml:space="preserve"> InputsTS!UTT$184</f>
        <v>0</v>
      </c>
      <c r="UTU77" s="223">
        <f xml:space="preserve"> InputsTS!UTU$184</f>
        <v>0</v>
      </c>
      <c r="UTV77" s="223">
        <f xml:space="preserve"> InputsTS!UTV$184</f>
        <v>0</v>
      </c>
      <c r="UTW77" s="223">
        <f xml:space="preserve"> InputsTS!UTW$184</f>
        <v>0</v>
      </c>
      <c r="UTX77" s="223">
        <f xml:space="preserve"> InputsTS!UTX$184</f>
        <v>0</v>
      </c>
      <c r="UTY77" s="223">
        <f xml:space="preserve"> InputsTS!UTY$184</f>
        <v>0</v>
      </c>
      <c r="UTZ77" s="223">
        <f xml:space="preserve"> InputsTS!UTZ$184</f>
        <v>0</v>
      </c>
      <c r="UUA77" s="223">
        <f xml:space="preserve"> InputsTS!UUA$184</f>
        <v>0</v>
      </c>
      <c r="UUB77" s="223">
        <f xml:space="preserve"> InputsTS!UUB$184</f>
        <v>0</v>
      </c>
      <c r="UUC77" s="223">
        <f xml:space="preserve"> InputsTS!UUC$184</f>
        <v>0</v>
      </c>
      <c r="UUD77" s="223">
        <f xml:space="preserve"> InputsTS!UUD$184</f>
        <v>0</v>
      </c>
      <c r="UUE77" s="223">
        <f xml:space="preserve"> InputsTS!UUE$184</f>
        <v>0</v>
      </c>
      <c r="UUF77" s="223">
        <f xml:space="preserve"> InputsTS!UUF$184</f>
        <v>0</v>
      </c>
      <c r="UUG77" s="223">
        <f xml:space="preserve"> InputsTS!UUG$184</f>
        <v>0</v>
      </c>
      <c r="UUH77" s="223">
        <f xml:space="preserve"> InputsTS!UUH$184</f>
        <v>0</v>
      </c>
      <c r="UUI77" s="223">
        <f xml:space="preserve"> InputsTS!UUI$184</f>
        <v>0</v>
      </c>
      <c r="UUJ77" s="223">
        <f xml:space="preserve"> InputsTS!UUJ$184</f>
        <v>0</v>
      </c>
      <c r="UUK77" s="223">
        <f xml:space="preserve"> InputsTS!UUK$184</f>
        <v>0</v>
      </c>
      <c r="UUL77" s="223">
        <f xml:space="preserve"> InputsTS!UUL$184</f>
        <v>0</v>
      </c>
      <c r="UUM77" s="223">
        <f xml:space="preserve"> InputsTS!UUM$184</f>
        <v>0</v>
      </c>
      <c r="UUN77" s="223">
        <f xml:space="preserve"> InputsTS!UUN$184</f>
        <v>0</v>
      </c>
      <c r="UUO77" s="223">
        <f xml:space="preserve"> InputsTS!UUO$184</f>
        <v>0</v>
      </c>
      <c r="UUP77" s="223">
        <f xml:space="preserve"> InputsTS!UUP$184</f>
        <v>0</v>
      </c>
      <c r="UUQ77" s="223">
        <f xml:space="preserve"> InputsTS!UUQ$184</f>
        <v>0</v>
      </c>
      <c r="UUR77" s="223">
        <f xml:space="preserve"> InputsTS!UUR$184</f>
        <v>0</v>
      </c>
      <c r="UUS77" s="223">
        <f xml:space="preserve"> InputsTS!UUS$184</f>
        <v>0</v>
      </c>
      <c r="UUT77" s="223">
        <f xml:space="preserve"> InputsTS!UUT$184</f>
        <v>0</v>
      </c>
      <c r="UUU77" s="223">
        <f xml:space="preserve"> InputsTS!UUU$184</f>
        <v>0</v>
      </c>
      <c r="UUV77" s="223">
        <f xml:space="preserve"> InputsTS!UUV$184</f>
        <v>0</v>
      </c>
      <c r="UUW77" s="223">
        <f xml:space="preserve"> InputsTS!UUW$184</f>
        <v>0</v>
      </c>
      <c r="UUX77" s="223">
        <f xml:space="preserve"> InputsTS!UUX$184</f>
        <v>0</v>
      </c>
      <c r="UUY77" s="223">
        <f xml:space="preserve"> InputsTS!UUY$184</f>
        <v>0</v>
      </c>
      <c r="UUZ77" s="223">
        <f xml:space="preserve"> InputsTS!UUZ$184</f>
        <v>0</v>
      </c>
      <c r="UVA77" s="223">
        <f xml:space="preserve"> InputsTS!UVA$184</f>
        <v>0</v>
      </c>
      <c r="UVB77" s="223">
        <f xml:space="preserve"> InputsTS!UVB$184</f>
        <v>0</v>
      </c>
      <c r="UVC77" s="223">
        <f xml:space="preserve"> InputsTS!UVC$184</f>
        <v>0</v>
      </c>
      <c r="UVD77" s="223">
        <f xml:space="preserve"> InputsTS!UVD$184</f>
        <v>0</v>
      </c>
      <c r="UVE77" s="223">
        <f xml:space="preserve"> InputsTS!UVE$184</f>
        <v>0</v>
      </c>
      <c r="UVF77" s="223">
        <f xml:space="preserve"> InputsTS!UVF$184</f>
        <v>0</v>
      </c>
      <c r="UVG77" s="223">
        <f xml:space="preserve"> InputsTS!UVG$184</f>
        <v>0</v>
      </c>
      <c r="UVH77" s="223">
        <f xml:space="preserve"> InputsTS!UVH$184</f>
        <v>0</v>
      </c>
      <c r="UVI77" s="223">
        <f xml:space="preserve"> InputsTS!UVI$184</f>
        <v>0</v>
      </c>
      <c r="UVJ77" s="223">
        <f xml:space="preserve"> InputsTS!UVJ$184</f>
        <v>0</v>
      </c>
      <c r="UVK77" s="223">
        <f xml:space="preserve"> InputsTS!UVK$184</f>
        <v>0</v>
      </c>
      <c r="UVL77" s="223">
        <f xml:space="preserve"> InputsTS!UVL$184</f>
        <v>0</v>
      </c>
      <c r="UVM77" s="223">
        <f xml:space="preserve"> InputsTS!UVM$184</f>
        <v>0</v>
      </c>
      <c r="UVN77" s="223">
        <f xml:space="preserve"> InputsTS!UVN$184</f>
        <v>0</v>
      </c>
      <c r="UVO77" s="223">
        <f xml:space="preserve"> InputsTS!UVO$184</f>
        <v>0</v>
      </c>
      <c r="UVP77" s="223">
        <f xml:space="preserve"> InputsTS!UVP$184</f>
        <v>0</v>
      </c>
      <c r="UVQ77" s="223">
        <f xml:space="preserve"> InputsTS!UVQ$184</f>
        <v>0</v>
      </c>
      <c r="UVR77" s="223">
        <f xml:space="preserve"> InputsTS!UVR$184</f>
        <v>0</v>
      </c>
      <c r="UVS77" s="223">
        <f xml:space="preserve"> InputsTS!UVS$184</f>
        <v>0</v>
      </c>
      <c r="UVT77" s="223">
        <f xml:space="preserve"> InputsTS!UVT$184</f>
        <v>0</v>
      </c>
      <c r="UVU77" s="223">
        <f xml:space="preserve"> InputsTS!UVU$184</f>
        <v>0</v>
      </c>
      <c r="UVV77" s="223">
        <f xml:space="preserve"> InputsTS!UVV$184</f>
        <v>0</v>
      </c>
      <c r="UVW77" s="223">
        <f xml:space="preserve"> InputsTS!UVW$184</f>
        <v>0</v>
      </c>
      <c r="UVX77" s="223">
        <f xml:space="preserve"> InputsTS!UVX$184</f>
        <v>0</v>
      </c>
      <c r="UVY77" s="223">
        <f xml:space="preserve"> InputsTS!UVY$184</f>
        <v>0</v>
      </c>
      <c r="UVZ77" s="223">
        <f xml:space="preserve"> InputsTS!UVZ$184</f>
        <v>0</v>
      </c>
      <c r="UWA77" s="223">
        <f xml:space="preserve"> InputsTS!UWA$184</f>
        <v>0</v>
      </c>
      <c r="UWB77" s="223">
        <f xml:space="preserve"> InputsTS!UWB$184</f>
        <v>0</v>
      </c>
      <c r="UWC77" s="223">
        <f xml:space="preserve"> InputsTS!UWC$184</f>
        <v>0</v>
      </c>
      <c r="UWD77" s="223">
        <f xml:space="preserve"> InputsTS!UWD$184</f>
        <v>0</v>
      </c>
      <c r="UWE77" s="223">
        <f xml:space="preserve"> InputsTS!UWE$184</f>
        <v>0</v>
      </c>
      <c r="UWF77" s="223">
        <f xml:space="preserve"> InputsTS!UWF$184</f>
        <v>0</v>
      </c>
      <c r="UWG77" s="223">
        <f xml:space="preserve"> InputsTS!UWG$184</f>
        <v>0</v>
      </c>
      <c r="UWH77" s="223">
        <f xml:space="preserve"> InputsTS!UWH$184</f>
        <v>0</v>
      </c>
      <c r="UWI77" s="223">
        <f xml:space="preserve"> InputsTS!UWI$184</f>
        <v>0</v>
      </c>
      <c r="UWJ77" s="223">
        <f xml:space="preserve"> InputsTS!UWJ$184</f>
        <v>0</v>
      </c>
      <c r="UWK77" s="223">
        <f xml:space="preserve"> InputsTS!UWK$184</f>
        <v>0</v>
      </c>
      <c r="UWL77" s="223">
        <f xml:space="preserve"> InputsTS!UWL$184</f>
        <v>0</v>
      </c>
      <c r="UWM77" s="223">
        <f xml:space="preserve"> InputsTS!UWM$184</f>
        <v>0</v>
      </c>
      <c r="UWN77" s="223">
        <f xml:space="preserve"> InputsTS!UWN$184</f>
        <v>0</v>
      </c>
      <c r="UWO77" s="223">
        <f xml:space="preserve"> InputsTS!UWO$184</f>
        <v>0</v>
      </c>
      <c r="UWP77" s="223">
        <f xml:space="preserve"> InputsTS!UWP$184</f>
        <v>0</v>
      </c>
      <c r="UWQ77" s="223">
        <f xml:space="preserve"> InputsTS!UWQ$184</f>
        <v>0</v>
      </c>
      <c r="UWR77" s="223">
        <f xml:space="preserve"> InputsTS!UWR$184</f>
        <v>0</v>
      </c>
      <c r="UWS77" s="223">
        <f xml:space="preserve"> InputsTS!UWS$184</f>
        <v>0</v>
      </c>
      <c r="UWT77" s="223">
        <f xml:space="preserve"> InputsTS!UWT$184</f>
        <v>0</v>
      </c>
      <c r="UWU77" s="223">
        <f xml:space="preserve"> InputsTS!UWU$184</f>
        <v>0</v>
      </c>
      <c r="UWV77" s="223">
        <f xml:space="preserve"> InputsTS!UWV$184</f>
        <v>0</v>
      </c>
      <c r="UWW77" s="223">
        <f xml:space="preserve"> InputsTS!UWW$184</f>
        <v>0</v>
      </c>
      <c r="UWX77" s="223">
        <f xml:space="preserve"> InputsTS!UWX$184</f>
        <v>0</v>
      </c>
      <c r="UWY77" s="223">
        <f xml:space="preserve"> InputsTS!UWY$184</f>
        <v>0</v>
      </c>
      <c r="UWZ77" s="223">
        <f xml:space="preserve"> InputsTS!UWZ$184</f>
        <v>0</v>
      </c>
      <c r="UXA77" s="223">
        <f xml:space="preserve"> InputsTS!UXA$184</f>
        <v>0</v>
      </c>
      <c r="UXB77" s="223">
        <f xml:space="preserve"> InputsTS!UXB$184</f>
        <v>0</v>
      </c>
      <c r="UXC77" s="223">
        <f xml:space="preserve"> InputsTS!UXC$184</f>
        <v>0</v>
      </c>
      <c r="UXD77" s="223">
        <f xml:space="preserve"> InputsTS!UXD$184</f>
        <v>0</v>
      </c>
      <c r="UXE77" s="223">
        <f xml:space="preserve"> InputsTS!UXE$184</f>
        <v>0</v>
      </c>
      <c r="UXF77" s="223">
        <f xml:space="preserve"> InputsTS!UXF$184</f>
        <v>0</v>
      </c>
      <c r="UXG77" s="223">
        <f xml:space="preserve"> InputsTS!UXG$184</f>
        <v>0</v>
      </c>
      <c r="UXH77" s="223">
        <f xml:space="preserve"> InputsTS!UXH$184</f>
        <v>0</v>
      </c>
      <c r="UXI77" s="223">
        <f xml:space="preserve"> InputsTS!UXI$184</f>
        <v>0</v>
      </c>
      <c r="UXJ77" s="223">
        <f xml:space="preserve"> InputsTS!UXJ$184</f>
        <v>0</v>
      </c>
      <c r="UXK77" s="223">
        <f xml:space="preserve"> InputsTS!UXK$184</f>
        <v>0</v>
      </c>
      <c r="UXL77" s="223">
        <f xml:space="preserve"> InputsTS!UXL$184</f>
        <v>0</v>
      </c>
      <c r="UXM77" s="223">
        <f xml:space="preserve"> InputsTS!UXM$184</f>
        <v>0</v>
      </c>
      <c r="UXN77" s="223">
        <f xml:space="preserve"> InputsTS!UXN$184</f>
        <v>0</v>
      </c>
      <c r="UXO77" s="223">
        <f xml:space="preserve"> InputsTS!UXO$184</f>
        <v>0</v>
      </c>
      <c r="UXP77" s="223">
        <f xml:space="preserve"> InputsTS!UXP$184</f>
        <v>0</v>
      </c>
      <c r="UXQ77" s="223">
        <f xml:space="preserve"> InputsTS!UXQ$184</f>
        <v>0</v>
      </c>
      <c r="UXR77" s="223">
        <f xml:space="preserve"> InputsTS!UXR$184</f>
        <v>0</v>
      </c>
      <c r="UXS77" s="223">
        <f xml:space="preserve"> InputsTS!UXS$184</f>
        <v>0</v>
      </c>
      <c r="UXT77" s="223">
        <f xml:space="preserve"> InputsTS!UXT$184</f>
        <v>0</v>
      </c>
      <c r="UXU77" s="223">
        <f xml:space="preserve"> InputsTS!UXU$184</f>
        <v>0</v>
      </c>
      <c r="UXV77" s="223">
        <f xml:space="preserve"> InputsTS!UXV$184</f>
        <v>0</v>
      </c>
      <c r="UXW77" s="223">
        <f xml:space="preserve"> InputsTS!UXW$184</f>
        <v>0</v>
      </c>
      <c r="UXX77" s="223">
        <f xml:space="preserve"> InputsTS!UXX$184</f>
        <v>0</v>
      </c>
      <c r="UXY77" s="223">
        <f xml:space="preserve"> InputsTS!UXY$184</f>
        <v>0</v>
      </c>
      <c r="UXZ77" s="223">
        <f xml:space="preserve"> InputsTS!UXZ$184</f>
        <v>0</v>
      </c>
      <c r="UYA77" s="223">
        <f xml:space="preserve"> InputsTS!UYA$184</f>
        <v>0</v>
      </c>
      <c r="UYB77" s="223">
        <f xml:space="preserve"> InputsTS!UYB$184</f>
        <v>0</v>
      </c>
      <c r="UYC77" s="223">
        <f xml:space="preserve"> InputsTS!UYC$184</f>
        <v>0</v>
      </c>
      <c r="UYD77" s="223">
        <f xml:space="preserve"> InputsTS!UYD$184</f>
        <v>0</v>
      </c>
      <c r="UYE77" s="223">
        <f xml:space="preserve"> InputsTS!UYE$184</f>
        <v>0</v>
      </c>
      <c r="UYF77" s="223">
        <f xml:space="preserve"> InputsTS!UYF$184</f>
        <v>0</v>
      </c>
      <c r="UYG77" s="223">
        <f xml:space="preserve"> InputsTS!UYG$184</f>
        <v>0</v>
      </c>
      <c r="UYH77" s="223">
        <f xml:space="preserve"> InputsTS!UYH$184</f>
        <v>0</v>
      </c>
      <c r="UYI77" s="223">
        <f xml:space="preserve"> InputsTS!UYI$184</f>
        <v>0</v>
      </c>
      <c r="UYJ77" s="223">
        <f xml:space="preserve"> InputsTS!UYJ$184</f>
        <v>0</v>
      </c>
      <c r="UYK77" s="223">
        <f xml:space="preserve"> InputsTS!UYK$184</f>
        <v>0</v>
      </c>
      <c r="UYL77" s="223">
        <f xml:space="preserve"> InputsTS!UYL$184</f>
        <v>0</v>
      </c>
      <c r="UYM77" s="223">
        <f xml:space="preserve"> InputsTS!UYM$184</f>
        <v>0</v>
      </c>
      <c r="UYN77" s="223">
        <f xml:space="preserve"> InputsTS!UYN$184</f>
        <v>0</v>
      </c>
      <c r="UYO77" s="223">
        <f xml:space="preserve"> InputsTS!UYO$184</f>
        <v>0</v>
      </c>
      <c r="UYP77" s="223">
        <f xml:space="preserve"> InputsTS!UYP$184</f>
        <v>0</v>
      </c>
      <c r="UYQ77" s="223">
        <f xml:space="preserve"> InputsTS!UYQ$184</f>
        <v>0</v>
      </c>
      <c r="UYR77" s="223">
        <f xml:space="preserve"> InputsTS!UYR$184</f>
        <v>0</v>
      </c>
      <c r="UYS77" s="223">
        <f xml:space="preserve"> InputsTS!UYS$184</f>
        <v>0</v>
      </c>
      <c r="UYT77" s="223">
        <f xml:space="preserve"> InputsTS!UYT$184</f>
        <v>0</v>
      </c>
      <c r="UYU77" s="223">
        <f xml:space="preserve"> InputsTS!UYU$184</f>
        <v>0</v>
      </c>
      <c r="UYV77" s="223">
        <f xml:space="preserve"> InputsTS!UYV$184</f>
        <v>0</v>
      </c>
      <c r="UYW77" s="223">
        <f xml:space="preserve"> InputsTS!UYW$184</f>
        <v>0</v>
      </c>
      <c r="UYX77" s="223">
        <f xml:space="preserve"> InputsTS!UYX$184</f>
        <v>0</v>
      </c>
      <c r="UYY77" s="223">
        <f xml:space="preserve"> InputsTS!UYY$184</f>
        <v>0</v>
      </c>
      <c r="UYZ77" s="223">
        <f xml:space="preserve"> InputsTS!UYZ$184</f>
        <v>0</v>
      </c>
      <c r="UZA77" s="223">
        <f xml:space="preserve"> InputsTS!UZA$184</f>
        <v>0</v>
      </c>
      <c r="UZB77" s="223">
        <f xml:space="preserve"> InputsTS!UZB$184</f>
        <v>0</v>
      </c>
      <c r="UZC77" s="223">
        <f xml:space="preserve"> InputsTS!UZC$184</f>
        <v>0</v>
      </c>
      <c r="UZD77" s="223">
        <f xml:space="preserve"> InputsTS!UZD$184</f>
        <v>0</v>
      </c>
      <c r="UZE77" s="223">
        <f xml:space="preserve"> InputsTS!UZE$184</f>
        <v>0</v>
      </c>
      <c r="UZF77" s="223">
        <f xml:space="preserve"> InputsTS!UZF$184</f>
        <v>0</v>
      </c>
      <c r="UZG77" s="223">
        <f xml:space="preserve"> InputsTS!UZG$184</f>
        <v>0</v>
      </c>
      <c r="UZH77" s="223">
        <f xml:space="preserve"> InputsTS!UZH$184</f>
        <v>0</v>
      </c>
      <c r="UZI77" s="223">
        <f xml:space="preserve"> InputsTS!UZI$184</f>
        <v>0</v>
      </c>
      <c r="UZJ77" s="223">
        <f xml:space="preserve"> InputsTS!UZJ$184</f>
        <v>0</v>
      </c>
      <c r="UZK77" s="223">
        <f xml:space="preserve"> InputsTS!UZK$184</f>
        <v>0</v>
      </c>
      <c r="UZL77" s="223">
        <f xml:space="preserve"> InputsTS!UZL$184</f>
        <v>0</v>
      </c>
      <c r="UZM77" s="223">
        <f xml:space="preserve"> InputsTS!UZM$184</f>
        <v>0</v>
      </c>
      <c r="UZN77" s="223">
        <f xml:space="preserve"> InputsTS!UZN$184</f>
        <v>0</v>
      </c>
      <c r="UZO77" s="223">
        <f xml:space="preserve"> InputsTS!UZO$184</f>
        <v>0</v>
      </c>
      <c r="UZP77" s="223">
        <f xml:space="preserve"> InputsTS!UZP$184</f>
        <v>0</v>
      </c>
      <c r="UZQ77" s="223">
        <f xml:space="preserve"> InputsTS!UZQ$184</f>
        <v>0</v>
      </c>
      <c r="UZR77" s="223">
        <f xml:space="preserve"> InputsTS!UZR$184</f>
        <v>0</v>
      </c>
      <c r="UZS77" s="223">
        <f xml:space="preserve"> InputsTS!UZS$184</f>
        <v>0</v>
      </c>
      <c r="UZT77" s="223">
        <f xml:space="preserve"> InputsTS!UZT$184</f>
        <v>0</v>
      </c>
      <c r="UZU77" s="223">
        <f xml:space="preserve"> InputsTS!UZU$184</f>
        <v>0</v>
      </c>
      <c r="UZV77" s="223">
        <f xml:space="preserve"> InputsTS!UZV$184</f>
        <v>0</v>
      </c>
      <c r="UZW77" s="223">
        <f xml:space="preserve"> InputsTS!UZW$184</f>
        <v>0</v>
      </c>
      <c r="UZX77" s="223">
        <f xml:space="preserve"> InputsTS!UZX$184</f>
        <v>0</v>
      </c>
      <c r="UZY77" s="223">
        <f xml:space="preserve"> InputsTS!UZY$184</f>
        <v>0</v>
      </c>
      <c r="UZZ77" s="223">
        <f xml:space="preserve"> InputsTS!UZZ$184</f>
        <v>0</v>
      </c>
      <c r="VAA77" s="223">
        <f xml:space="preserve"> InputsTS!VAA$184</f>
        <v>0</v>
      </c>
      <c r="VAB77" s="223">
        <f xml:space="preserve"> InputsTS!VAB$184</f>
        <v>0</v>
      </c>
      <c r="VAC77" s="223">
        <f xml:space="preserve"> InputsTS!VAC$184</f>
        <v>0</v>
      </c>
      <c r="VAD77" s="223">
        <f xml:space="preserve"> InputsTS!VAD$184</f>
        <v>0</v>
      </c>
      <c r="VAE77" s="223">
        <f xml:space="preserve"> InputsTS!VAE$184</f>
        <v>0</v>
      </c>
      <c r="VAF77" s="223">
        <f xml:space="preserve"> InputsTS!VAF$184</f>
        <v>0</v>
      </c>
      <c r="VAG77" s="223">
        <f xml:space="preserve"> InputsTS!VAG$184</f>
        <v>0</v>
      </c>
      <c r="VAH77" s="223">
        <f xml:space="preserve"> InputsTS!VAH$184</f>
        <v>0</v>
      </c>
      <c r="VAI77" s="223">
        <f xml:space="preserve"> InputsTS!VAI$184</f>
        <v>0</v>
      </c>
      <c r="VAJ77" s="223">
        <f xml:space="preserve"> InputsTS!VAJ$184</f>
        <v>0</v>
      </c>
      <c r="VAK77" s="223">
        <f xml:space="preserve"> InputsTS!VAK$184</f>
        <v>0</v>
      </c>
      <c r="VAL77" s="223">
        <f xml:space="preserve"> InputsTS!VAL$184</f>
        <v>0</v>
      </c>
      <c r="VAM77" s="223">
        <f xml:space="preserve"> InputsTS!VAM$184</f>
        <v>0</v>
      </c>
      <c r="VAN77" s="223">
        <f xml:space="preserve"> InputsTS!VAN$184</f>
        <v>0</v>
      </c>
      <c r="VAO77" s="223">
        <f xml:space="preserve"> InputsTS!VAO$184</f>
        <v>0</v>
      </c>
      <c r="VAP77" s="223">
        <f xml:space="preserve"> InputsTS!VAP$184</f>
        <v>0</v>
      </c>
      <c r="VAQ77" s="223">
        <f xml:space="preserve"> InputsTS!VAQ$184</f>
        <v>0</v>
      </c>
      <c r="VAR77" s="223">
        <f xml:space="preserve"> InputsTS!VAR$184</f>
        <v>0</v>
      </c>
      <c r="VAS77" s="223">
        <f xml:space="preserve"> InputsTS!VAS$184</f>
        <v>0</v>
      </c>
      <c r="VAT77" s="223">
        <f xml:space="preserve"> InputsTS!VAT$184</f>
        <v>0</v>
      </c>
      <c r="VAU77" s="223">
        <f xml:space="preserve"> InputsTS!VAU$184</f>
        <v>0</v>
      </c>
      <c r="VAV77" s="223">
        <f xml:space="preserve"> InputsTS!VAV$184</f>
        <v>0</v>
      </c>
      <c r="VAW77" s="223">
        <f xml:space="preserve"> InputsTS!VAW$184</f>
        <v>0</v>
      </c>
      <c r="VAX77" s="223">
        <f xml:space="preserve"> InputsTS!VAX$184</f>
        <v>0</v>
      </c>
      <c r="VAY77" s="223">
        <f xml:space="preserve"> InputsTS!VAY$184</f>
        <v>0</v>
      </c>
      <c r="VAZ77" s="223">
        <f xml:space="preserve"> InputsTS!VAZ$184</f>
        <v>0</v>
      </c>
      <c r="VBA77" s="223">
        <f xml:space="preserve"> InputsTS!VBA$184</f>
        <v>0</v>
      </c>
      <c r="VBB77" s="223">
        <f xml:space="preserve"> InputsTS!VBB$184</f>
        <v>0</v>
      </c>
      <c r="VBC77" s="223">
        <f xml:space="preserve"> InputsTS!VBC$184</f>
        <v>0</v>
      </c>
      <c r="VBD77" s="223">
        <f xml:space="preserve"> InputsTS!VBD$184</f>
        <v>0</v>
      </c>
      <c r="VBE77" s="223">
        <f xml:space="preserve"> InputsTS!VBE$184</f>
        <v>0</v>
      </c>
      <c r="VBF77" s="223">
        <f xml:space="preserve"> InputsTS!VBF$184</f>
        <v>0</v>
      </c>
      <c r="VBG77" s="223">
        <f xml:space="preserve"> InputsTS!VBG$184</f>
        <v>0</v>
      </c>
      <c r="VBH77" s="223">
        <f xml:space="preserve"> InputsTS!VBH$184</f>
        <v>0</v>
      </c>
      <c r="VBI77" s="223">
        <f xml:space="preserve"> InputsTS!VBI$184</f>
        <v>0</v>
      </c>
      <c r="VBJ77" s="223">
        <f xml:space="preserve"> InputsTS!VBJ$184</f>
        <v>0</v>
      </c>
      <c r="VBK77" s="223">
        <f xml:space="preserve"> InputsTS!VBK$184</f>
        <v>0</v>
      </c>
      <c r="VBL77" s="223">
        <f xml:space="preserve"> InputsTS!VBL$184</f>
        <v>0</v>
      </c>
      <c r="VBM77" s="223">
        <f xml:space="preserve"> InputsTS!VBM$184</f>
        <v>0</v>
      </c>
      <c r="VBN77" s="223">
        <f xml:space="preserve"> InputsTS!VBN$184</f>
        <v>0</v>
      </c>
      <c r="VBO77" s="223">
        <f xml:space="preserve"> InputsTS!VBO$184</f>
        <v>0</v>
      </c>
      <c r="VBP77" s="223">
        <f xml:space="preserve"> InputsTS!VBP$184</f>
        <v>0</v>
      </c>
      <c r="VBQ77" s="223">
        <f xml:space="preserve"> InputsTS!VBQ$184</f>
        <v>0</v>
      </c>
      <c r="VBR77" s="223">
        <f xml:space="preserve"> InputsTS!VBR$184</f>
        <v>0</v>
      </c>
      <c r="VBS77" s="223">
        <f xml:space="preserve"> InputsTS!VBS$184</f>
        <v>0</v>
      </c>
      <c r="VBT77" s="223">
        <f xml:space="preserve"> InputsTS!VBT$184</f>
        <v>0</v>
      </c>
      <c r="VBU77" s="223">
        <f xml:space="preserve"> InputsTS!VBU$184</f>
        <v>0</v>
      </c>
      <c r="VBV77" s="223">
        <f xml:space="preserve"> InputsTS!VBV$184</f>
        <v>0</v>
      </c>
      <c r="VBW77" s="223">
        <f xml:space="preserve"> InputsTS!VBW$184</f>
        <v>0</v>
      </c>
      <c r="VBX77" s="223">
        <f xml:space="preserve"> InputsTS!VBX$184</f>
        <v>0</v>
      </c>
      <c r="VBY77" s="223">
        <f xml:space="preserve"> InputsTS!VBY$184</f>
        <v>0</v>
      </c>
      <c r="VBZ77" s="223">
        <f xml:space="preserve"> InputsTS!VBZ$184</f>
        <v>0</v>
      </c>
      <c r="VCA77" s="223">
        <f xml:space="preserve"> InputsTS!VCA$184</f>
        <v>0</v>
      </c>
      <c r="VCB77" s="223">
        <f xml:space="preserve"> InputsTS!VCB$184</f>
        <v>0</v>
      </c>
      <c r="VCC77" s="223">
        <f xml:space="preserve"> InputsTS!VCC$184</f>
        <v>0</v>
      </c>
      <c r="VCD77" s="223">
        <f xml:space="preserve"> InputsTS!VCD$184</f>
        <v>0</v>
      </c>
      <c r="VCE77" s="223">
        <f xml:space="preserve"> InputsTS!VCE$184</f>
        <v>0</v>
      </c>
      <c r="VCF77" s="223">
        <f xml:space="preserve"> InputsTS!VCF$184</f>
        <v>0</v>
      </c>
      <c r="VCG77" s="223">
        <f xml:space="preserve"> InputsTS!VCG$184</f>
        <v>0</v>
      </c>
      <c r="VCH77" s="223">
        <f xml:space="preserve"> InputsTS!VCH$184</f>
        <v>0</v>
      </c>
      <c r="VCI77" s="223">
        <f xml:space="preserve"> InputsTS!VCI$184</f>
        <v>0</v>
      </c>
      <c r="VCJ77" s="223">
        <f xml:space="preserve"> InputsTS!VCJ$184</f>
        <v>0</v>
      </c>
      <c r="VCK77" s="223">
        <f xml:space="preserve"> InputsTS!VCK$184</f>
        <v>0</v>
      </c>
      <c r="VCL77" s="223">
        <f xml:space="preserve"> InputsTS!VCL$184</f>
        <v>0</v>
      </c>
      <c r="VCM77" s="223">
        <f xml:space="preserve"> InputsTS!VCM$184</f>
        <v>0</v>
      </c>
      <c r="VCN77" s="223">
        <f xml:space="preserve"> InputsTS!VCN$184</f>
        <v>0</v>
      </c>
      <c r="VCO77" s="223">
        <f xml:space="preserve"> InputsTS!VCO$184</f>
        <v>0</v>
      </c>
      <c r="VCP77" s="223">
        <f xml:space="preserve"> InputsTS!VCP$184</f>
        <v>0</v>
      </c>
      <c r="VCQ77" s="223">
        <f xml:space="preserve"> InputsTS!VCQ$184</f>
        <v>0</v>
      </c>
      <c r="VCR77" s="223">
        <f xml:space="preserve"> InputsTS!VCR$184</f>
        <v>0</v>
      </c>
      <c r="VCS77" s="223">
        <f xml:space="preserve"> InputsTS!VCS$184</f>
        <v>0</v>
      </c>
      <c r="VCT77" s="223">
        <f xml:space="preserve"> InputsTS!VCT$184</f>
        <v>0</v>
      </c>
      <c r="VCU77" s="223">
        <f xml:space="preserve"> InputsTS!VCU$184</f>
        <v>0</v>
      </c>
      <c r="VCV77" s="223">
        <f xml:space="preserve"> InputsTS!VCV$184</f>
        <v>0</v>
      </c>
      <c r="VCW77" s="223">
        <f xml:space="preserve"> InputsTS!VCW$184</f>
        <v>0</v>
      </c>
      <c r="VCX77" s="223">
        <f xml:space="preserve"> InputsTS!VCX$184</f>
        <v>0</v>
      </c>
      <c r="VCY77" s="223">
        <f xml:space="preserve"> InputsTS!VCY$184</f>
        <v>0</v>
      </c>
      <c r="VCZ77" s="223">
        <f xml:space="preserve"> InputsTS!VCZ$184</f>
        <v>0</v>
      </c>
      <c r="VDA77" s="223">
        <f xml:space="preserve"> InputsTS!VDA$184</f>
        <v>0</v>
      </c>
      <c r="VDB77" s="223">
        <f xml:space="preserve"> InputsTS!VDB$184</f>
        <v>0</v>
      </c>
      <c r="VDC77" s="223">
        <f xml:space="preserve"> InputsTS!VDC$184</f>
        <v>0</v>
      </c>
      <c r="VDD77" s="223">
        <f xml:space="preserve"> InputsTS!VDD$184</f>
        <v>0</v>
      </c>
      <c r="VDE77" s="223">
        <f xml:space="preserve"> InputsTS!VDE$184</f>
        <v>0</v>
      </c>
      <c r="VDF77" s="223">
        <f xml:space="preserve"> InputsTS!VDF$184</f>
        <v>0</v>
      </c>
      <c r="VDG77" s="223">
        <f xml:space="preserve"> InputsTS!VDG$184</f>
        <v>0</v>
      </c>
      <c r="VDH77" s="223">
        <f xml:space="preserve"> InputsTS!VDH$184</f>
        <v>0</v>
      </c>
      <c r="VDI77" s="223">
        <f xml:space="preserve"> InputsTS!VDI$184</f>
        <v>0</v>
      </c>
      <c r="VDJ77" s="223">
        <f xml:space="preserve"> InputsTS!VDJ$184</f>
        <v>0</v>
      </c>
      <c r="VDK77" s="223">
        <f xml:space="preserve"> InputsTS!VDK$184</f>
        <v>0</v>
      </c>
      <c r="VDL77" s="223">
        <f xml:space="preserve"> InputsTS!VDL$184</f>
        <v>0</v>
      </c>
      <c r="VDM77" s="223">
        <f xml:space="preserve"> InputsTS!VDM$184</f>
        <v>0</v>
      </c>
      <c r="VDN77" s="223">
        <f xml:space="preserve"> InputsTS!VDN$184</f>
        <v>0</v>
      </c>
      <c r="VDO77" s="223">
        <f xml:space="preserve"> InputsTS!VDO$184</f>
        <v>0</v>
      </c>
      <c r="VDP77" s="223">
        <f xml:space="preserve"> InputsTS!VDP$184</f>
        <v>0</v>
      </c>
      <c r="VDQ77" s="223">
        <f xml:space="preserve"> InputsTS!VDQ$184</f>
        <v>0</v>
      </c>
      <c r="VDR77" s="223">
        <f xml:space="preserve"> InputsTS!VDR$184</f>
        <v>0</v>
      </c>
      <c r="VDS77" s="223">
        <f xml:space="preserve"> InputsTS!VDS$184</f>
        <v>0</v>
      </c>
      <c r="VDT77" s="223">
        <f xml:space="preserve"> InputsTS!VDT$184</f>
        <v>0</v>
      </c>
      <c r="VDU77" s="223">
        <f xml:space="preserve"> InputsTS!VDU$184</f>
        <v>0</v>
      </c>
      <c r="VDV77" s="223">
        <f xml:space="preserve"> InputsTS!VDV$184</f>
        <v>0</v>
      </c>
      <c r="VDW77" s="223">
        <f xml:space="preserve"> InputsTS!VDW$184</f>
        <v>0</v>
      </c>
      <c r="VDX77" s="223">
        <f xml:space="preserve"> InputsTS!VDX$184</f>
        <v>0</v>
      </c>
      <c r="VDY77" s="223">
        <f xml:space="preserve"> InputsTS!VDY$184</f>
        <v>0</v>
      </c>
      <c r="VDZ77" s="223">
        <f xml:space="preserve"> InputsTS!VDZ$184</f>
        <v>0</v>
      </c>
      <c r="VEA77" s="223">
        <f xml:space="preserve"> InputsTS!VEA$184</f>
        <v>0</v>
      </c>
      <c r="VEB77" s="223">
        <f xml:space="preserve"> InputsTS!VEB$184</f>
        <v>0</v>
      </c>
      <c r="VEC77" s="223">
        <f xml:space="preserve"> InputsTS!VEC$184</f>
        <v>0</v>
      </c>
      <c r="VED77" s="223">
        <f xml:space="preserve"> InputsTS!VED$184</f>
        <v>0</v>
      </c>
      <c r="VEE77" s="223">
        <f xml:space="preserve"> InputsTS!VEE$184</f>
        <v>0</v>
      </c>
      <c r="VEF77" s="223">
        <f xml:space="preserve"> InputsTS!VEF$184</f>
        <v>0</v>
      </c>
      <c r="VEG77" s="223">
        <f xml:space="preserve"> InputsTS!VEG$184</f>
        <v>0</v>
      </c>
      <c r="VEH77" s="223">
        <f xml:space="preserve"> InputsTS!VEH$184</f>
        <v>0</v>
      </c>
      <c r="VEI77" s="223">
        <f xml:space="preserve"> InputsTS!VEI$184</f>
        <v>0</v>
      </c>
      <c r="VEJ77" s="223">
        <f xml:space="preserve"> InputsTS!VEJ$184</f>
        <v>0</v>
      </c>
      <c r="VEK77" s="223">
        <f xml:space="preserve"> InputsTS!VEK$184</f>
        <v>0</v>
      </c>
      <c r="VEL77" s="223">
        <f xml:space="preserve"> InputsTS!VEL$184</f>
        <v>0</v>
      </c>
      <c r="VEM77" s="223">
        <f xml:space="preserve"> InputsTS!VEM$184</f>
        <v>0</v>
      </c>
      <c r="VEN77" s="223">
        <f xml:space="preserve"> InputsTS!VEN$184</f>
        <v>0</v>
      </c>
      <c r="VEO77" s="223">
        <f xml:space="preserve"> InputsTS!VEO$184</f>
        <v>0</v>
      </c>
      <c r="VEP77" s="223">
        <f xml:space="preserve"> InputsTS!VEP$184</f>
        <v>0</v>
      </c>
      <c r="VEQ77" s="223">
        <f xml:space="preserve"> InputsTS!VEQ$184</f>
        <v>0</v>
      </c>
      <c r="VER77" s="223">
        <f xml:space="preserve"> InputsTS!VER$184</f>
        <v>0</v>
      </c>
      <c r="VES77" s="223">
        <f xml:space="preserve"> InputsTS!VES$184</f>
        <v>0</v>
      </c>
      <c r="VET77" s="223">
        <f xml:space="preserve"> InputsTS!VET$184</f>
        <v>0</v>
      </c>
      <c r="VEU77" s="223">
        <f xml:space="preserve"> InputsTS!VEU$184</f>
        <v>0</v>
      </c>
      <c r="VEV77" s="223">
        <f xml:space="preserve"> InputsTS!VEV$184</f>
        <v>0</v>
      </c>
      <c r="VEW77" s="223">
        <f xml:space="preserve"> InputsTS!VEW$184</f>
        <v>0</v>
      </c>
      <c r="VEX77" s="223">
        <f xml:space="preserve"> InputsTS!VEX$184</f>
        <v>0</v>
      </c>
      <c r="VEY77" s="223">
        <f xml:space="preserve"> InputsTS!VEY$184</f>
        <v>0</v>
      </c>
      <c r="VEZ77" s="223">
        <f xml:space="preserve"> InputsTS!VEZ$184</f>
        <v>0</v>
      </c>
      <c r="VFA77" s="223">
        <f xml:space="preserve"> InputsTS!VFA$184</f>
        <v>0</v>
      </c>
      <c r="VFB77" s="223">
        <f xml:space="preserve"> InputsTS!VFB$184</f>
        <v>0</v>
      </c>
      <c r="VFC77" s="223">
        <f xml:space="preserve"> InputsTS!VFC$184</f>
        <v>0</v>
      </c>
      <c r="VFD77" s="223">
        <f xml:space="preserve"> InputsTS!VFD$184</f>
        <v>0</v>
      </c>
      <c r="VFE77" s="223">
        <f xml:space="preserve"> InputsTS!VFE$184</f>
        <v>0</v>
      </c>
      <c r="VFF77" s="223">
        <f xml:space="preserve"> InputsTS!VFF$184</f>
        <v>0</v>
      </c>
      <c r="VFG77" s="223">
        <f xml:space="preserve"> InputsTS!VFG$184</f>
        <v>0</v>
      </c>
      <c r="VFH77" s="223">
        <f xml:space="preserve"> InputsTS!VFH$184</f>
        <v>0</v>
      </c>
      <c r="VFI77" s="223">
        <f xml:space="preserve"> InputsTS!VFI$184</f>
        <v>0</v>
      </c>
      <c r="VFJ77" s="223">
        <f xml:space="preserve"> InputsTS!VFJ$184</f>
        <v>0</v>
      </c>
      <c r="VFK77" s="223">
        <f xml:space="preserve"> InputsTS!VFK$184</f>
        <v>0</v>
      </c>
      <c r="VFL77" s="223">
        <f xml:space="preserve"> InputsTS!VFL$184</f>
        <v>0</v>
      </c>
      <c r="VFM77" s="223">
        <f xml:space="preserve"> InputsTS!VFM$184</f>
        <v>0</v>
      </c>
      <c r="VFN77" s="223">
        <f xml:space="preserve"> InputsTS!VFN$184</f>
        <v>0</v>
      </c>
      <c r="VFO77" s="223">
        <f xml:space="preserve"> InputsTS!VFO$184</f>
        <v>0</v>
      </c>
      <c r="VFP77" s="223">
        <f xml:space="preserve"> InputsTS!VFP$184</f>
        <v>0</v>
      </c>
      <c r="VFQ77" s="223">
        <f xml:space="preserve"> InputsTS!VFQ$184</f>
        <v>0</v>
      </c>
      <c r="VFR77" s="223">
        <f xml:space="preserve"> InputsTS!VFR$184</f>
        <v>0</v>
      </c>
      <c r="VFS77" s="223">
        <f xml:space="preserve"> InputsTS!VFS$184</f>
        <v>0</v>
      </c>
      <c r="VFT77" s="223">
        <f xml:space="preserve"> InputsTS!VFT$184</f>
        <v>0</v>
      </c>
      <c r="VFU77" s="223">
        <f xml:space="preserve"> InputsTS!VFU$184</f>
        <v>0</v>
      </c>
      <c r="VFV77" s="223">
        <f xml:space="preserve"> InputsTS!VFV$184</f>
        <v>0</v>
      </c>
      <c r="VFW77" s="223">
        <f xml:space="preserve"> InputsTS!VFW$184</f>
        <v>0</v>
      </c>
      <c r="VFX77" s="223">
        <f xml:space="preserve"> InputsTS!VFX$184</f>
        <v>0</v>
      </c>
      <c r="VFY77" s="223">
        <f xml:space="preserve"> InputsTS!VFY$184</f>
        <v>0</v>
      </c>
      <c r="VFZ77" s="223">
        <f xml:space="preserve"> InputsTS!VFZ$184</f>
        <v>0</v>
      </c>
      <c r="VGA77" s="223">
        <f xml:space="preserve"> InputsTS!VGA$184</f>
        <v>0</v>
      </c>
      <c r="VGB77" s="223">
        <f xml:space="preserve"> InputsTS!VGB$184</f>
        <v>0</v>
      </c>
      <c r="VGC77" s="223">
        <f xml:space="preserve"> InputsTS!VGC$184</f>
        <v>0</v>
      </c>
      <c r="VGD77" s="223">
        <f xml:space="preserve"> InputsTS!VGD$184</f>
        <v>0</v>
      </c>
      <c r="VGE77" s="223">
        <f xml:space="preserve"> InputsTS!VGE$184</f>
        <v>0</v>
      </c>
      <c r="VGF77" s="223">
        <f xml:space="preserve"> InputsTS!VGF$184</f>
        <v>0</v>
      </c>
      <c r="VGG77" s="223">
        <f xml:space="preserve"> InputsTS!VGG$184</f>
        <v>0</v>
      </c>
      <c r="VGH77" s="223">
        <f xml:space="preserve"> InputsTS!VGH$184</f>
        <v>0</v>
      </c>
      <c r="VGI77" s="223">
        <f xml:space="preserve"> InputsTS!VGI$184</f>
        <v>0</v>
      </c>
      <c r="VGJ77" s="223">
        <f xml:space="preserve"> InputsTS!VGJ$184</f>
        <v>0</v>
      </c>
      <c r="VGK77" s="223">
        <f xml:space="preserve"> InputsTS!VGK$184</f>
        <v>0</v>
      </c>
      <c r="VGL77" s="223">
        <f xml:space="preserve"> InputsTS!VGL$184</f>
        <v>0</v>
      </c>
      <c r="VGM77" s="223">
        <f xml:space="preserve"> InputsTS!VGM$184</f>
        <v>0</v>
      </c>
      <c r="VGN77" s="223">
        <f xml:space="preserve"> InputsTS!VGN$184</f>
        <v>0</v>
      </c>
      <c r="VGO77" s="223">
        <f xml:space="preserve"> InputsTS!VGO$184</f>
        <v>0</v>
      </c>
      <c r="VGP77" s="223">
        <f xml:space="preserve"> InputsTS!VGP$184</f>
        <v>0</v>
      </c>
      <c r="VGQ77" s="223">
        <f xml:space="preserve"> InputsTS!VGQ$184</f>
        <v>0</v>
      </c>
      <c r="VGR77" s="223">
        <f xml:space="preserve"> InputsTS!VGR$184</f>
        <v>0</v>
      </c>
      <c r="VGS77" s="223">
        <f xml:space="preserve"> InputsTS!VGS$184</f>
        <v>0</v>
      </c>
      <c r="VGT77" s="223">
        <f xml:space="preserve"> InputsTS!VGT$184</f>
        <v>0</v>
      </c>
      <c r="VGU77" s="223">
        <f xml:space="preserve"> InputsTS!VGU$184</f>
        <v>0</v>
      </c>
      <c r="VGV77" s="223">
        <f xml:space="preserve"> InputsTS!VGV$184</f>
        <v>0</v>
      </c>
      <c r="VGW77" s="223">
        <f xml:space="preserve"> InputsTS!VGW$184</f>
        <v>0</v>
      </c>
      <c r="VGX77" s="223">
        <f xml:space="preserve"> InputsTS!VGX$184</f>
        <v>0</v>
      </c>
      <c r="VGY77" s="223">
        <f xml:space="preserve"> InputsTS!VGY$184</f>
        <v>0</v>
      </c>
      <c r="VGZ77" s="223">
        <f xml:space="preserve"> InputsTS!VGZ$184</f>
        <v>0</v>
      </c>
      <c r="VHA77" s="223">
        <f xml:space="preserve"> InputsTS!VHA$184</f>
        <v>0</v>
      </c>
      <c r="VHB77" s="223">
        <f xml:space="preserve"> InputsTS!VHB$184</f>
        <v>0</v>
      </c>
      <c r="VHC77" s="223">
        <f xml:space="preserve"> InputsTS!VHC$184</f>
        <v>0</v>
      </c>
      <c r="VHD77" s="223">
        <f xml:space="preserve"> InputsTS!VHD$184</f>
        <v>0</v>
      </c>
      <c r="VHE77" s="223">
        <f xml:space="preserve"> InputsTS!VHE$184</f>
        <v>0</v>
      </c>
      <c r="VHF77" s="223">
        <f xml:space="preserve"> InputsTS!VHF$184</f>
        <v>0</v>
      </c>
      <c r="VHG77" s="223">
        <f xml:space="preserve"> InputsTS!VHG$184</f>
        <v>0</v>
      </c>
      <c r="VHH77" s="223">
        <f xml:space="preserve"> InputsTS!VHH$184</f>
        <v>0</v>
      </c>
      <c r="VHI77" s="223">
        <f xml:space="preserve"> InputsTS!VHI$184</f>
        <v>0</v>
      </c>
      <c r="VHJ77" s="223">
        <f xml:space="preserve"> InputsTS!VHJ$184</f>
        <v>0</v>
      </c>
      <c r="VHK77" s="223">
        <f xml:space="preserve"> InputsTS!VHK$184</f>
        <v>0</v>
      </c>
      <c r="VHL77" s="223">
        <f xml:space="preserve"> InputsTS!VHL$184</f>
        <v>0</v>
      </c>
      <c r="VHM77" s="223">
        <f xml:space="preserve"> InputsTS!VHM$184</f>
        <v>0</v>
      </c>
      <c r="VHN77" s="223">
        <f xml:space="preserve"> InputsTS!VHN$184</f>
        <v>0</v>
      </c>
      <c r="VHO77" s="223">
        <f xml:space="preserve"> InputsTS!VHO$184</f>
        <v>0</v>
      </c>
      <c r="VHP77" s="223">
        <f xml:space="preserve"> InputsTS!VHP$184</f>
        <v>0</v>
      </c>
      <c r="VHQ77" s="223">
        <f xml:space="preserve"> InputsTS!VHQ$184</f>
        <v>0</v>
      </c>
      <c r="VHR77" s="223">
        <f xml:space="preserve"> InputsTS!VHR$184</f>
        <v>0</v>
      </c>
      <c r="VHS77" s="223">
        <f xml:space="preserve"> InputsTS!VHS$184</f>
        <v>0</v>
      </c>
      <c r="VHT77" s="223">
        <f xml:space="preserve"> InputsTS!VHT$184</f>
        <v>0</v>
      </c>
      <c r="VHU77" s="223">
        <f xml:space="preserve"> InputsTS!VHU$184</f>
        <v>0</v>
      </c>
      <c r="VHV77" s="223">
        <f xml:space="preserve"> InputsTS!VHV$184</f>
        <v>0</v>
      </c>
      <c r="VHW77" s="223">
        <f xml:space="preserve"> InputsTS!VHW$184</f>
        <v>0</v>
      </c>
      <c r="VHX77" s="223">
        <f xml:space="preserve"> InputsTS!VHX$184</f>
        <v>0</v>
      </c>
      <c r="VHY77" s="223">
        <f xml:space="preserve"> InputsTS!VHY$184</f>
        <v>0</v>
      </c>
      <c r="VHZ77" s="223">
        <f xml:space="preserve"> InputsTS!VHZ$184</f>
        <v>0</v>
      </c>
      <c r="VIA77" s="223">
        <f xml:space="preserve"> InputsTS!VIA$184</f>
        <v>0</v>
      </c>
      <c r="VIB77" s="223">
        <f xml:space="preserve"> InputsTS!VIB$184</f>
        <v>0</v>
      </c>
      <c r="VIC77" s="223">
        <f xml:space="preserve"> InputsTS!VIC$184</f>
        <v>0</v>
      </c>
      <c r="VID77" s="223">
        <f xml:space="preserve"> InputsTS!VID$184</f>
        <v>0</v>
      </c>
      <c r="VIE77" s="223">
        <f xml:space="preserve"> InputsTS!VIE$184</f>
        <v>0</v>
      </c>
      <c r="VIF77" s="223">
        <f xml:space="preserve"> InputsTS!VIF$184</f>
        <v>0</v>
      </c>
      <c r="VIG77" s="223">
        <f xml:space="preserve"> InputsTS!VIG$184</f>
        <v>0</v>
      </c>
      <c r="VIH77" s="223">
        <f xml:space="preserve"> InputsTS!VIH$184</f>
        <v>0</v>
      </c>
      <c r="VII77" s="223">
        <f xml:space="preserve"> InputsTS!VII$184</f>
        <v>0</v>
      </c>
      <c r="VIJ77" s="223">
        <f xml:space="preserve"> InputsTS!VIJ$184</f>
        <v>0</v>
      </c>
      <c r="VIK77" s="223">
        <f xml:space="preserve"> InputsTS!VIK$184</f>
        <v>0</v>
      </c>
      <c r="VIL77" s="223">
        <f xml:space="preserve"> InputsTS!VIL$184</f>
        <v>0</v>
      </c>
      <c r="VIM77" s="223">
        <f xml:space="preserve"> InputsTS!VIM$184</f>
        <v>0</v>
      </c>
      <c r="VIN77" s="223">
        <f xml:space="preserve"> InputsTS!VIN$184</f>
        <v>0</v>
      </c>
      <c r="VIO77" s="223">
        <f xml:space="preserve"> InputsTS!VIO$184</f>
        <v>0</v>
      </c>
      <c r="VIP77" s="223">
        <f xml:space="preserve"> InputsTS!VIP$184</f>
        <v>0</v>
      </c>
      <c r="VIQ77" s="223">
        <f xml:space="preserve"> InputsTS!VIQ$184</f>
        <v>0</v>
      </c>
      <c r="VIR77" s="223">
        <f xml:space="preserve"> InputsTS!VIR$184</f>
        <v>0</v>
      </c>
      <c r="VIS77" s="223">
        <f xml:space="preserve"> InputsTS!VIS$184</f>
        <v>0</v>
      </c>
      <c r="VIT77" s="223">
        <f xml:space="preserve"> InputsTS!VIT$184</f>
        <v>0</v>
      </c>
      <c r="VIU77" s="223">
        <f xml:space="preserve"> InputsTS!VIU$184</f>
        <v>0</v>
      </c>
      <c r="VIV77" s="223">
        <f xml:space="preserve"> InputsTS!VIV$184</f>
        <v>0</v>
      </c>
      <c r="VIW77" s="223">
        <f xml:space="preserve"> InputsTS!VIW$184</f>
        <v>0</v>
      </c>
      <c r="VIX77" s="223">
        <f xml:space="preserve"> InputsTS!VIX$184</f>
        <v>0</v>
      </c>
      <c r="VIY77" s="223">
        <f xml:space="preserve"> InputsTS!VIY$184</f>
        <v>0</v>
      </c>
      <c r="VIZ77" s="223">
        <f xml:space="preserve"> InputsTS!VIZ$184</f>
        <v>0</v>
      </c>
      <c r="VJA77" s="223">
        <f xml:space="preserve"> InputsTS!VJA$184</f>
        <v>0</v>
      </c>
      <c r="VJB77" s="223">
        <f xml:space="preserve"> InputsTS!VJB$184</f>
        <v>0</v>
      </c>
      <c r="VJC77" s="223">
        <f xml:space="preserve"> InputsTS!VJC$184</f>
        <v>0</v>
      </c>
      <c r="VJD77" s="223">
        <f xml:space="preserve"> InputsTS!VJD$184</f>
        <v>0</v>
      </c>
      <c r="VJE77" s="223">
        <f xml:space="preserve"> InputsTS!VJE$184</f>
        <v>0</v>
      </c>
      <c r="VJF77" s="223">
        <f xml:space="preserve"> InputsTS!VJF$184</f>
        <v>0</v>
      </c>
      <c r="VJG77" s="223">
        <f xml:space="preserve"> InputsTS!VJG$184</f>
        <v>0</v>
      </c>
      <c r="VJH77" s="223">
        <f xml:space="preserve"> InputsTS!VJH$184</f>
        <v>0</v>
      </c>
      <c r="VJI77" s="223">
        <f xml:space="preserve"> InputsTS!VJI$184</f>
        <v>0</v>
      </c>
      <c r="VJJ77" s="223">
        <f xml:space="preserve"> InputsTS!VJJ$184</f>
        <v>0</v>
      </c>
      <c r="VJK77" s="223">
        <f xml:space="preserve"> InputsTS!VJK$184</f>
        <v>0</v>
      </c>
      <c r="VJL77" s="223">
        <f xml:space="preserve"> InputsTS!VJL$184</f>
        <v>0</v>
      </c>
      <c r="VJM77" s="223">
        <f xml:space="preserve"> InputsTS!VJM$184</f>
        <v>0</v>
      </c>
      <c r="VJN77" s="223">
        <f xml:space="preserve"> InputsTS!VJN$184</f>
        <v>0</v>
      </c>
      <c r="VJO77" s="223">
        <f xml:space="preserve"> InputsTS!VJO$184</f>
        <v>0</v>
      </c>
      <c r="VJP77" s="223">
        <f xml:space="preserve"> InputsTS!VJP$184</f>
        <v>0</v>
      </c>
      <c r="VJQ77" s="223">
        <f xml:space="preserve"> InputsTS!VJQ$184</f>
        <v>0</v>
      </c>
      <c r="VJR77" s="223">
        <f xml:space="preserve"> InputsTS!VJR$184</f>
        <v>0</v>
      </c>
      <c r="VJS77" s="223">
        <f xml:space="preserve"> InputsTS!VJS$184</f>
        <v>0</v>
      </c>
      <c r="VJT77" s="223">
        <f xml:space="preserve"> InputsTS!VJT$184</f>
        <v>0</v>
      </c>
      <c r="VJU77" s="223">
        <f xml:space="preserve"> InputsTS!VJU$184</f>
        <v>0</v>
      </c>
      <c r="VJV77" s="223">
        <f xml:space="preserve"> InputsTS!VJV$184</f>
        <v>0</v>
      </c>
      <c r="VJW77" s="223">
        <f xml:space="preserve"> InputsTS!VJW$184</f>
        <v>0</v>
      </c>
      <c r="VJX77" s="223">
        <f xml:space="preserve"> InputsTS!VJX$184</f>
        <v>0</v>
      </c>
      <c r="VJY77" s="223">
        <f xml:space="preserve"> InputsTS!VJY$184</f>
        <v>0</v>
      </c>
      <c r="VJZ77" s="223">
        <f xml:space="preserve"> InputsTS!VJZ$184</f>
        <v>0</v>
      </c>
      <c r="VKA77" s="223">
        <f xml:space="preserve"> InputsTS!VKA$184</f>
        <v>0</v>
      </c>
      <c r="VKB77" s="223">
        <f xml:space="preserve"> InputsTS!VKB$184</f>
        <v>0</v>
      </c>
      <c r="VKC77" s="223">
        <f xml:space="preserve"> InputsTS!VKC$184</f>
        <v>0</v>
      </c>
      <c r="VKD77" s="223">
        <f xml:space="preserve"> InputsTS!VKD$184</f>
        <v>0</v>
      </c>
      <c r="VKE77" s="223">
        <f xml:space="preserve"> InputsTS!VKE$184</f>
        <v>0</v>
      </c>
      <c r="VKF77" s="223">
        <f xml:space="preserve"> InputsTS!VKF$184</f>
        <v>0</v>
      </c>
      <c r="VKG77" s="223">
        <f xml:space="preserve"> InputsTS!VKG$184</f>
        <v>0</v>
      </c>
      <c r="VKH77" s="223">
        <f xml:space="preserve"> InputsTS!VKH$184</f>
        <v>0</v>
      </c>
      <c r="VKI77" s="223">
        <f xml:space="preserve"> InputsTS!VKI$184</f>
        <v>0</v>
      </c>
      <c r="VKJ77" s="223">
        <f xml:space="preserve"> InputsTS!VKJ$184</f>
        <v>0</v>
      </c>
      <c r="VKK77" s="223">
        <f xml:space="preserve"> InputsTS!VKK$184</f>
        <v>0</v>
      </c>
      <c r="VKL77" s="223">
        <f xml:space="preserve"> InputsTS!VKL$184</f>
        <v>0</v>
      </c>
      <c r="VKM77" s="223">
        <f xml:space="preserve"> InputsTS!VKM$184</f>
        <v>0</v>
      </c>
      <c r="VKN77" s="223">
        <f xml:space="preserve"> InputsTS!VKN$184</f>
        <v>0</v>
      </c>
      <c r="VKO77" s="223">
        <f xml:space="preserve"> InputsTS!VKO$184</f>
        <v>0</v>
      </c>
      <c r="VKP77" s="223">
        <f xml:space="preserve"> InputsTS!VKP$184</f>
        <v>0</v>
      </c>
      <c r="VKQ77" s="223">
        <f xml:space="preserve"> InputsTS!VKQ$184</f>
        <v>0</v>
      </c>
      <c r="VKR77" s="223">
        <f xml:space="preserve"> InputsTS!VKR$184</f>
        <v>0</v>
      </c>
      <c r="VKS77" s="223">
        <f xml:space="preserve"> InputsTS!VKS$184</f>
        <v>0</v>
      </c>
      <c r="VKT77" s="223">
        <f xml:space="preserve"> InputsTS!VKT$184</f>
        <v>0</v>
      </c>
      <c r="VKU77" s="223">
        <f xml:space="preserve"> InputsTS!VKU$184</f>
        <v>0</v>
      </c>
      <c r="VKV77" s="223">
        <f xml:space="preserve"> InputsTS!VKV$184</f>
        <v>0</v>
      </c>
      <c r="VKW77" s="223">
        <f xml:space="preserve"> InputsTS!VKW$184</f>
        <v>0</v>
      </c>
      <c r="VKX77" s="223">
        <f xml:space="preserve"> InputsTS!VKX$184</f>
        <v>0</v>
      </c>
      <c r="VKY77" s="223">
        <f xml:space="preserve"> InputsTS!VKY$184</f>
        <v>0</v>
      </c>
      <c r="VKZ77" s="223">
        <f xml:space="preserve"> InputsTS!VKZ$184</f>
        <v>0</v>
      </c>
      <c r="VLA77" s="223">
        <f xml:space="preserve"> InputsTS!VLA$184</f>
        <v>0</v>
      </c>
      <c r="VLB77" s="223">
        <f xml:space="preserve"> InputsTS!VLB$184</f>
        <v>0</v>
      </c>
      <c r="VLC77" s="223">
        <f xml:space="preserve"> InputsTS!VLC$184</f>
        <v>0</v>
      </c>
      <c r="VLD77" s="223">
        <f xml:space="preserve"> InputsTS!VLD$184</f>
        <v>0</v>
      </c>
      <c r="VLE77" s="223">
        <f xml:space="preserve"> InputsTS!VLE$184</f>
        <v>0</v>
      </c>
      <c r="VLF77" s="223">
        <f xml:space="preserve"> InputsTS!VLF$184</f>
        <v>0</v>
      </c>
      <c r="VLG77" s="223">
        <f xml:space="preserve"> InputsTS!VLG$184</f>
        <v>0</v>
      </c>
      <c r="VLH77" s="223">
        <f xml:space="preserve"> InputsTS!VLH$184</f>
        <v>0</v>
      </c>
      <c r="VLI77" s="223">
        <f xml:space="preserve"> InputsTS!VLI$184</f>
        <v>0</v>
      </c>
      <c r="VLJ77" s="223">
        <f xml:space="preserve"> InputsTS!VLJ$184</f>
        <v>0</v>
      </c>
      <c r="VLK77" s="223">
        <f xml:space="preserve"> InputsTS!VLK$184</f>
        <v>0</v>
      </c>
      <c r="VLL77" s="223">
        <f xml:space="preserve"> InputsTS!VLL$184</f>
        <v>0</v>
      </c>
      <c r="VLM77" s="223">
        <f xml:space="preserve"> InputsTS!VLM$184</f>
        <v>0</v>
      </c>
      <c r="VLN77" s="223">
        <f xml:space="preserve"> InputsTS!VLN$184</f>
        <v>0</v>
      </c>
      <c r="VLO77" s="223">
        <f xml:space="preserve"> InputsTS!VLO$184</f>
        <v>0</v>
      </c>
      <c r="VLP77" s="223">
        <f xml:space="preserve"> InputsTS!VLP$184</f>
        <v>0</v>
      </c>
      <c r="VLQ77" s="223">
        <f xml:space="preserve"> InputsTS!VLQ$184</f>
        <v>0</v>
      </c>
      <c r="VLR77" s="223">
        <f xml:space="preserve"> InputsTS!VLR$184</f>
        <v>0</v>
      </c>
      <c r="VLS77" s="223">
        <f xml:space="preserve"> InputsTS!VLS$184</f>
        <v>0</v>
      </c>
      <c r="VLT77" s="223">
        <f xml:space="preserve"> InputsTS!VLT$184</f>
        <v>0</v>
      </c>
      <c r="VLU77" s="223">
        <f xml:space="preserve"> InputsTS!VLU$184</f>
        <v>0</v>
      </c>
      <c r="VLV77" s="223">
        <f xml:space="preserve"> InputsTS!VLV$184</f>
        <v>0</v>
      </c>
      <c r="VLW77" s="223">
        <f xml:space="preserve"> InputsTS!VLW$184</f>
        <v>0</v>
      </c>
      <c r="VLX77" s="223">
        <f xml:space="preserve"> InputsTS!VLX$184</f>
        <v>0</v>
      </c>
      <c r="VLY77" s="223">
        <f xml:space="preserve"> InputsTS!VLY$184</f>
        <v>0</v>
      </c>
      <c r="VLZ77" s="223">
        <f xml:space="preserve"> InputsTS!VLZ$184</f>
        <v>0</v>
      </c>
      <c r="VMA77" s="223">
        <f xml:space="preserve"> InputsTS!VMA$184</f>
        <v>0</v>
      </c>
      <c r="VMB77" s="223">
        <f xml:space="preserve"> InputsTS!VMB$184</f>
        <v>0</v>
      </c>
      <c r="VMC77" s="223">
        <f xml:space="preserve"> InputsTS!VMC$184</f>
        <v>0</v>
      </c>
      <c r="VMD77" s="223">
        <f xml:space="preserve"> InputsTS!VMD$184</f>
        <v>0</v>
      </c>
      <c r="VME77" s="223">
        <f xml:space="preserve"> InputsTS!VME$184</f>
        <v>0</v>
      </c>
      <c r="VMF77" s="223">
        <f xml:space="preserve"> InputsTS!VMF$184</f>
        <v>0</v>
      </c>
      <c r="VMG77" s="223">
        <f xml:space="preserve"> InputsTS!VMG$184</f>
        <v>0</v>
      </c>
      <c r="VMH77" s="223">
        <f xml:space="preserve"> InputsTS!VMH$184</f>
        <v>0</v>
      </c>
      <c r="VMI77" s="223">
        <f xml:space="preserve"> InputsTS!VMI$184</f>
        <v>0</v>
      </c>
      <c r="VMJ77" s="223">
        <f xml:space="preserve"> InputsTS!VMJ$184</f>
        <v>0</v>
      </c>
      <c r="VMK77" s="223">
        <f xml:space="preserve"> InputsTS!VMK$184</f>
        <v>0</v>
      </c>
      <c r="VML77" s="223">
        <f xml:space="preserve"> InputsTS!VML$184</f>
        <v>0</v>
      </c>
      <c r="VMM77" s="223">
        <f xml:space="preserve"> InputsTS!VMM$184</f>
        <v>0</v>
      </c>
      <c r="VMN77" s="223">
        <f xml:space="preserve"> InputsTS!VMN$184</f>
        <v>0</v>
      </c>
      <c r="VMO77" s="223">
        <f xml:space="preserve"> InputsTS!VMO$184</f>
        <v>0</v>
      </c>
      <c r="VMP77" s="223">
        <f xml:space="preserve"> InputsTS!VMP$184</f>
        <v>0</v>
      </c>
      <c r="VMQ77" s="223">
        <f xml:space="preserve"> InputsTS!VMQ$184</f>
        <v>0</v>
      </c>
      <c r="VMR77" s="223">
        <f xml:space="preserve"> InputsTS!VMR$184</f>
        <v>0</v>
      </c>
      <c r="VMS77" s="223">
        <f xml:space="preserve"> InputsTS!VMS$184</f>
        <v>0</v>
      </c>
      <c r="VMT77" s="223">
        <f xml:space="preserve"> InputsTS!VMT$184</f>
        <v>0</v>
      </c>
      <c r="VMU77" s="223">
        <f xml:space="preserve"> InputsTS!VMU$184</f>
        <v>0</v>
      </c>
      <c r="VMV77" s="223">
        <f xml:space="preserve"> InputsTS!VMV$184</f>
        <v>0</v>
      </c>
      <c r="VMW77" s="223">
        <f xml:space="preserve"> InputsTS!VMW$184</f>
        <v>0</v>
      </c>
      <c r="VMX77" s="223">
        <f xml:space="preserve"> InputsTS!VMX$184</f>
        <v>0</v>
      </c>
      <c r="VMY77" s="223">
        <f xml:space="preserve"> InputsTS!VMY$184</f>
        <v>0</v>
      </c>
      <c r="VMZ77" s="223">
        <f xml:space="preserve"> InputsTS!VMZ$184</f>
        <v>0</v>
      </c>
      <c r="VNA77" s="223">
        <f xml:space="preserve"> InputsTS!VNA$184</f>
        <v>0</v>
      </c>
      <c r="VNB77" s="223">
        <f xml:space="preserve"> InputsTS!VNB$184</f>
        <v>0</v>
      </c>
      <c r="VNC77" s="223">
        <f xml:space="preserve"> InputsTS!VNC$184</f>
        <v>0</v>
      </c>
      <c r="VND77" s="223">
        <f xml:space="preserve"> InputsTS!VND$184</f>
        <v>0</v>
      </c>
      <c r="VNE77" s="223">
        <f xml:space="preserve"> InputsTS!VNE$184</f>
        <v>0</v>
      </c>
      <c r="VNF77" s="223">
        <f xml:space="preserve"> InputsTS!VNF$184</f>
        <v>0</v>
      </c>
      <c r="VNG77" s="223">
        <f xml:space="preserve"> InputsTS!VNG$184</f>
        <v>0</v>
      </c>
      <c r="VNH77" s="223">
        <f xml:space="preserve"> InputsTS!VNH$184</f>
        <v>0</v>
      </c>
      <c r="VNI77" s="223">
        <f xml:space="preserve"> InputsTS!VNI$184</f>
        <v>0</v>
      </c>
      <c r="VNJ77" s="223">
        <f xml:space="preserve"> InputsTS!VNJ$184</f>
        <v>0</v>
      </c>
      <c r="VNK77" s="223">
        <f xml:space="preserve"> InputsTS!VNK$184</f>
        <v>0</v>
      </c>
      <c r="VNL77" s="223">
        <f xml:space="preserve"> InputsTS!VNL$184</f>
        <v>0</v>
      </c>
      <c r="VNM77" s="223">
        <f xml:space="preserve"> InputsTS!VNM$184</f>
        <v>0</v>
      </c>
      <c r="VNN77" s="223">
        <f xml:space="preserve"> InputsTS!VNN$184</f>
        <v>0</v>
      </c>
      <c r="VNO77" s="223">
        <f xml:space="preserve"> InputsTS!VNO$184</f>
        <v>0</v>
      </c>
      <c r="VNP77" s="223">
        <f xml:space="preserve"> InputsTS!VNP$184</f>
        <v>0</v>
      </c>
      <c r="VNQ77" s="223">
        <f xml:space="preserve"> InputsTS!VNQ$184</f>
        <v>0</v>
      </c>
      <c r="VNR77" s="223">
        <f xml:space="preserve"> InputsTS!VNR$184</f>
        <v>0</v>
      </c>
      <c r="VNS77" s="223">
        <f xml:space="preserve"> InputsTS!VNS$184</f>
        <v>0</v>
      </c>
      <c r="VNT77" s="223">
        <f xml:space="preserve"> InputsTS!VNT$184</f>
        <v>0</v>
      </c>
      <c r="VNU77" s="223">
        <f xml:space="preserve"> InputsTS!VNU$184</f>
        <v>0</v>
      </c>
      <c r="VNV77" s="223">
        <f xml:space="preserve"> InputsTS!VNV$184</f>
        <v>0</v>
      </c>
      <c r="VNW77" s="223">
        <f xml:space="preserve"> InputsTS!VNW$184</f>
        <v>0</v>
      </c>
      <c r="VNX77" s="223">
        <f xml:space="preserve"> InputsTS!VNX$184</f>
        <v>0</v>
      </c>
      <c r="VNY77" s="223">
        <f xml:space="preserve"> InputsTS!VNY$184</f>
        <v>0</v>
      </c>
      <c r="VNZ77" s="223">
        <f xml:space="preserve"> InputsTS!VNZ$184</f>
        <v>0</v>
      </c>
      <c r="VOA77" s="223">
        <f xml:space="preserve"> InputsTS!VOA$184</f>
        <v>0</v>
      </c>
      <c r="VOB77" s="223">
        <f xml:space="preserve"> InputsTS!VOB$184</f>
        <v>0</v>
      </c>
      <c r="VOC77" s="223">
        <f xml:space="preserve"> InputsTS!VOC$184</f>
        <v>0</v>
      </c>
      <c r="VOD77" s="223">
        <f xml:space="preserve"> InputsTS!VOD$184</f>
        <v>0</v>
      </c>
      <c r="VOE77" s="223">
        <f xml:space="preserve"> InputsTS!VOE$184</f>
        <v>0</v>
      </c>
      <c r="VOF77" s="223">
        <f xml:space="preserve"> InputsTS!VOF$184</f>
        <v>0</v>
      </c>
      <c r="VOG77" s="223">
        <f xml:space="preserve"> InputsTS!VOG$184</f>
        <v>0</v>
      </c>
      <c r="VOH77" s="223">
        <f xml:space="preserve"> InputsTS!VOH$184</f>
        <v>0</v>
      </c>
      <c r="VOI77" s="223">
        <f xml:space="preserve"> InputsTS!VOI$184</f>
        <v>0</v>
      </c>
      <c r="VOJ77" s="223">
        <f xml:space="preserve"> InputsTS!VOJ$184</f>
        <v>0</v>
      </c>
      <c r="VOK77" s="223">
        <f xml:space="preserve"> InputsTS!VOK$184</f>
        <v>0</v>
      </c>
      <c r="VOL77" s="223">
        <f xml:space="preserve"> InputsTS!VOL$184</f>
        <v>0</v>
      </c>
      <c r="VOM77" s="223">
        <f xml:space="preserve"> InputsTS!VOM$184</f>
        <v>0</v>
      </c>
      <c r="VON77" s="223">
        <f xml:space="preserve"> InputsTS!VON$184</f>
        <v>0</v>
      </c>
      <c r="VOO77" s="223">
        <f xml:space="preserve"> InputsTS!VOO$184</f>
        <v>0</v>
      </c>
      <c r="VOP77" s="223">
        <f xml:space="preserve"> InputsTS!VOP$184</f>
        <v>0</v>
      </c>
      <c r="VOQ77" s="223">
        <f xml:space="preserve"> InputsTS!VOQ$184</f>
        <v>0</v>
      </c>
      <c r="VOR77" s="223">
        <f xml:space="preserve"> InputsTS!VOR$184</f>
        <v>0</v>
      </c>
      <c r="VOS77" s="223">
        <f xml:space="preserve"> InputsTS!VOS$184</f>
        <v>0</v>
      </c>
      <c r="VOT77" s="223">
        <f xml:space="preserve"> InputsTS!VOT$184</f>
        <v>0</v>
      </c>
      <c r="VOU77" s="223">
        <f xml:space="preserve"> InputsTS!VOU$184</f>
        <v>0</v>
      </c>
      <c r="VOV77" s="223">
        <f xml:space="preserve"> InputsTS!VOV$184</f>
        <v>0</v>
      </c>
      <c r="VOW77" s="223">
        <f xml:space="preserve"> InputsTS!VOW$184</f>
        <v>0</v>
      </c>
      <c r="VOX77" s="223">
        <f xml:space="preserve"> InputsTS!VOX$184</f>
        <v>0</v>
      </c>
      <c r="VOY77" s="223">
        <f xml:space="preserve"> InputsTS!VOY$184</f>
        <v>0</v>
      </c>
      <c r="VOZ77" s="223">
        <f xml:space="preserve"> InputsTS!VOZ$184</f>
        <v>0</v>
      </c>
      <c r="VPA77" s="223">
        <f xml:space="preserve"> InputsTS!VPA$184</f>
        <v>0</v>
      </c>
      <c r="VPB77" s="223">
        <f xml:space="preserve"> InputsTS!VPB$184</f>
        <v>0</v>
      </c>
      <c r="VPC77" s="223">
        <f xml:space="preserve"> InputsTS!VPC$184</f>
        <v>0</v>
      </c>
      <c r="VPD77" s="223">
        <f xml:space="preserve"> InputsTS!VPD$184</f>
        <v>0</v>
      </c>
      <c r="VPE77" s="223">
        <f xml:space="preserve"> InputsTS!VPE$184</f>
        <v>0</v>
      </c>
      <c r="VPF77" s="223">
        <f xml:space="preserve"> InputsTS!VPF$184</f>
        <v>0</v>
      </c>
      <c r="VPG77" s="223">
        <f xml:space="preserve"> InputsTS!VPG$184</f>
        <v>0</v>
      </c>
      <c r="VPH77" s="223">
        <f xml:space="preserve"> InputsTS!VPH$184</f>
        <v>0</v>
      </c>
      <c r="VPI77" s="223">
        <f xml:space="preserve"> InputsTS!VPI$184</f>
        <v>0</v>
      </c>
      <c r="VPJ77" s="223">
        <f xml:space="preserve"> InputsTS!VPJ$184</f>
        <v>0</v>
      </c>
      <c r="VPK77" s="223">
        <f xml:space="preserve"> InputsTS!VPK$184</f>
        <v>0</v>
      </c>
      <c r="VPL77" s="223">
        <f xml:space="preserve"> InputsTS!VPL$184</f>
        <v>0</v>
      </c>
      <c r="VPM77" s="223">
        <f xml:space="preserve"> InputsTS!VPM$184</f>
        <v>0</v>
      </c>
      <c r="VPN77" s="223">
        <f xml:space="preserve"> InputsTS!VPN$184</f>
        <v>0</v>
      </c>
      <c r="VPO77" s="223">
        <f xml:space="preserve"> InputsTS!VPO$184</f>
        <v>0</v>
      </c>
      <c r="VPP77" s="223">
        <f xml:space="preserve"> InputsTS!VPP$184</f>
        <v>0</v>
      </c>
      <c r="VPQ77" s="223">
        <f xml:space="preserve"> InputsTS!VPQ$184</f>
        <v>0</v>
      </c>
      <c r="VPR77" s="223">
        <f xml:space="preserve"> InputsTS!VPR$184</f>
        <v>0</v>
      </c>
      <c r="VPS77" s="223">
        <f xml:space="preserve"> InputsTS!VPS$184</f>
        <v>0</v>
      </c>
      <c r="VPT77" s="223">
        <f xml:space="preserve"> InputsTS!VPT$184</f>
        <v>0</v>
      </c>
      <c r="VPU77" s="223">
        <f xml:space="preserve"> InputsTS!VPU$184</f>
        <v>0</v>
      </c>
      <c r="VPV77" s="223">
        <f xml:space="preserve"> InputsTS!VPV$184</f>
        <v>0</v>
      </c>
      <c r="VPW77" s="223">
        <f xml:space="preserve"> InputsTS!VPW$184</f>
        <v>0</v>
      </c>
      <c r="VPX77" s="223">
        <f xml:space="preserve"> InputsTS!VPX$184</f>
        <v>0</v>
      </c>
      <c r="VPY77" s="223">
        <f xml:space="preserve"> InputsTS!VPY$184</f>
        <v>0</v>
      </c>
      <c r="VPZ77" s="223">
        <f xml:space="preserve"> InputsTS!VPZ$184</f>
        <v>0</v>
      </c>
      <c r="VQA77" s="223">
        <f xml:space="preserve"> InputsTS!VQA$184</f>
        <v>0</v>
      </c>
      <c r="VQB77" s="223">
        <f xml:space="preserve"> InputsTS!VQB$184</f>
        <v>0</v>
      </c>
      <c r="VQC77" s="223">
        <f xml:space="preserve"> InputsTS!VQC$184</f>
        <v>0</v>
      </c>
      <c r="VQD77" s="223">
        <f xml:space="preserve"> InputsTS!VQD$184</f>
        <v>0</v>
      </c>
      <c r="VQE77" s="223">
        <f xml:space="preserve"> InputsTS!VQE$184</f>
        <v>0</v>
      </c>
      <c r="VQF77" s="223">
        <f xml:space="preserve"> InputsTS!VQF$184</f>
        <v>0</v>
      </c>
      <c r="VQG77" s="223">
        <f xml:space="preserve"> InputsTS!VQG$184</f>
        <v>0</v>
      </c>
      <c r="VQH77" s="223">
        <f xml:space="preserve"> InputsTS!VQH$184</f>
        <v>0</v>
      </c>
      <c r="VQI77" s="223">
        <f xml:space="preserve"> InputsTS!VQI$184</f>
        <v>0</v>
      </c>
      <c r="VQJ77" s="223">
        <f xml:space="preserve"> InputsTS!VQJ$184</f>
        <v>0</v>
      </c>
      <c r="VQK77" s="223">
        <f xml:space="preserve"> InputsTS!VQK$184</f>
        <v>0</v>
      </c>
      <c r="VQL77" s="223">
        <f xml:space="preserve"> InputsTS!VQL$184</f>
        <v>0</v>
      </c>
      <c r="VQM77" s="223">
        <f xml:space="preserve"> InputsTS!VQM$184</f>
        <v>0</v>
      </c>
      <c r="VQN77" s="223">
        <f xml:space="preserve"> InputsTS!VQN$184</f>
        <v>0</v>
      </c>
      <c r="VQO77" s="223">
        <f xml:space="preserve"> InputsTS!VQO$184</f>
        <v>0</v>
      </c>
      <c r="VQP77" s="223">
        <f xml:space="preserve"> InputsTS!VQP$184</f>
        <v>0</v>
      </c>
      <c r="VQQ77" s="223">
        <f xml:space="preserve"> InputsTS!VQQ$184</f>
        <v>0</v>
      </c>
      <c r="VQR77" s="223">
        <f xml:space="preserve"> InputsTS!VQR$184</f>
        <v>0</v>
      </c>
      <c r="VQS77" s="223">
        <f xml:space="preserve"> InputsTS!VQS$184</f>
        <v>0</v>
      </c>
      <c r="VQT77" s="223">
        <f xml:space="preserve"> InputsTS!VQT$184</f>
        <v>0</v>
      </c>
      <c r="VQU77" s="223">
        <f xml:space="preserve"> InputsTS!VQU$184</f>
        <v>0</v>
      </c>
      <c r="VQV77" s="223">
        <f xml:space="preserve"> InputsTS!VQV$184</f>
        <v>0</v>
      </c>
      <c r="VQW77" s="223">
        <f xml:space="preserve"> InputsTS!VQW$184</f>
        <v>0</v>
      </c>
      <c r="VQX77" s="223">
        <f xml:space="preserve"> InputsTS!VQX$184</f>
        <v>0</v>
      </c>
      <c r="VQY77" s="223">
        <f xml:space="preserve"> InputsTS!VQY$184</f>
        <v>0</v>
      </c>
      <c r="VQZ77" s="223">
        <f xml:space="preserve"> InputsTS!VQZ$184</f>
        <v>0</v>
      </c>
      <c r="VRA77" s="223">
        <f xml:space="preserve"> InputsTS!VRA$184</f>
        <v>0</v>
      </c>
      <c r="VRB77" s="223">
        <f xml:space="preserve"> InputsTS!VRB$184</f>
        <v>0</v>
      </c>
      <c r="VRC77" s="223">
        <f xml:space="preserve"> InputsTS!VRC$184</f>
        <v>0</v>
      </c>
      <c r="VRD77" s="223">
        <f xml:space="preserve"> InputsTS!VRD$184</f>
        <v>0</v>
      </c>
      <c r="VRE77" s="223">
        <f xml:space="preserve"> InputsTS!VRE$184</f>
        <v>0</v>
      </c>
      <c r="VRF77" s="223">
        <f xml:space="preserve"> InputsTS!VRF$184</f>
        <v>0</v>
      </c>
      <c r="VRG77" s="223">
        <f xml:space="preserve"> InputsTS!VRG$184</f>
        <v>0</v>
      </c>
      <c r="VRH77" s="223">
        <f xml:space="preserve"> InputsTS!VRH$184</f>
        <v>0</v>
      </c>
      <c r="VRI77" s="223">
        <f xml:space="preserve"> InputsTS!VRI$184</f>
        <v>0</v>
      </c>
      <c r="VRJ77" s="223">
        <f xml:space="preserve"> InputsTS!VRJ$184</f>
        <v>0</v>
      </c>
      <c r="VRK77" s="223">
        <f xml:space="preserve"> InputsTS!VRK$184</f>
        <v>0</v>
      </c>
      <c r="VRL77" s="223">
        <f xml:space="preserve"> InputsTS!VRL$184</f>
        <v>0</v>
      </c>
      <c r="VRM77" s="223">
        <f xml:space="preserve"> InputsTS!VRM$184</f>
        <v>0</v>
      </c>
      <c r="VRN77" s="223">
        <f xml:space="preserve"> InputsTS!VRN$184</f>
        <v>0</v>
      </c>
      <c r="VRO77" s="223">
        <f xml:space="preserve"> InputsTS!VRO$184</f>
        <v>0</v>
      </c>
      <c r="VRP77" s="223">
        <f xml:space="preserve"> InputsTS!VRP$184</f>
        <v>0</v>
      </c>
      <c r="VRQ77" s="223">
        <f xml:space="preserve"> InputsTS!VRQ$184</f>
        <v>0</v>
      </c>
      <c r="VRR77" s="223">
        <f xml:space="preserve"> InputsTS!VRR$184</f>
        <v>0</v>
      </c>
      <c r="VRS77" s="223">
        <f xml:space="preserve"> InputsTS!VRS$184</f>
        <v>0</v>
      </c>
      <c r="VRT77" s="223">
        <f xml:space="preserve"> InputsTS!VRT$184</f>
        <v>0</v>
      </c>
      <c r="VRU77" s="223">
        <f xml:space="preserve"> InputsTS!VRU$184</f>
        <v>0</v>
      </c>
      <c r="VRV77" s="223">
        <f xml:space="preserve"> InputsTS!VRV$184</f>
        <v>0</v>
      </c>
      <c r="VRW77" s="223">
        <f xml:space="preserve"> InputsTS!VRW$184</f>
        <v>0</v>
      </c>
      <c r="VRX77" s="223">
        <f xml:space="preserve"> InputsTS!VRX$184</f>
        <v>0</v>
      </c>
      <c r="VRY77" s="223">
        <f xml:space="preserve"> InputsTS!VRY$184</f>
        <v>0</v>
      </c>
      <c r="VRZ77" s="223">
        <f xml:space="preserve"> InputsTS!VRZ$184</f>
        <v>0</v>
      </c>
      <c r="VSA77" s="223">
        <f xml:space="preserve"> InputsTS!VSA$184</f>
        <v>0</v>
      </c>
      <c r="VSB77" s="223">
        <f xml:space="preserve"> InputsTS!VSB$184</f>
        <v>0</v>
      </c>
      <c r="VSC77" s="223">
        <f xml:space="preserve"> InputsTS!VSC$184</f>
        <v>0</v>
      </c>
      <c r="VSD77" s="223">
        <f xml:space="preserve"> InputsTS!VSD$184</f>
        <v>0</v>
      </c>
      <c r="VSE77" s="223">
        <f xml:space="preserve"> InputsTS!VSE$184</f>
        <v>0</v>
      </c>
      <c r="VSF77" s="223">
        <f xml:space="preserve"> InputsTS!VSF$184</f>
        <v>0</v>
      </c>
      <c r="VSG77" s="223">
        <f xml:space="preserve"> InputsTS!VSG$184</f>
        <v>0</v>
      </c>
      <c r="VSH77" s="223">
        <f xml:space="preserve"> InputsTS!VSH$184</f>
        <v>0</v>
      </c>
      <c r="VSI77" s="223">
        <f xml:space="preserve"> InputsTS!VSI$184</f>
        <v>0</v>
      </c>
      <c r="VSJ77" s="223">
        <f xml:space="preserve"> InputsTS!VSJ$184</f>
        <v>0</v>
      </c>
      <c r="VSK77" s="223">
        <f xml:space="preserve"> InputsTS!VSK$184</f>
        <v>0</v>
      </c>
      <c r="VSL77" s="223">
        <f xml:space="preserve"> InputsTS!VSL$184</f>
        <v>0</v>
      </c>
      <c r="VSM77" s="223">
        <f xml:space="preserve"> InputsTS!VSM$184</f>
        <v>0</v>
      </c>
      <c r="VSN77" s="223">
        <f xml:space="preserve"> InputsTS!VSN$184</f>
        <v>0</v>
      </c>
      <c r="VSO77" s="223">
        <f xml:space="preserve"> InputsTS!VSO$184</f>
        <v>0</v>
      </c>
      <c r="VSP77" s="223">
        <f xml:space="preserve"> InputsTS!VSP$184</f>
        <v>0</v>
      </c>
      <c r="VSQ77" s="223">
        <f xml:space="preserve"> InputsTS!VSQ$184</f>
        <v>0</v>
      </c>
      <c r="VSR77" s="223">
        <f xml:space="preserve"> InputsTS!VSR$184</f>
        <v>0</v>
      </c>
      <c r="VSS77" s="223">
        <f xml:space="preserve"> InputsTS!VSS$184</f>
        <v>0</v>
      </c>
      <c r="VST77" s="223">
        <f xml:space="preserve"> InputsTS!VST$184</f>
        <v>0</v>
      </c>
      <c r="VSU77" s="223">
        <f xml:space="preserve"> InputsTS!VSU$184</f>
        <v>0</v>
      </c>
      <c r="VSV77" s="223">
        <f xml:space="preserve"> InputsTS!VSV$184</f>
        <v>0</v>
      </c>
      <c r="VSW77" s="223">
        <f xml:space="preserve"> InputsTS!VSW$184</f>
        <v>0</v>
      </c>
      <c r="VSX77" s="223">
        <f xml:space="preserve"> InputsTS!VSX$184</f>
        <v>0</v>
      </c>
      <c r="VSY77" s="223">
        <f xml:space="preserve"> InputsTS!VSY$184</f>
        <v>0</v>
      </c>
      <c r="VSZ77" s="223">
        <f xml:space="preserve"> InputsTS!VSZ$184</f>
        <v>0</v>
      </c>
      <c r="VTA77" s="223">
        <f xml:space="preserve"> InputsTS!VTA$184</f>
        <v>0</v>
      </c>
      <c r="VTB77" s="223">
        <f xml:space="preserve"> InputsTS!VTB$184</f>
        <v>0</v>
      </c>
      <c r="VTC77" s="223">
        <f xml:space="preserve"> InputsTS!VTC$184</f>
        <v>0</v>
      </c>
      <c r="VTD77" s="223">
        <f xml:space="preserve"> InputsTS!VTD$184</f>
        <v>0</v>
      </c>
      <c r="VTE77" s="223">
        <f xml:space="preserve"> InputsTS!VTE$184</f>
        <v>0</v>
      </c>
      <c r="VTF77" s="223">
        <f xml:space="preserve"> InputsTS!VTF$184</f>
        <v>0</v>
      </c>
      <c r="VTG77" s="223">
        <f xml:space="preserve"> InputsTS!VTG$184</f>
        <v>0</v>
      </c>
      <c r="VTH77" s="223">
        <f xml:space="preserve"> InputsTS!VTH$184</f>
        <v>0</v>
      </c>
      <c r="VTI77" s="223">
        <f xml:space="preserve"> InputsTS!VTI$184</f>
        <v>0</v>
      </c>
      <c r="VTJ77" s="223">
        <f xml:space="preserve"> InputsTS!VTJ$184</f>
        <v>0</v>
      </c>
      <c r="VTK77" s="223">
        <f xml:space="preserve"> InputsTS!VTK$184</f>
        <v>0</v>
      </c>
      <c r="VTL77" s="223">
        <f xml:space="preserve"> InputsTS!VTL$184</f>
        <v>0</v>
      </c>
      <c r="VTM77" s="223">
        <f xml:space="preserve"> InputsTS!VTM$184</f>
        <v>0</v>
      </c>
      <c r="VTN77" s="223">
        <f xml:space="preserve"> InputsTS!VTN$184</f>
        <v>0</v>
      </c>
      <c r="VTO77" s="223">
        <f xml:space="preserve"> InputsTS!VTO$184</f>
        <v>0</v>
      </c>
      <c r="VTP77" s="223">
        <f xml:space="preserve"> InputsTS!VTP$184</f>
        <v>0</v>
      </c>
      <c r="VTQ77" s="223">
        <f xml:space="preserve"> InputsTS!VTQ$184</f>
        <v>0</v>
      </c>
      <c r="VTR77" s="223">
        <f xml:space="preserve"> InputsTS!VTR$184</f>
        <v>0</v>
      </c>
      <c r="VTS77" s="223">
        <f xml:space="preserve"> InputsTS!VTS$184</f>
        <v>0</v>
      </c>
      <c r="VTT77" s="223">
        <f xml:space="preserve"> InputsTS!VTT$184</f>
        <v>0</v>
      </c>
      <c r="VTU77" s="223">
        <f xml:space="preserve"> InputsTS!VTU$184</f>
        <v>0</v>
      </c>
      <c r="VTV77" s="223">
        <f xml:space="preserve"> InputsTS!VTV$184</f>
        <v>0</v>
      </c>
      <c r="VTW77" s="223">
        <f xml:space="preserve"> InputsTS!VTW$184</f>
        <v>0</v>
      </c>
      <c r="VTX77" s="223">
        <f xml:space="preserve"> InputsTS!VTX$184</f>
        <v>0</v>
      </c>
      <c r="VTY77" s="223">
        <f xml:space="preserve"> InputsTS!VTY$184</f>
        <v>0</v>
      </c>
      <c r="VTZ77" s="223">
        <f xml:space="preserve"> InputsTS!VTZ$184</f>
        <v>0</v>
      </c>
      <c r="VUA77" s="223">
        <f xml:space="preserve"> InputsTS!VUA$184</f>
        <v>0</v>
      </c>
      <c r="VUB77" s="223">
        <f xml:space="preserve"> InputsTS!VUB$184</f>
        <v>0</v>
      </c>
      <c r="VUC77" s="223">
        <f xml:space="preserve"> InputsTS!VUC$184</f>
        <v>0</v>
      </c>
      <c r="VUD77" s="223">
        <f xml:space="preserve"> InputsTS!VUD$184</f>
        <v>0</v>
      </c>
      <c r="VUE77" s="223">
        <f xml:space="preserve"> InputsTS!VUE$184</f>
        <v>0</v>
      </c>
      <c r="VUF77" s="223">
        <f xml:space="preserve"> InputsTS!VUF$184</f>
        <v>0</v>
      </c>
      <c r="VUG77" s="223">
        <f xml:space="preserve"> InputsTS!VUG$184</f>
        <v>0</v>
      </c>
      <c r="VUH77" s="223">
        <f xml:space="preserve"> InputsTS!VUH$184</f>
        <v>0</v>
      </c>
      <c r="VUI77" s="223">
        <f xml:space="preserve"> InputsTS!VUI$184</f>
        <v>0</v>
      </c>
      <c r="VUJ77" s="223">
        <f xml:space="preserve"> InputsTS!VUJ$184</f>
        <v>0</v>
      </c>
      <c r="VUK77" s="223">
        <f xml:space="preserve"> InputsTS!VUK$184</f>
        <v>0</v>
      </c>
      <c r="VUL77" s="223">
        <f xml:space="preserve"> InputsTS!VUL$184</f>
        <v>0</v>
      </c>
      <c r="VUM77" s="223">
        <f xml:space="preserve"> InputsTS!VUM$184</f>
        <v>0</v>
      </c>
      <c r="VUN77" s="223">
        <f xml:space="preserve"> InputsTS!VUN$184</f>
        <v>0</v>
      </c>
      <c r="VUO77" s="223">
        <f xml:space="preserve"> InputsTS!VUO$184</f>
        <v>0</v>
      </c>
      <c r="VUP77" s="223">
        <f xml:space="preserve"> InputsTS!VUP$184</f>
        <v>0</v>
      </c>
      <c r="VUQ77" s="223">
        <f xml:space="preserve"> InputsTS!VUQ$184</f>
        <v>0</v>
      </c>
      <c r="VUR77" s="223">
        <f xml:space="preserve"> InputsTS!VUR$184</f>
        <v>0</v>
      </c>
      <c r="VUS77" s="223">
        <f xml:space="preserve"> InputsTS!VUS$184</f>
        <v>0</v>
      </c>
      <c r="VUT77" s="223">
        <f xml:space="preserve"> InputsTS!VUT$184</f>
        <v>0</v>
      </c>
      <c r="VUU77" s="223">
        <f xml:space="preserve"> InputsTS!VUU$184</f>
        <v>0</v>
      </c>
      <c r="VUV77" s="223">
        <f xml:space="preserve"> InputsTS!VUV$184</f>
        <v>0</v>
      </c>
      <c r="VUW77" s="223">
        <f xml:space="preserve"> InputsTS!VUW$184</f>
        <v>0</v>
      </c>
      <c r="VUX77" s="223">
        <f xml:space="preserve"> InputsTS!VUX$184</f>
        <v>0</v>
      </c>
      <c r="VUY77" s="223">
        <f xml:space="preserve"> InputsTS!VUY$184</f>
        <v>0</v>
      </c>
      <c r="VUZ77" s="223">
        <f xml:space="preserve"> InputsTS!VUZ$184</f>
        <v>0</v>
      </c>
      <c r="VVA77" s="223">
        <f xml:space="preserve"> InputsTS!VVA$184</f>
        <v>0</v>
      </c>
      <c r="VVB77" s="223">
        <f xml:space="preserve"> InputsTS!VVB$184</f>
        <v>0</v>
      </c>
      <c r="VVC77" s="223">
        <f xml:space="preserve"> InputsTS!VVC$184</f>
        <v>0</v>
      </c>
      <c r="VVD77" s="223">
        <f xml:space="preserve"> InputsTS!VVD$184</f>
        <v>0</v>
      </c>
      <c r="VVE77" s="223">
        <f xml:space="preserve"> InputsTS!VVE$184</f>
        <v>0</v>
      </c>
      <c r="VVF77" s="223">
        <f xml:space="preserve"> InputsTS!VVF$184</f>
        <v>0</v>
      </c>
      <c r="VVG77" s="223">
        <f xml:space="preserve"> InputsTS!VVG$184</f>
        <v>0</v>
      </c>
      <c r="VVH77" s="223">
        <f xml:space="preserve"> InputsTS!VVH$184</f>
        <v>0</v>
      </c>
      <c r="VVI77" s="223">
        <f xml:space="preserve"> InputsTS!VVI$184</f>
        <v>0</v>
      </c>
      <c r="VVJ77" s="223">
        <f xml:space="preserve"> InputsTS!VVJ$184</f>
        <v>0</v>
      </c>
      <c r="VVK77" s="223">
        <f xml:space="preserve"> InputsTS!VVK$184</f>
        <v>0</v>
      </c>
      <c r="VVL77" s="223">
        <f xml:space="preserve"> InputsTS!VVL$184</f>
        <v>0</v>
      </c>
      <c r="VVM77" s="223">
        <f xml:space="preserve"> InputsTS!VVM$184</f>
        <v>0</v>
      </c>
      <c r="VVN77" s="223">
        <f xml:space="preserve"> InputsTS!VVN$184</f>
        <v>0</v>
      </c>
      <c r="VVO77" s="223">
        <f xml:space="preserve"> InputsTS!VVO$184</f>
        <v>0</v>
      </c>
      <c r="VVP77" s="223">
        <f xml:space="preserve"> InputsTS!VVP$184</f>
        <v>0</v>
      </c>
      <c r="VVQ77" s="223">
        <f xml:space="preserve"> InputsTS!VVQ$184</f>
        <v>0</v>
      </c>
      <c r="VVR77" s="223">
        <f xml:space="preserve"> InputsTS!VVR$184</f>
        <v>0</v>
      </c>
      <c r="VVS77" s="223">
        <f xml:space="preserve"> InputsTS!VVS$184</f>
        <v>0</v>
      </c>
      <c r="VVT77" s="223">
        <f xml:space="preserve"> InputsTS!VVT$184</f>
        <v>0</v>
      </c>
      <c r="VVU77" s="223">
        <f xml:space="preserve"> InputsTS!VVU$184</f>
        <v>0</v>
      </c>
      <c r="VVV77" s="223">
        <f xml:space="preserve"> InputsTS!VVV$184</f>
        <v>0</v>
      </c>
      <c r="VVW77" s="223">
        <f xml:space="preserve"> InputsTS!VVW$184</f>
        <v>0</v>
      </c>
      <c r="VVX77" s="223">
        <f xml:space="preserve"> InputsTS!VVX$184</f>
        <v>0</v>
      </c>
      <c r="VVY77" s="223">
        <f xml:space="preserve"> InputsTS!VVY$184</f>
        <v>0</v>
      </c>
      <c r="VVZ77" s="223">
        <f xml:space="preserve"> InputsTS!VVZ$184</f>
        <v>0</v>
      </c>
      <c r="VWA77" s="223">
        <f xml:space="preserve"> InputsTS!VWA$184</f>
        <v>0</v>
      </c>
      <c r="VWB77" s="223">
        <f xml:space="preserve"> InputsTS!VWB$184</f>
        <v>0</v>
      </c>
      <c r="VWC77" s="223">
        <f xml:space="preserve"> InputsTS!VWC$184</f>
        <v>0</v>
      </c>
      <c r="VWD77" s="223">
        <f xml:space="preserve"> InputsTS!VWD$184</f>
        <v>0</v>
      </c>
      <c r="VWE77" s="223">
        <f xml:space="preserve"> InputsTS!VWE$184</f>
        <v>0</v>
      </c>
      <c r="VWF77" s="223">
        <f xml:space="preserve"> InputsTS!VWF$184</f>
        <v>0</v>
      </c>
      <c r="VWG77" s="223">
        <f xml:space="preserve"> InputsTS!VWG$184</f>
        <v>0</v>
      </c>
      <c r="VWH77" s="223">
        <f xml:space="preserve"> InputsTS!VWH$184</f>
        <v>0</v>
      </c>
      <c r="VWI77" s="223">
        <f xml:space="preserve"> InputsTS!VWI$184</f>
        <v>0</v>
      </c>
      <c r="VWJ77" s="223">
        <f xml:space="preserve"> InputsTS!VWJ$184</f>
        <v>0</v>
      </c>
      <c r="VWK77" s="223">
        <f xml:space="preserve"> InputsTS!VWK$184</f>
        <v>0</v>
      </c>
      <c r="VWL77" s="223">
        <f xml:space="preserve"> InputsTS!VWL$184</f>
        <v>0</v>
      </c>
      <c r="VWM77" s="223">
        <f xml:space="preserve"> InputsTS!VWM$184</f>
        <v>0</v>
      </c>
      <c r="VWN77" s="223">
        <f xml:space="preserve"> InputsTS!VWN$184</f>
        <v>0</v>
      </c>
      <c r="VWO77" s="223">
        <f xml:space="preserve"> InputsTS!VWO$184</f>
        <v>0</v>
      </c>
      <c r="VWP77" s="223">
        <f xml:space="preserve"> InputsTS!VWP$184</f>
        <v>0</v>
      </c>
      <c r="VWQ77" s="223">
        <f xml:space="preserve"> InputsTS!VWQ$184</f>
        <v>0</v>
      </c>
      <c r="VWR77" s="223">
        <f xml:space="preserve"> InputsTS!VWR$184</f>
        <v>0</v>
      </c>
      <c r="VWS77" s="223">
        <f xml:space="preserve"> InputsTS!VWS$184</f>
        <v>0</v>
      </c>
      <c r="VWT77" s="223">
        <f xml:space="preserve"> InputsTS!VWT$184</f>
        <v>0</v>
      </c>
      <c r="VWU77" s="223">
        <f xml:space="preserve"> InputsTS!VWU$184</f>
        <v>0</v>
      </c>
      <c r="VWV77" s="223">
        <f xml:space="preserve"> InputsTS!VWV$184</f>
        <v>0</v>
      </c>
      <c r="VWW77" s="223">
        <f xml:space="preserve"> InputsTS!VWW$184</f>
        <v>0</v>
      </c>
      <c r="VWX77" s="223">
        <f xml:space="preserve"> InputsTS!VWX$184</f>
        <v>0</v>
      </c>
      <c r="VWY77" s="223">
        <f xml:space="preserve"> InputsTS!VWY$184</f>
        <v>0</v>
      </c>
      <c r="VWZ77" s="223">
        <f xml:space="preserve"> InputsTS!VWZ$184</f>
        <v>0</v>
      </c>
      <c r="VXA77" s="223">
        <f xml:space="preserve"> InputsTS!VXA$184</f>
        <v>0</v>
      </c>
      <c r="VXB77" s="223">
        <f xml:space="preserve"> InputsTS!VXB$184</f>
        <v>0</v>
      </c>
      <c r="VXC77" s="223">
        <f xml:space="preserve"> InputsTS!VXC$184</f>
        <v>0</v>
      </c>
      <c r="VXD77" s="223">
        <f xml:space="preserve"> InputsTS!VXD$184</f>
        <v>0</v>
      </c>
      <c r="VXE77" s="223">
        <f xml:space="preserve"> InputsTS!VXE$184</f>
        <v>0</v>
      </c>
      <c r="VXF77" s="223">
        <f xml:space="preserve"> InputsTS!VXF$184</f>
        <v>0</v>
      </c>
      <c r="VXG77" s="223">
        <f xml:space="preserve"> InputsTS!VXG$184</f>
        <v>0</v>
      </c>
      <c r="VXH77" s="223">
        <f xml:space="preserve"> InputsTS!VXH$184</f>
        <v>0</v>
      </c>
      <c r="VXI77" s="223">
        <f xml:space="preserve"> InputsTS!VXI$184</f>
        <v>0</v>
      </c>
      <c r="VXJ77" s="223">
        <f xml:space="preserve"> InputsTS!VXJ$184</f>
        <v>0</v>
      </c>
      <c r="VXK77" s="223">
        <f xml:space="preserve"> InputsTS!VXK$184</f>
        <v>0</v>
      </c>
      <c r="VXL77" s="223">
        <f xml:space="preserve"> InputsTS!VXL$184</f>
        <v>0</v>
      </c>
      <c r="VXM77" s="223">
        <f xml:space="preserve"> InputsTS!VXM$184</f>
        <v>0</v>
      </c>
      <c r="VXN77" s="223">
        <f xml:space="preserve"> InputsTS!VXN$184</f>
        <v>0</v>
      </c>
      <c r="VXO77" s="223">
        <f xml:space="preserve"> InputsTS!VXO$184</f>
        <v>0</v>
      </c>
      <c r="VXP77" s="223">
        <f xml:space="preserve"> InputsTS!VXP$184</f>
        <v>0</v>
      </c>
      <c r="VXQ77" s="223">
        <f xml:space="preserve"> InputsTS!VXQ$184</f>
        <v>0</v>
      </c>
      <c r="VXR77" s="223">
        <f xml:space="preserve"> InputsTS!VXR$184</f>
        <v>0</v>
      </c>
      <c r="VXS77" s="223">
        <f xml:space="preserve"> InputsTS!VXS$184</f>
        <v>0</v>
      </c>
      <c r="VXT77" s="223">
        <f xml:space="preserve"> InputsTS!VXT$184</f>
        <v>0</v>
      </c>
      <c r="VXU77" s="223">
        <f xml:space="preserve"> InputsTS!VXU$184</f>
        <v>0</v>
      </c>
      <c r="VXV77" s="223">
        <f xml:space="preserve"> InputsTS!VXV$184</f>
        <v>0</v>
      </c>
      <c r="VXW77" s="223">
        <f xml:space="preserve"> InputsTS!VXW$184</f>
        <v>0</v>
      </c>
      <c r="VXX77" s="223">
        <f xml:space="preserve"> InputsTS!VXX$184</f>
        <v>0</v>
      </c>
      <c r="VXY77" s="223">
        <f xml:space="preserve"> InputsTS!VXY$184</f>
        <v>0</v>
      </c>
      <c r="VXZ77" s="223">
        <f xml:space="preserve"> InputsTS!VXZ$184</f>
        <v>0</v>
      </c>
      <c r="VYA77" s="223">
        <f xml:space="preserve"> InputsTS!VYA$184</f>
        <v>0</v>
      </c>
      <c r="VYB77" s="223">
        <f xml:space="preserve"> InputsTS!VYB$184</f>
        <v>0</v>
      </c>
      <c r="VYC77" s="223">
        <f xml:space="preserve"> InputsTS!VYC$184</f>
        <v>0</v>
      </c>
      <c r="VYD77" s="223">
        <f xml:space="preserve"> InputsTS!VYD$184</f>
        <v>0</v>
      </c>
      <c r="VYE77" s="223">
        <f xml:space="preserve"> InputsTS!VYE$184</f>
        <v>0</v>
      </c>
      <c r="VYF77" s="223">
        <f xml:space="preserve"> InputsTS!VYF$184</f>
        <v>0</v>
      </c>
      <c r="VYG77" s="223">
        <f xml:space="preserve"> InputsTS!VYG$184</f>
        <v>0</v>
      </c>
      <c r="VYH77" s="223">
        <f xml:space="preserve"> InputsTS!VYH$184</f>
        <v>0</v>
      </c>
      <c r="VYI77" s="223">
        <f xml:space="preserve"> InputsTS!VYI$184</f>
        <v>0</v>
      </c>
      <c r="VYJ77" s="223">
        <f xml:space="preserve"> InputsTS!VYJ$184</f>
        <v>0</v>
      </c>
      <c r="VYK77" s="223">
        <f xml:space="preserve"> InputsTS!VYK$184</f>
        <v>0</v>
      </c>
      <c r="VYL77" s="223">
        <f xml:space="preserve"> InputsTS!VYL$184</f>
        <v>0</v>
      </c>
      <c r="VYM77" s="223">
        <f xml:space="preserve"> InputsTS!VYM$184</f>
        <v>0</v>
      </c>
      <c r="VYN77" s="223">
        <f xml:space="preserve"> InputsTS!VYN$184</f>
        <v>0</v>
      </c>
      <c r="VYO77" s="223">
        <f xml:space="preserve"> InputsTS!VYO$184</f>
        <v>0</v>
      </c>
      <c r="VYP77" s="223">
        <f xml:space="preserve"> InputsTS!VYP$184</f>
        <v>0</v>
      </c>
      <c r="VYQ77" s="223">
        <f xml:space="preserve"> InputsTS!VYQ$184</f>
        <v>0</v>
      </c>
      <c r="VYR77" s="223">
        <f xml:space="preserve"> InputsTS!VYR$184</f>
        <v>0</v>
      </c>
      <c r="VYS77" s="223">
        <f xml:space="preserve"> InputsTS!VYS$184</f>
        <v>0</v>
      </c>
      <c r="VYT77" s="223">
        <f xml:space="preserve"> InputsTS!VYT$184</f>
        <v>0</v>
      </c>
      <c r="VYU77" s="223">
        <f xml:space="preserve"> InputsTS!VYU$184</f>
        <v>0</v>
      </c>
      <c r="VYV77" s="223">
        <f xml:space="preserve"> InputsTS!VYV$184</f>
        <v>0</v>
      </c>
      <c r="VYW77" s="223">
        <f xml:space="preserve"> InputsTS!VYW$184</f>
        <v>0</v>
      </c>
      <c r="VYX77" s="223">
        <f xml:space="preserve"> InputsTS!VYX$184</f>
        <v>0</v>
      </c>
      <c r="VYY77" s="223">
        <f xml:space="preserve"> InputsTS!VYY$184</f>
        <v>0</v>
      </c>
      <c r="VYZ77" s="223">
        <f xml:space="preserve"> InputsTS!VYZ$184</f>
        <v>0</v>
      </c>
      <c r="VZA77" s="223">
        <f xml:space="preserve"> InputsTS!VZA$184</f>
        <v>0</v>
      </c>
      <c r="VZB77" s="223">
        <f xml:space="preserve"> InputsTS!VZB$184</f>
        <v>0</v>
      </c>
      <c r="VZC77" s="223">
        <f xml:space="preserve"> InputsTS!VZC$184</f>
        <v>0</v>
      </c>
      <c r="VZD77" s="223">
        <f xml:space="preserve"> InputsTS!VZD$184</f>
        <v>0</v>
      </c>
      <c r="VZE77" s="223">
        <f xml:space="preserve"> InputsTS!VZE$184</f>
        <v>0</v>
      </c>
      <c r="VZF77" s="223">
        <f xml:space="preserve"> InputsTS!VZF$184</f>
        <v>0</v>
      </c>
      <c r="VZG77" s="223">
        <f xml:space="preserve"> InputsTS!VZG$184</f>
        <v>0</v>
      </c>
      <c r="VZH77" s="223">
        <f xml:space="preserve"> InputsTS!VZH$184</f>
        <v>0</v>
      </c>
      <c r="VZI77" s="223">
        <f xml:space="preserve"> InputsTS!VZI$184</f>
        <v>0</v>
      </c>
      <c r="VZJ77" s="223">
        <f xml:space="preserve"> InputsTS!VZJ$184</f>
        <v>0</v>
      </c>
      <c r="VZK77" s="223">
        <f xml:space="preserve"> InputsTS!VZK$184</f>
        <v>0</v>
      </c>
      <c r="VZL77" s="223">
        <f xml:space="preserve"> InputsTS!VZL$184</f>
        <v>0</v>
      </c>
      <c r="VZM77" s="223">
        <f xml:space="preserve"> InputsTS!VZM$184</f>
        <v>0</v>
      </c>
      <c r="VZN77" s="223">
        <f xml:space="preserve"> InputsTS!VZN$184</f>
        <v>0</v>
      </c>
      <c r="VZO77" s="223">
        <f xml:space="preserve"> InputsTS!VZO$184</f>
        <v>0</v>
      </c>
      <c r="VZP77" s="223">
        <f xml:space="preserve"> InputsTS!VZP$184</f>
        <v>0</v>
      </c>
      <c r="VZQ77" s="223">
        <f xml:space="preserve"> InputsTS!VZQ$184</f>
        <v>0</v>
      </c>
      <c r="VZR77" s="223">
        <f xml:space="preserve"> InputsTS!VZR$184</f>
        <v>0</v>
      </c>
      <c r="VZS77" s="223">
        <f xml:space="preserve"> InputsTS!VZS$184</f>
        <v>0</v>
      </c>
      <c r="VZT77" s="223">
        <f xml:space="preserve"> InputsTS!VZT$184</f>
        <v>0</v>
      </c>
      <c r="VZU77" s="223">
        <f xml:space="preserve"> InputsTS!VZU$184</f>
        <v>0</v>
      </c>
      <c r="VZV77" s="223">
        <f xml:space="preserve"> InputsTS!VZV$184</f>
        <v>0</v>
      </c>
      <c r="VZW77" s="223">
        <f xml:space="preserve"> InputsTS!VZW$184</f>
        <v>0</v>
      </c>
      <c r="VZX77" s="223">
        <f xml:space="preserve"> InputsTS!VZX$184</f>
        <v>0</v>
      </c>
      <c r="VZY77" s="223">
        <f xml:space="preserve"> InputsTS!VZY$184</f>
        <v>0</v>
      </c>
      <c r="VZZ77" s="223">
        <f xml:space="preserve"> InputsTS!VZZ$184</f>
        <v>0</v>
      </c>
      <c r="WAA77" s="223">
        <f xml:space="preserve"> InputsTS!WAA$184</f>
        <v>0</v>
      </c>
      <c r="WAB77" s="223">
        <f xml:space="preserve"> InputsTS!WAB$184</f>
        <v>0</v>
      </c>
      <c r="WAC77" s="223">
        <f xml:space="preserve"> InputsTS!WAC$184</f>
        <v>0</v>
      </c>
      <c r="WAD77" s="223">
        <f xml:space="preserve"> InputsTS!WAD$184</f>
        <v>0</v>
      </c>
      <c r="WAE77" s="223">
        <f xml:space="preserve"> InputsTS!WAE$184</f>
        <v>0</v>
      </c>
      <c r="WAF77" s="223">
        <f xml:space="preserve"> InputsTS!WAF$184</f>
        <v>0</v>
      </c>
      <c r="WAG77" s="223">
        <f xml:space="preserve"> InputsTS!WAG$184</f>
        <v>0</v>
      </c>
      <c r="WAH77" s="223">
        <f xml:space="preserve"> InputsTS!WAH$184</f>
        <v>0</v>
      </c>
      <c r="WAI77" s="223">
        <f xml:space="preserve"> InputsTS!WAI$184</f>
        <v>0</v>
      </c>
      <c r="WAJ77" s="223">
        <f xml:space="preserve"> InputsTS!WAJ$184</f>
        <v>0</v>
      </c>
      <c r="WAK77" s="223">
        <f xml:space="preserve"> InputsTS!WAK$184</f>
        <v>0</v>
      </c>
      <c r="WAL77" s="223">
        <f xml:space="preserve"> InputsTS!WAL$184</f>
        <v>0</v>
      </c>
      <c r="WAM77" s="223">
        <f xml:space="preserve"> InputsTS!WAM$184</f>
        <v>0</v>
      </c>
      <c r="WAN77" s="223">
        <f xml:space="preserve"> InputsTS!WAN$184</f>
        <v>0</v>
      </c>
      <c r="WAO77" s="223">
        <f xml:space="preserve"> InputsTS!WAO$184</f>
        <v>0</v>
      </c>
      <c r="WAP77" s="223">
        <f xml:space="preserve"> InputsTS!WAP$184</f>
        <v>0</v>
      </c>
      <c r="WAQ77" s="223">
        <f xml:space="preserve"> InputsTS!WAQ$184</f>
        <v>0</v>
      </c>
      <c r="WAR77" s="223">
        <f xml:space="preserve"> InputsTS!WAR$184</f>
        <v>0</v>
      </c>
      <c r="WAS77" s="223">
        <f xml:space="preserve"> InputsTS!WAS$184</f>
        <v>0</v>
      </c>
      <c r="WAT77" s="223">
        <f xml:space="preserve"> InputsTS!WAT$184</f>
        <v>0</v>
      </c>
      <c r="WAU77" s="223">
        <f xml:space="preserve"> InputsTS!WAU$184</f>
        <v>0</v>
      </c>
      <c r="WAV77" s="223">
        <f xml:space="preserve"> InputsTS!WAV$184</f>
        <v>0</v>
      </c>
      <c r="WAW77" s="223">
        <f xml:space="preserve"> InputsTS!WAW$184</f>
        <v>0</v>
      </c>
      <c r="WAX77" s="223">
        <f xml:space="preserve"> InputsTS!WAX$184</f>
        <v>0</v>
      </c>
      <c r="WAY77" s="223">
        <f xml:space="preserve"> InputsTS!WAY$184</f>
        <v>0</v>
      </c>
      <c r="WAZ77" s="223">
        <f xml:space="preserve"> InputsTS!WAZ$184</f>
        <v>0</v>
      </c>
      <c r="WBA77" s="223">
        <f xml:space="preserve"> InputsTS!WBA$184</f>
        <v>0</v>
      </c>
      <c r="WBB77" s="223">
        <f xml:space="preserve"> InputsTS!WBB$184</f>
        <v>0</v>
      </c>
      <c r="WBC77" s="223">
        <f xml:space="preserve"> InputsTS!WBC$184</f>
        <v>0</v>
      </c>
      <c r="WBD77" s="223">
        <f xml:space="preserve"> InputsTS!WBD$184</f>
        <v>0</v>
      </c>
      <c r="WBE77" s="223">
        <f xml:space="preserve"> InputsTS!WBE$184</f>
        <v>0</v>
      </c>
      <c r="WBF77" s="223">
        <f xml:space="preserve"> InputsTS!WBF$184</f>
        <v>0</v>
      </c>
      <c r="WBG77" s="223">
        <f xml:space="preserve"> InputsTS!WBG$184</f>
        <v>0</v>
      </c>
      <c r="WBH77" s="223">
        <f xml:space="preserve"> InputsTS!WBH$184</f>
        <v>0</v>
      </c>
      <c r="WBI77" s="223">
        <f xml:space="preserve"> InputsTS!WBI$184</f>
        <v>0</v>
      </c>
      <c r="WBJ77" s="223">
        <f xml:space="preserve"> InputsTS!WBJ$184</f>
        <v>0</v>
      </c>
      <c r="WBK77" s="223">
        <f xml:space="preserve"> InputsTS!WBK$184</f>
        <v>0</v>
      </c>
      <c r="WBL77" s="223">
        <f xml:space="preserve"> InputsTS!WBL$184</f>
        <v>0</v>
      </c>
      <c r="WBM77" s="223">
        <f xml:space="preserve"> InputsTS!WBM$184</f>
        <v>0</v>
      </c>
      <c r="WBN77" s="223">
        <f xml:space="preserve"> InputsTS!WBN$184</f>
        <v>0</v>
      </c>
      <c r="WBO77" s="223">
        <f xml:space="preserve"> InputsTS!WBO$184</f>
        <v>0</v>
      </c>
      <c r="WBP77" s="223">
        <f xml:space="preserve"> InputsTS!WBP$184</f>
        <v>0</v>
      </c>
      <c r="WBQ77" s="223">
        <f xml:space="preserve"> InputsTS!WBQ$184</f>
        <v>0</v>
      </c>
      <c r="WBR77" s="223">
        <f xml:space="preserve"> InputsTS!WBR$184</f>
        <v>0</v>
      </c>
      <c r="WBS77" s="223">
        <f xml:space="preserve"> InputsTS!WBS$184</f>
        <v>0</v>
      </c>
      <c r="WBT77" s="223">
        <f xml:space="preserve"> InputsTS!WBT$184</f>
        <v>0</v>
      </c>
      <c r="WBU77" s="223">
        <f xml:space="preserve"> InputsTS!WBU$184</f>
        <v>0</v>
      </c>
      <c r="WBV77" s="223">
        <f xml:space="preserve"> InputsTS!WBV$184</f>
        <v>0</v>
      </c>
      <c r="WBW77" s="223">
        <f xml:space="preserve"> InputsTS!WBW$184</f>
        <v>0</v>
      </c>
      <c r="WBX77" s="223">
        <f xml:space="preserve"> InputsTS!WBX$184</f>
        <v>0</v>
      </c>
      <c r="WBY77" s="223">
        <f xml:space="preserve"> InputsTS!WBY$184</f>
        <v>0</v>
      </c>
      <c r="WBZ77" s="223">
        <f xml:space="preserve"> InputsTS!WBZ$184</f>
        <v>0</v>
      </c>
      <c r="WCA77" s="223">
        <f xml:space="preserve"> InputsTS!WCA$184</f>
        <v>0</v>
      </c>
      <c r="WCB77" s="223">
        <f xml:space="preserve"> InputsTS!WCB$184</f>
        <v>0</v>
      </c>
      <c r="WCC77" s="223">
        <f xml:space="preserve"> InputsTS!WCC$184</f>
        <v>0</v>
      </c>
      <c r="WCD77" s="223">
        <f xml:space="preserve"> InputsTS!WCD$184</f>
        <v>0</v>
      </c>
      <c r="WCE77" s="223">
        <f xml:space="preserve"> InputsTS!WCE$184</f>
        <v>0</v>
      </c>
      <c r="WCF77" s="223">
        <f xml:space="preserve"> InputsTS!WCF$184</f>
        <v>0</v>
      </c>
      <c r="WCG77" s="223">
        <f xml:space="preserve"> InputsTS!WCG$184</f>
        <v>0</v>
      </c>
      <c r="WCH77" s="223">
        <f xml:space="preserve"> InputsTS!WCH$184</f>
        <v>0</v>
      </c>
      <c r="WCI77" s="223">
        <f xml:space="preserve"> InputsTS!WCI$184</f>
        <v>0</v>
      </c>
      <c r="WCJ77" s="223">
        <f xml:space="preserve"> InputsTS!WCJ$184</f>
        <v>0</v>
      </c>
      <c r="WCK77" s="223">
        <f xml:space="preserve"> InputsTS!WCK$184</f>
        <v>0</v>
      </c>
      <c r="WCL77" s="223">
        <f xml:space="preserve"> InputsTS!WCL$184</f>
        <v>0</v>
      </c>
      <c r="WCM77" s="223">
        <f xml:space="preserve"> InputsTS!WCM$184</f>
        <v>0</v>
      </c>
      <c r="WCN77" s="223">
        <f xml:space="preserve"> InputsTS!WCN$184</f>
        <v>0</v>
      </c>
      <c r="WCO77" s="223">
        <f xml:space="preserve"> InputsTS!WCO$184</f>
        <v>0</v>
      </c>
      <c r="WCP77" s="223">
        <f xml:space="preserve"> InputsTS!WCP$184</f>
        <v>0</v>
      </c>
      <c r="WCQ77" s="223">
        <f xml:space="preserve"> InputsTS!WCQ$184</f>
        <v>0</v>
      </c>
      <c r="WCR77" s="223">
        <f xml:space="preserve"> InputsTS!WCR$184</f>
        <v>0</v>
      </c>
      <c r="WCS77" s="223">
        <f xml:space="preserve"> InputsTS!WCS$184</f>
        <v>0</v>
      </c>
      <c r="WCT77" s="223">
        <f xml:space="preserve"> InputsTS!WCT$184</f>
        <v>0</v>
      </c>
      <c r="WCU77" s="223">
        <f xml:space="preserve"> InputsTS!WCU$184</f>
        <v>0</v>
      </c>
      <c r="WCV77" s="223">
        <f xml:space="preserve"> InputsTS!WCV$184</f>
        <v>0</v>
      </c>
      <c r="WCW77" s="223">
        <f xml:space="preserve"> InputsTS!WCW$184</f>
        <v>0</v>
      </c>
      <c r="WCX77" s="223">
        <f xml:space="preserve"> InputsTS!WCX$184</f>
        <v>0</v>
      </c>
      <c r="WCY77" s="223">
        <f xml:space="preserve"> InputsTS!WCY$184</f>
        <v>0</v>
      </c>
      <c r="WCZ77" s="223">
        <f xml:space="preserve"> InputsTS!WCZ$184</f>
        <v>0</v>
      </c>
      <c r="WDA77" s="223">
        <f xml:space="preserve"> InputsTS!WDA$184</f>
        <v>0</v>
      </c>
      <c r="WDB77" s="223">
        <f xml:space="preserve"> InputsTS!WDB$184</f>
        <v>0</v>
      </c>
      <c r="WDC77" s="223">
        <f xml:space="preserve"> InputsTS!WDC$184</f>
        <v>0</v>
      </c>
      <c r="WDD77" s="223">
        <f xml:space="preserve"> InputsTS!WDD$184</f>
        <v>0</v>
      </c>
      <c r="WDE77" s="223">
        <f xml:space="preserve"> InputsTS!WDE$184</f>
        <v>0</v>
      </c>
      <c r="WDF77" s="223">
        <f xml:space="preserve"> InputsTS!WDF$184</f>
        <v>0</v>
      </c>
      <c r="WDG77" s="223">
        <f xml:space="preserve"> InputsTS!WDG$184</f>
        <v>0</v>
      </c>
      <c r="WDH77" s="223">
        <f xml:space="preserve"> InputsTS!WDH$184</f>
        <v>0</v>
      </c>
      <c r="WDI77" s="223">
        <f xml:space="preserve"> InputsTS!WDI$184</f>
        <v>0</v>
      </c>
      <c r="WDJ77" s="223">
        <f xml:space="preserve"> InputsTS!WDJ$184</f>
        <v>0</v>
      </c>
      <c r="WDK77" s="223">
        <f xml:space="preserve"> InputsTS!WDK$184</f>
        <v>0</v>
      </c>
      <c r="WDL77" s="223">
        <f xml:space="preserve"> InputsTS!WDL$184</f>
        <v>0</v>
      </c>
      <c r="WDM77" s="223">
        <f xml:space="preserve"> InputsTS!WDM$184</f>
        <v>0</v>
      </c>
      <c r="WDN77" s="223">
        <f xml:space="preserve"> InputsTS!WDN$184</f>
        <v>0</v>
      </c>
      <c r="WDO77" s="223">
        <f xml:space="preserve"> InputsTS!WDO$184</f>
        <v>0</v>
      </c>
      <c r="WDP77" s="223">
        <f xml:space="preserve"> InputsTS!WDP$184</f>
        <v>0</v>
      </c>
      <c r="WDQ77" s="223">
        <f xml:space="preserve"> InputsTS!WDQ$184</f>
        <v>0</v>
      </c>
      <c r="WDR77" s="223">
        <f xml:space="preserve"> InputsTS!WDR$184</f>
        <v>0</v>
      </c>
      <c r="WDS77" s="223">
        <f xml:space="preserve"> InputsTS!WDS$184</f>
        <v>0</v>
      </c>
      <c r="WDT77" s="223">
        <f xml:space="preserve"> InputsTS!WDT$184</f>
        <v>0</v>
      </c>
      <c r="WDU77" s="223">
        <f xml:space="preserve"> InputsTS!WDU$184</f>
        <v>0</v>
      </c>
      <c r="WDV77" s="223">
        <f xml:space="preserve"> InputsTS!WDV$184</f>
        <v>0</v>
      </c>
      <c r="WDW77" s="223">
        <f xml:space="preserve"> InputsTS!WDW$184</f>
        <v>0</v>
      </c>
      <c r="WDX77" s="223">
        <f xml:space="preserve"> InputsTS!WDX$184</f>
        <v>0</v>
      </c>
      <c r="WDY77" s="223">
        <f xml:space="preserve"> InputsTS!WDY$184</f>
        <v>0</v>
      </c>
      <c r="WDZ77" s="223">
        <f xml:space="preserve"> InputsTS!WDZ$184</f>
        <v>0</v>
      </c>
      <c r="WEA77" s="223">
        <f xml:space="preserve"> InputsTS!WEA$184</f>
        <v>0</v>
      </c>
      <c r="WEB77" s="223">
        <f xml:space="preserve"> InputsTS!WEB$184</f>
        <v>0</v>
      </c>
      <c r="WEC77" s="223">
        <f xml:space="preserve"> InputsTS!WEC$184</f>
        <v>0</v>
      </c>
      <c r="WED77" s="223">
        <f xml:space="preserve"> InputsTS!WED$184</f>
        <v>0</v>
      </c>
      <c r="WEE77" s="223">
        <f xml:space="preserve"> InputsTS!WEE$184</f>
        <v>0</v>
      </c>
      <c r="WEF77" s="223">
        <f xml:space="preserve"> InputsTS!WEF$184</f>
        <v>0</v>
      </c>
      <c r="WEG77" s="223">
        <f xml:space="preserve"> InputsTS!WEG$184</f>
        <v>0</v>
      </c>
      <c r="WEH77" s="223">
        <f xml:space="preserve"> InputsTS!WEH$184</f>
        <v>0</v>
      </c>
      <c r="WEI77" s="223">
        <f xml:space="preserve"> InputsTS!WEI$184</f>
        <v>0</v>
      </c>
      <c r="WEJ77" s="223">
        <f xml:space="preserve"> InputsTS!WEJ$184</f>
        <v>0</v>
      </c>
      <c r="WEK77" s="223">
        <f xml:space="preserve"> InputsTS!WEK$184</f>
        <v>0</v>
      </c>
      <c r="WEL77" s="223">
        <f xml:space="preserve"> InputsTS!WEL$184</f>
        <v>0</v>
      </c>
      <c r="WEM77" s="223">
        <f xml:space="preserve"> InputsTS!WEM$184</f>
        <v>0</v>
      </c>
      <c r="WEN77" s="223">
        <f xml:space="preserve"> InputsTS!WEN$184</f>
        <v>0</v>
      </c>
      <c r="WEO77" s="223">
        <f xml:space="preserve"> InputsTS!WEO$184</f>
        <v>0</v>
      </c>
      <c r="WEP77" s="223">
        <f xml:space="preserve"> InputsTS!WEP$184</f>
        <v>0</v>
      </c>
      <c r="WEQ77" s="223">
        <f xml:space="preserve"> InputsTS!WEQ$184</f>
        <v>0</v>
      </c>
      <c r="WER77" s="223">
        <f xml:space="preserve"> InputsTS!WER$184</f>
        <v>0</v>
      </c>
      <c r="WES77" s="223">
        <f xml:space="preserve"> InputsTS!WES$184</f>
        <v>0</v>
      </c>
      <c r="WET77" s="223">
        <f xml:space="preserve"> InputsTS!WET$184</f>
        <v>0</v>
      </c>
      <c r="WEU77" s="223">
        <f xml:space="preserve"> InputsTS!WEU$184</f>
        <v>0</v>
      </c>
      <c r="WEV77" s="223">
        <f xml:space="preserve"> InputsTS!WEV$184</f>
        <v>0</v>
      </c>
      <c r="WEW77" s="223">
        <f xml:space="preserve"> InputsTS!WEW$184</f>
        <v>0</v>
      </c>
      <c r="WEX77" s="223">
        <f xml:space="preserve"> InputsTS!WEX$184</f>
        <v>0</v>
      </c>
      <c r="WEY77" s="223">
        <f xml:space="preserve"> InputsTS!WEY$184</f>
        <v>0</v>
      </c>
      <c r="WEZ77" s="223">
        <f xml:space="preserve"> InputsTS!WEZ$184</f>
        <v>0</v>
      </c>
      <c r="WFA77" s="223">
        <f xml:space="preserve"> InputsTS!WFA$184</f>
        <v>0</v>
      </c>
      <c r="WFB77" s="223">
        <f xml:space="preserve"> InputsTS!WFB$184</f>
        <v>0</v>
      </c>
      <c r="WFC77" s="223">
        <f xml:space="preserve"> InputsTS!WFC$184</f>
        <v>0</v>
      </c>
      <c r="WFD77" s="223">
        <f xml:space="preserve"> InputsTS!WFD$184</f>
        <v>0</v>
      </c>
      <c r="WFE77" s="223">
        <f xml:space="preserve"> InputsTS!WFE$184</f>
        <v>0</v>
      </c>
      <c r="WFF77" s="223">
        <f xml:space="preserve"> InputsTS!WFF$184</f>
        <v>0</v>
      </c>
      <c r="WFG77" s="223">
        <f xml:space="preserve"> InputsTS!WFG$184</f>
        <v>0</v>
      </c>
      <c r="WFH77" s="223">
        <f xml:space="preserve"> InputsTS!WFH$184</f>
        <v>0</v>
      </c>
      <c r="WFI77" s="223">
        <f xml:space="preserve"> InputsTS!WFI$184</f>
        <v>0</v>
      </c>
      <c r="WFJ77" s="223">
        <f xml:space="preserve"> InputsTS!WFJ$184</f>
        <v>0</v>
      </c>
      <c r="WFK77" s="223">
        <f xml:space="preserve"> InputsTS!WFK$184</f>
        <v>0</v>
      </c>
      <c r="WFL77" s="223">
        <f xml:space="preserve"> InputsTS!WFL$184</f>
        <v>0</v>
      </c>
      <c r="WFM77" s="223">
        <f xml:space="preserve"> InputsTS!WFM$184</f>
        <v>0</v>
      </c>
      <c r="WFN77" s="223">
        <f xml:space="preserve"> InputsTS!WFN$184</f>
        <v>0</v>
      </c>
      <c r="WFO77" s="223">
        <f xml:space="preserve"> InputsTS!WFO$184</f>
        <v>0</v>
      </c>
      <c r="WFP77" s="223">
        <f xml:space="preserve"> InputsTS!WFP$184</f>
        <v>0</v>
      </c>
      <c r="WFQ77" s="223">
        <f xml:space="preserve"> InputsTS!WFQ$184</f>
        <v>0</v>
      </c>
      <c r="WFR77" s="223">
        <f xml:space="preserve"> InputsTS!WFR$184</f>
        <v>0</v>
      </c>
      <c r="WFS77" s="223">
        <f xml:space="preserve"> InputsTS!WFS$184</f>
        <v>0</v>
      </c>
      <c r="WFT77" s="223">
        <f xml:space="preserve"> InputsTS!WFT$184</f>
        <v>0</v>
      </c>
      <c r="WFU77" s="223">
        <f xml:space="preserve"> InputsTS!WFU$184</f>
        <v>0</v>
      </c>
      <c r="WFV77" s="223">
        <f xml:space="preserve"> InputsTS!WFV$184</f>
        <v>0</v>
      </c>
      <c r="WFW77" s="223">
        <f xml:space="preserve"> InputsTS!WFW$184</f>
        <v>0</v>
      </c>
      <c r="WFX77" s="223">
        <f xml:space="preserve"> InputsTS!WFX$184</f>
        <v>0</v>
      </c>
      <c r="WFY77" s="223">
        <f xml:space="preserve"> InputsTS!WFY$184</f>
        <v>0</v>
      </c>
      <c r="WFZ77" s="223">
        <f xml:space="preserve"> InputsTS!WFZ$184</f>
        <v>0</v>
      </c>
      <c r="WGA77" s="223">
        <f xml:space="preserve"> InputsTS!WGA$184</f>
        <v>0</v>
      </c>
      <c r="WGB77" s="223">
        <f xml:space="preserve"> InputsTS!WGB$184</f>
        <v>0</v>
      </c>
      <c r="WGC77" s="223">
        <f xml:space="preserve"> InputsTS!WGC$184</f>
        <v>0</v>
      </c>
      <c r="WGD77" s="223">
        <f xml:space="preserve"> InputsTS!WGD$184</f>
        <v>0</v>
      </c>
      <c r="WGE77" s="223">
        <f xml:space="preserve"> InputsTS!WGE$184</f>
        <v>0</v>
      </c>
      <c r="WGF77" s="223">
        <f xml:space="preserve"> InputsTS!WGF$184</f>
        <v>0</v>
      </c>
      <c r="WGG77" s="223">
        <f xml:space="preserve"> InputsTS!WGG$184</f>
        <v>0</v>
      </c>
      <c r="WGH77" s="223">
        <f xml:space="preserve"> InputsTS!WGH$184</f>
        <v>0</v>
      </c>
      <c r="WGI77" s="223">
        <f xml:space="preserve"> InputsTS!WGI$184</f>
        <v>0</v>
      </c>
      <c r="WGJ77" s="223">
        <f xml:space="preserve"> InputsTS!WGJ$184</f>
        <v>0</v>
      </c>
      <c r="WGK77" s="223">
        <f xml:space="preserve"> InputsTS!WGK$184</f>
        <v>0</v>
      </c>
      <c r="WGL77" s="223">
        <f xml:space="preserve"> InputsTS!WGL$184</f>
        <v>0</v>
      </c>
      <c r="WGM77" s="223">
        <f xml:space="preserve"> InputsTS!WGM$184</f>
        <v>0</v>
      </c>
      <c r="WGN77" s="223">
        <f xml:space="preserve"> InputsTS!WGN$184</f>
        <v>0</v>
      </c>
      <c r="WGO77" s="223">
        <f xml:space="preserve"> InputsTS!WGO$184</f>
        <v>0</v>
      </c>
      <c r="WGP77" s="223">
        <f xml:space="preserve"> InputsTS!WGP$184</f>
        <v>0</v>
      </c>
      <c r="WGQ77" s="223">
        <f xml:space="preserve"> InputsTS!WGQ$184</f>
        <v>0</v>
      </c>
      <c r="WGR77" s="223">
        <f xml:space="preserve"> InputsTS!WGR$184</f>
        <v>0</v>
      </c>
      <c r="WGS77" s="223">
        <f xml:space="preserve"> InputsTS!WGS$184</f>
        <v>0</v>
      </c>
      <c r="WGT77" s="223">
        <f xml:space="preserve"> InputsTS!WGT$184</f>
        <v>0</v>
      </c>
      <c r="WGU77" s="223">
        <f xml:space="preserve"> InputsTS!WGU$184</f>
        <v>0</v>
      </c>
      <c r="WGV77" s="223">
        <f xml:space="preserve"> InputsTS!WGV$184</f>
        <v>0</v>
      </c>
      <c r="WGW77" s="223">
        <f xml:space="preserve"> InputsTS!WGW$184</f>
        <v>0</v>
      </c>
      <c r="WGX77" s="223">
        <f xml:space="preserve"> InputsTS!WGX$184</f>
        <v>0</v>
      </c>
      <c r="WGY77" s="223">
        <f xml:space="preserve"> InputsTS!WGY$184</f>
        <v>0</v>
      </c>
      <c r="WGZ77" s="223">
        <f xml:space="preserve"> InputsTS!WGZ$184</f>
        <v>0</v>
      </c>
      <c r="WHA77" s="223">
        <f xml:space="preserve"> InputsTS!WHA$184</f>
        <v>0</v>
      </c>
      <c r="WHB77" s="223">
        <f xml:space="preserve"> InputsTS!WHB$184</f>
        <v>0</v>
      </c>
      <c r="WHC77" s="223">
        <f xml:space="preserve"> InputsTS!WHC$184</f>
        <v>0</v>
      </c>
      <c r="WHD77" s="223">
        <f xml:space="preserve"> InputsTS!WHD$184</f>
        <v>0</v>
      </c>
      <c r="WHE77" s="223">
        <f xml:space="preserve"> InputsTS!WHE$184</f>
        <v>0</v>
      </c>
      <c r="WHF77" s="223">
        <f xml:space="preserve"> InputsTS!WHF$184</f>
        <v>0</v>
      </c>
      <c r="WHG77" s="223">
        <f xml:space="preserve"> InputsTS!WHG$184</f>
        <v>0</v>
      </c>
      <c r="WHH77" s="223">
        <f xml:space="preserve"> InputsTS!WHH$184</f>
        <v>0</v>
      </c>
      <c r="WHI77" s="223">
        <f xml:space="preserve"> InputsTS!WHI$184</f>
        <v>0</v>
      </c>
      <c r="WHJ77" s="223">
        <f xml:space="preserve"> InputsTS!WHJ$184</f>
        <v>0</v>
      </c>
      <c r="WHK77" s="223">
        <f xml:space="preserve"> InputsTS!WHK$184</f>
        <v>0</v>
      </c>
      <c r="WHL77" s="223">
        <f xml:space="preserve"> InputsTS!WHL$184</f>
        <v>0</v>
      </c>
      <c r="WHM77" s="223">
        <f xml:space="preserve"> InputsTS!WHM$184</f>
        <v>0</v>
      </c>
      <c r="WHN77" s="223">
        <f xml:space="preserve"> InputsTS!WHN$184</f>
        <v>0</v>
      </c>
      <c r="WHO77" s="223">
        <f xml:space="preserve"> InputsTS!WHO$184</f>
        <v>0</v>
      </c>
      <c r="WHP77" s="223">
        <f xml:space="preserve"> InputsTS!WHP$184</f>
        <v>0</v>
      </c>
      <c r="WHQ77" s="223">
        <f xml:space="preserve"> InputsTS!WHQ$184</f>
        <v>0</v>
      </c>
      <c r="WHR77" s="223">
        <f xml:space="preserve"> InputsTS!WHR$184</f>
        <v>0</v>
      </c>
      <c r="WHS77" s="223">
        <f xml:space="preserve"> InputsTS!WHS$184</f>
        <v>0</v>
      </c>
      <c r="WHT77" s="223">
        <f xml:space="preserve"> InputsTS!WHT$184</f>
        <v>0</v>
      </c>
      <c r="WHU77" s="223">
        <f xml:space="preserve"> InputsTS!WHU$184</f>
        <v>0</v>
      </c>
      <c r="WHV77" s="223">
        <f xml:space="preserve"> InputsTS!WHV$184</f>
        <v>0</v>
      </c>
      <c r="WHW77" s="223">
        <f xml:space="preserve"> InputsTS!WHW$184</f>
        <v>0</v>
      </c>
      <c r="WHX77" s="223">
        <f xml:space="preserve"> InputsTS!WHX$184</f>
        <v>0</v>
      </c>
      <c r="WHY77" s="223">
        <f xml:space="preserve"> InputsTS!WHY$184</f>
        <v>0</v>
      </c>
      <c r="WHZ77" s="223">
        <f xml:space="preserve"> InputsTS!WHZ$184</f>
        <v>0</v>
      </c>
      <c r="WIA77" s="223">
        <f xml:space="preserve"> InputsTS!WIA$184</f>
        <v>0</v>
      </c>
      <c r="WIB77" s="223">
        <f xml:space="preserve"> InputsTS!WIB$184</f>
        <v>0</v>
      </c>
      <c r="WIC77" s="223">
        <f xml:space="preserve"> InputsTS!WIC$184</f>
        <v>0</v>
      </c>
      <c r="WID77" s="223">
        <f xml:space="preserve"> InputsTS!WID$184</f>
        <v>0</v>
      </c>
      <c r="WIE77" s="223">
        <f xml:space="preserve"> InputsTS!WIE$184</f>
        <v>0</v>
      </c>
      <c r="WIF77" s="223">
        <f xml:space="preserve"> InputsTS!WIF$184</f>
        <v>0</v>
      </c>
      <c r="WIG77" s="223">
        <f xml:space="preserve"> InputsTS!WIG$184</f>
        <v>0</v>
      </c>
      <c r="WIH77" s="223">
        <f xml:space="preserve"> InputsTS!WIH$184</f>
        <v>0</v>
      </c>
      <c r="WII77" s="223">
        <f xml:space="preserve"> InputsTS!WII$184</f>
        <v>0</v>
      </c>
      <c r="WIJ77" s="223">
        <f xml:space="preserve"> InputsTS!WIJ$184</f>
        <v>0</v>
      </c>
      <c r="WIK77" s="223">
        <f xml:space="preserve"> InputsTS!WIK$184</f>
        <v>0</v>
      </c>
      <c r="WIL77" s="223">
        <f xml:space="preserve"> InputsTS!WIL$184</f>
        <v>0</v>
      </c>
      <c r="WIM77" s="223">
        <f xml:space="preserve"> InputsTS!WIM$184</f>
        <v>0</v>
      </c>
      <c r="WIN77" s="223">
        <f xml:space="preserve"> InputsTS!WIN$184</f>
        <v>0</v>
      </c>
      <c r="WIO77" s="223">
        <f xml:space="preserve"> InputsTS!WIO$184</f>
        <v>0</v>
      </c>
      <c r="WIP77" s="223">
        <f xml:space="preserve"> InputsTS!WIP$184</f>
        <v>0</v>
      </c>
      <c r="WIQ77" s="223">
        <f xml:space="preserve"> InputsTS!WIQ$184</f>
        <v>0</v>
      </c>
      <c r="WIR77" s="223">
        <f xml:space="preserve"> InputsTS!WIR$184</f>
        <v>0</v>
      </c>
      <c r="WIS77" s="223">
        <f xml:space="preserve"> InputsTS!WIS$184</f>
        <v>0</v>
      </c>
      <c r="WIT77" s="223">
        <f xml:space="preserve"> InputsTS!WIT$184</f>
        <v>0</v>
      </c>
      <c r="WIU77" s="223">
        <f xml:space="preserve"> InputsTS!WIU$184</f>
        <v>0</v>
      </c>
      <c r="WIV77" s="223">
        <f xml:space="preserve"> InputsTS!WIV$184</f>
        <v>0</v>
      </c>
      <c r="WIW77" s="223">
        <f xml:space="preserve"> InputsTS!WIW$184</f>
        <v>0</v>
      </c>
      <c r="WIX77" s="223">
        <f xml:space="preserve"> InputsTS!WIX$184</f>
        <v>0</v>
      </c>
      <c r="WIY77" s="223">
        <f xml:space="preserve"> InputsTS!WIY$184</f>
        <v>0</v>
      </c>
      <c r="WIZ77" s="223">
        <f xml:space="preserve"> InputsTS!WIZ$184</f>
        <v>0</v>
      </c>
      <c r="WJA77" s="223">
        <f xml:space="preserve"> InputsTS!WJA$184</f>
        <v>0</v>
      </c>
      <c r="WJB77" s="223">
        <f xml:space="preserve"> InputsTS!WJB$184</f>
        <v>0</v>
      </c>
      <c r="WJC77" s="223">
        <f xml:space="preserve"> InputsTS!WJC$184</f>
        <v>0</v>
      </c>
      <c r="WJD77" s="223">
        <f xml:space="preserve"> InputsTS!WJD$184</f>
        <v>0</v>
      </c>
      <c r="WJE77" s="223">
        <f xml:space="preserve"> InputsTS!WJE$184</f>
        <v>0</v>
      </c>
      <c r="WJF77" s="223">
        <f xml:space="preserve"> InputsTS!WJF$184</f>
        <v>0</v>
      </c>
      <c r="WJG77" s="223">
        <f xml:space="preserve"> InputsTS!WJG$184</f>
        <v>0</v>
      </c>
      <c r="WJH77" s="223">
        <f xml:space="preserve"> InputsTS!WJH$184</f>
        <v>0</v>
      </c>
      <c r="WJI77" s="223">
        <f xml:space="preserve"> InputsTS!WJI$184</f>
        <v>0</v>
      </c>
      <c r="WJJ77" s="223">
        <f xml:space="preserve"> InputsTS!WJJ$184</f>
        <v>0</v>
      </c>
      <c r="WJK77" s="223">
        <f xml:space="preserve"> InputsTS!WJK$184</f>
        <v>0</v>
      </c>
      <c r="WJL77" s="223">
        <f xml:space="preserve"> InputsTS!WJL$184</f>
        <v>0</v>
      </c>
      <c r="WJM77" s="223">
        <f xml:space="preserve"> InputsTS!WJM$184</f>
        <v>0</v>
      </c>
      <c r="WJN77" s="223">
        <f xml:space="preserve"> InputsTS!WJN$184</f>
        <v>0</v>
      </c>
      <c r="WJO77" s="223">
        <f xml:space="preserve"> InputsTS!WJO$184</f>
        <v>0</v>
      </c>
      <c r="WJP77" s="223">
        <f xml:space="preserve"> InputsTS!WJP$184</f>
        <v>0</v>
      </c>
      <c r="WJQ77" s="223">
        <f xml:space="preserve"> InputsTS!WJQ$184</f>
        <v>0</v>
      </c>
      <c r="WJR77" s="223">
        <f xml:space="preserve"> InputsTS!WJR$184</f>
        <v>0</v>
      </c>
      <c r="WJS77" s="223">
        <f xml:space="preserve"> InputsTS!WJS$184</f>
        <v>0</v>
      </c>
      <c r="WJT77" s="223">
        <f xml:space="preserve"> InputsTS!WJT$184</f>
        <v>0</v>
      </c>
      <c r="WJU77" s="223">
        <f xml:space="preserve"> InputsTS!WJU$184</f>
        <v>0</v>
      </c>
      <c r="WJV77" s="223">
        <f xml:space="preserve"> InputsTS!WJV$184</f>
        <v>0</v>
      </c>
      <c r="WJW77" s="223">
        <f xml:space="preserve"> InputsTS!WJW$184</f>
        <v>0</v>
      </c>
      <c r="WJX77" s="223">
        <f xml:space="preserve"> InputsTS!WJX$184</f>
        <v>0</v>
      </c>
      <c r="WJY77" s="223">
        <f xml:space="preserve"> InputsTS!WJY$184</f>
        <v>0</v>
      </c>
      <c r="WJZ77" s="223">
        <f xml:space="preserve"> InputsTS!WJZ$184</f>
        <v>0</v>
      </c>
      <c r="WKA77" s="223">
        <f xml:space="preserve"> InputsTS!WKA$184</f>
        <v>0</v>
      </c>
      <c r="WKB77" s="223">
        <f xml:space="preserve"> InputsTS!WKB$184</f>
        <v>0</v>
      </c>
      <c r="WKC77" s="223">
        <f xml:space="preserve"> InputsTS!WKC$184</f>
        <v>0</v>
      </c>
      <c r="WKD77" s="223">
        <f xml:space="preserve"> InputsTS!WKD$184</f>
        <v>0</v>
      </c>
      <c r="WKE77" s="223">
        <f xml:space="preserve"> InputsTS!WKE$184</f>
        <v>0</v>
      </c>
      <c r="WKF77" s="223">
        <f xml:space="preserve"> InputsTS!WKF$184</f>
        <v>0</v>
      </c>
      <c r="WKG77" s="223">
        <f xml:space="preserve"> InputsTS!WKG$184</f>
        <v>0</v>
      </c>
      <c r="WKH77" s="223">
        <f xml:space="preserve"> InputsTS!WKH$184</f>
        <v>0</v>
      </c>
      <c r="WKI77" s="223">
        <f xml:space="preserve"> InputsTS!WKI$184</f>
        <v>0</v>
      </c>
      <c r="WKJ77" s="223">
        <f xml:space="preserve"> InputsTS!WKJ$184</f>
        <v>0</v>
      </c>
      <c r="WKK77" s="223">
        <f xml:space="preserve"> InputsTS!WKK$184</f>
        <v>0</v>
      </c>
      <c r="WKL77" s="223">
        <f xml:space="preserve"> InputsTS!WKL$184</f>
        <v>0</v>
      </c>
      <c r="WKM77" s="223">
        <f xml:space="preserve"> InputsTS!WKM$184</f>
        <v>0</v>
      </c>
      <c r="WKN77" s="223">
        <f xml:space="preserve"> InputsTS!WKN$184</f>
        <v>0</v>
      </c>
      <c r="WKO77" s="223">
        <f xml:space="preserve"> InputsTS!WKO$184</f>
        <v>0</v>
      </c>
      <c r="WKP77" s="223">
        <f xml:space="preserve"> InputsTS!WKP$184</f>
        <v>0</v>
      </c>
      <c r="WKQ77" s="223">
        <f xml:space="preserve"> InputsTS!WKQ$184</f>
        <v>0</v>
      </c>
      <c r="WKR77" s="223">
        <f xml:space="preserve"> InputsTS!WKR$184</f>
        <v>0</v>
      </c>
      <c r="WKS77" s="223">
        <f xml:space="preserve"> InputsTS!WKS$184</f>
        <v>0</v>
      </c>
      <c r="WKT77" s="223">
        <f xml:space="preserve"> InputsTS!WKT$184</f>
        <v>0</v>
      </c>
      <c r="WKU77" s="223">
        <f xml:space="preserve"> InputsTS!WKU$184</f>
        <v>0</v>
      </c>
      <c r="WKV77" s="223">
        <f xml:space="preserve"> InputsTS!WKV$184</f>
        <v>0</v>
      </c>
      <c r="WKW77" s="223">
        <f xml:space="preserve"> InputsTS!WKW$184</f>
        <v>0</v>
      </c>
      <c r="WKX77" s="223">
        <f xml:space="preserve"> InputsTS!WKX$184</f>
        <v>0</v>
      </c>
      <c r="WKY77" s="223">
        <f xml:space="preserve"> InputsTS!WKY$184</f>
        <v>0</v>
      </c>
      <c r="WKZ77" s="223">
        <f xml:space="preserve"> InputsTS!WKZ$184</f>
        <v>0</v>
      </c>
      <c r="WLA77" s="223">
        <f xml:space="preserve"> InputsTS!WLA$184</f>
        <v>0</v>
      </c>
      <c r="WLB77" s="223">
        <f xml:space="preserve"> InputsTS!WLB$184</f>
        <v>0</v>
      </c>
      <c r="WLC77" s="223">
        <f xml:space="preserve"> InputsTS!WLC$184</f>
        <v>0</v>
      </c>
      <c r="WLD77" s="223">
        <f xml:space="preserve"> InputsTS!WLD$184</f>
        <v>0</v>
      </c>
      <c r="WLE77" s="223">
        <f xml:space="preserve"> InputsTS!WLE$184</f>
        <v>0</v>
      </c>
      <c r="WLF77" s="223">
        <f xml:space="preserve"> InputsTS!WLF$184</f>
        <v>0</v>
      </c>
      <c r="WLG77" s="223">
        <f xml:space="preserve"> InputsTS!WLG$184</f>
        <v>0</v>
      </c>
      <c r="WLH77" s="223">
        <f xml:space="preserve"> InputsTS!WLH$184</f>
        <v>0</v>
      </c>
      <c r="WLI77" s="223">
        <f xml:space="preserve"> InputsTS!WLI$184</f>
        <v>0</v>
      </c>
      <c r="WLJ77" s="223">
        <f xml:space="preserve"> InputsTS!WLJ$184</f>
        <v>0</v>
      </c>
      <c r="WLK77" s="223">
        <f xml:space="preserve"> InputsTS!WLK$184</f>
        <v>0</v>
      </c>
      <c r="WLL77" s="223">
        <f xml:space="preserve"> InputsTS!WLL$184</f>
        <v>0</v>
      </c>
      <c r="WLM77" s="223">
        <f xml:space="preserve"> InputsTS!WLM$184</f>
        <v>0</v>
      </c>
      <c r="WLN77" s="223">
        <f xml:space="preserve"> InputsTS!WLN$184</f>
        <v>0</v>
      </c>
      <c r="WLO77" s="223">
        <f xml:space="preserve"> InputsTS!WLO$184</f>
        <v>0</v>
      </c>
      <c r="WLP77" s="223">
        <f xml:space="preserve"> InputsTS!WLP$184</f>
        <v>0</v>
      </c>
      <c r="WLQ77" s="223">
        <f xml:space="preserve"> InputsTS!WLQ$184</f>
        <v>0</v>
      </c>
      <c r="WLR77" s="223">
        <f xml:space="preserve"> InputsTS!WLR$184</f>
        <v>0</v>
      </c>
      <c r="WLS77" s="223">
        <f xml:space="preserve"> InputsTS!WLS$184</f>
        <v>0</v>
      </c>
      <c r="WLT77" s="223">
        <f xml:space="preserve"> InputsTS!WLT$184</f>
        <v>0</v>
      </c>
      <c r="WLU77" s="223">
        <f xml:space="preserve"> InputsTS!WLU$184</f>
        <v>0</v>
      </c>
      <c r="WLV77" s="223">
        <f xml:space="preserve"> InputsTS!WLV$184</f>
        <v>0</v>
      </c>
      <c r="WLW77" s="223">
        <f xml:space="preserve"> InputsTS!WLW$184</f>
        <v>0</v>
      </c>
      <c r="WLX77" s="223">
        <f xml:space="preserve"> InputsTS!WLX$184</f>
        <v>0</v>
      </c>
      <c r="WLY77" s="223">
        <f xml:space="preserve"> InputsTS!WLY$184</f>
        <v>0</v>
      </c>
      <c r="WLZ77" s="223">
        <f xml:space="preserve"> InputsTS!WLZ$184</f>
        <v>0</v>
      </c>
      <c r="WMA77" s="223">
        <f xml:space="preserve"> InputsTS!WMA$184</f>
        <v>0</v>
      </c>
      <c r="WMB77" s="223">
        <f xml:space="preserve"> InputsTS!WMB$184</f>
        <v>0</v>
      </c>
      <c r="WMC77" s="223">
        <f xml:space="preserve"> InputsTS!WMC$184</f>
        <v>0</v>
      </c>
      <c r="WMD77" s="223">
        <f xml:space="preserve"> InputsTS!WMD$184</f>
        <v>0</v>
      </c>
      <c r="WME77" s="223">
        <f xml:space="preserve"> InputsTS!WME$184</f>
        <v>0</v>
      </c>
      <c r="WMF77" s="223">
        <f xml:space="preserve"> InputsTS!WMF$184</f>
        <v>0</v>
      </c>
      <c r="WMG77" s="223">
        <f xml:space="preserve"> InputsTS!WMG$184</f>
        <v>0</v>
      </c>
      <c r="WMH77" s="223">
        <f xml:space="preserve"> InputsTS!WMH$184</f>
        <v>0</v>
      </c>
      <c r="WMI77" s="223">
        <f xml:space="preserve"> InputsTS!WMI$184</f>
        <v>0</v>
      </c>
      <c r="WMJ77" s="223">
        <f xml:space="preserve"> InputsTS!WMJ$184</f>
        <v>0</v>
      </c>
      <c r="WMK77" s="223">
        <f xml:space="preserve"> InputsTS!WMK$184</f>
        <v>0</v>
      </c>
      <c r="WML77" s="223">
        <f xml:space="preserve"> InputsTS!WML$184</f>
        <v>0</v>
      </c>
      <c r="WMM77" s="223">
        <f xml:space="preserve"> InputsTS!WMM$184</f>
        <v>0</v>
      </c>
      <c r="WMN77" s="223">
        <f xml:space="preserve"> InputsTS!WMN$184</f>
        <v>0</v>
      </c>
      <c r="WMO77" s="223">
        <f xml:space="preserve"> InputsTS!WMO$184</f>
        <v>0</v>
      </c>
      <c r="WMP77" s="223">
        <f xml:space="preserve"> InputsTS!WMP$184</f>
        <v>0</v>
      </c>
      <c r="WMQ77" s="223">
        <f xml:space="preserve"> InputsTS!WMQ$184</f>
        <v>0</v>
      </c>
      <c r="WMR77" s="223">
        <f xml:space="preserve"> InputsTS!WMR$184</f>
        <v>0</v>
      </c>
      <c r="WMS77" s="223">
        <f xml:space="preserve"> InputsTS!WMS$184</f>
        <v>0</v>
      </c>
      <c r="WMT77" s="223">
        <f xml:space="preserve"> InputsTS!WMT$184</f>
        <v>0</v>
      </c>
      <c r="WMU77" s="223">
        <f xml:space="preserve"> InputsTS!WMU$184</f>
        <v>0</v>
      </c>
      <c r="WMV77" s="223">
        <f xml:space="preserve"> InputsTS!WMV$184</f>
        <v>0</v>
      </c>
      <c r="WMW77" s="223">
        <f xml:space="preserve"> InputsTS!WMW$184</f>
        <v>0</v>
      </c>
      <c r="WMX77" s="223">
        <f xml:space="preserve"> InputsTS!WMX$184</f>
        <v>0</v>
      </c>
      <c r="WMY77" s="223">
        <f xml:space="preserve"> InputsTS!WMY$184</f>
        <v>0</v>
      </c>
      <c r="WMZ77" s="223">
        <f xml:space="preserve"> InputsTS!WMZ$184</f>
        <v>0</v>
      </c>
      <c r="WNA77" s="223">
        <f xml:space="preserve"> InputsTS!WNA$184</f>
        <v>0</v>
      </c>
      <c r="WNB77" s="223">
        <f xml:space="preserve"> InputsTS!WNB$184</f>
        <v>0</v>
      </c>
      <c r="WNC77" s="223">
        <f xml:space="preserve"> InputsTS!WNC$184</f>
        <v>0</v>
      </c>
      <c r="WND77" s="223">
        <f xml:space="preserve"> InputsTS!WND$184</f>
        <v>0</v>
      </c>
      <c r="WNE77" s="223">
        <f xml:space="preserve"> InputsTS!WNE$184</f>
        <v>0</v>
      </c>
      <c r="WNF77" s="223">
        <f xml:space="preserve"> InputsTS!WNF$184</f>
        <v>0</v>
      </c>
      <c r="WNG77" s="223">
        <f xml:space="preserve"> InputsTS!WNG$184</f>
        <v>0</v>
      </c>
      <c r="WNH77" s="223">
        <f xml:space="preserve"> InputsTS!WNH$184</f>
        <v>0</v>
      </c>
      <c r="WNI77" s="223">
        <f xml:space="preserve"> InputsTS!WNI$184</f>
        <v>0</v>
      </c>
      <c r="WNJ77" s="223">
        <f xml:space="preserve"> InputsTS!WNJ$184</f>
        <v>0</v>
      </c>
      <c r="WNK77" s="223">
        <f xml:space="preserve"> InputsTS!WNK$184</f>
        <v>0</v>
      </c>
      <c r="WNL77" s="223">
        <f xml:space="preserve"> InputsTS!WNL$184</f>
        <v>0</v>
      </c>
      <c r="WNM77" s="223">
        <f xml:space="preserve"> InputsTS!WNM$184</f>
        <v>0</v>
      </c>
      <c r="WNN77" s="223">
        <f xml:space="preserve"> InputsTS!WNN$184</f>
        <v>0</v>
      </c>
      <c r="WNO77" s="223">
        <f xml:space="preserve"> InputsTS!WNO$184</f>
        <v>0</v>
      </c>
      <c r="WNP77" s="223">
        <f xml:space="preserve"> InputsTS!WNP$184</f>
        <v>0</v>
      </c>
      <c r="WNQ77" s="223">
        <f xml:space="preserve"> InputsTS!WNQ$184</f>
        <v>0</v>
      </c>
      <c r="WNR77" s="223">
        <f xml:space="preserve"> InputsTS!WNR$184</f>
        <v>0</v>
      </c>
      <c r="WNS77" s="223">
        <f xml:space="preserve"> InputsTS!WNS$184</f>
        <v>0</v>
      </c>
      <c r="WNT77" s="223">
        <f xml:space="preserve"> InputsTS!WNT$184</f>
        <v>0</v>
      </c>
      <c r="WNU77" s="223">
        <f xml:space="preserve"> InputsTS!WNU$184</f>
        <v>0</v>
      </c>
      <c r="WNV77" s="223">
        <f xml:space="preserve"> InputsTS!WNV$184</f>
        <v>0</v>
      </c>
      <c r="WNW77" s="223">
        <f xml:space="preserve"> InputsTS!WNW$184</f>
        <v>0</v>
      </c>
      <c r="WNX77" s="223">
        <f xml:space="preserve"> InputsTS!WNX$184</f>
        <v>0</v>
      </c>
      <c r="WNY77" s="223">
        <f xml:space="preserve"> InputsTS!WNY$184</f>
        <v>0</v>
      </c>
      <c r="WNZ77" s="223">
        <f xml:space="preserve"> InputsTS!WNZ$184</f>
        <v>0</v>
      </c>
      <c r="WOA77" s="223">
        <f xml:space="preserve"> InputsTS!WOA$184</f>
        <v>0</v>
      </c>
      <c r="WOB77" s="223">
        <f xml:space="preserve"> InputsTS!WOB$184</f>
        <v>0</v>
      </c>
      <c r="WOC77" s="223">
        <f xml:space="preserve"> InputsTS!WOC$184</f>
        <v>0</v>
      </c>
      <c r="WOD77" s="223">
        <f xml:space="preserve"> InputsTS!WOD$184</f>
        <v>0</v>
      </c>
      <c r="WOE77" s="223">
        <f xml:space="preserve"> InputsTS!WOE$184</f>
        <v>0</v>
      </c>
      <c r="WOF77" s="223">
        <f xml:space="preserve"> InputsTS!WOF$184</f>
        <v>0</v>
      </c>
      <c r="WOG77" s="223">
        <f xml:space="preserve"> InputsTS!WOG$184</f>
        <v>0</v>
      </c>
      <c r="WOH77" s="223">
        <f xml:space="preserve"> InputsTS!WOH$184</f>
        <v>0</v>
      </c>
      <c r="WOI77" s="223">
        <f xml:space="preserve"> InputsTS!WOI$184</f>
        <v>0</v>
      </c>
      <c r="WOJ77" s="223">
        <f xml:space="preserve"> InputsTS!WOJ$184</f>
        <v>0</v>
      </c>
      <c r="WOK77" s="223">
        <f xml:space="preserve"> InputsTS!WOK$184</f>
        <v>0</v>
      </c>
      <c r="WOL77" s="223">
        <f xml:space="preserve"> InputsTS!WOL$184</f>
        <v>0</v>
      </c>
      <c r="WOM77" s="223">
        <f xml:space="preserve"> InputsTS!WOM$184</f>
        <v>0</v>
      </c>
      <c r="WON77" s="223">
        <f xml:space="preserve"> InputsTS!WON$184</f>
        <v>0</v>
      </c>
      <c r="WOO77" s="223">
        <f xml:space="preserve"> InputsTS!WOO$184</f>
        <v>0</v>
      </c>
      <c r="WOP77" s="223">
        <f xml:space="preserve"> InputsTS!WOP$184</f>
        <v>0</v>
      </c>
      <c r="WOQ77" s="223">
        <f xml:space="preserve"> InputsTS!WOQ$184</f>
        <v>0</v>
      </c>
      <c r="WOR77" s="223">
        <f xml:space="preserve"> InputsTS!WOR$184</f>
        <v>0</v>
      </c>
      <c r="WOS77" s="223">
        <f xml:space="preserve"> InputsTS!WOS$184</f>
        <v>0</v>
      </c>
      <c r="WOT77" s="223">
        <f xml:space="preserve"> InputsTS!WOT$184</f>
        <v>0</v>
      </c>
      <c r="WOU77" s="223">
        <f xml:space="preserve"> InputsTS!WOU$184</f>
        <v>0</v>
      </c>
      <c r="WOV77" s="223">
        <f xml:space="preserve"> InputsTS!WOV$184</f>
        <v>0</v>
      </c>
      <c r="WOW77" s="223">
        <f xml:space="preserve"> InputsTS!WOW$184</f>
        <v>0</v>
      </c>
      <c r="WOX77" s="223">
        <f xml:space="preserve"> InputsTS!WOX$184</f>
        <v>0</v>
      </c>
      <c r="WOY77" s="223">
        <f xml:space="preserve"> InputsTS!WOY$184</f>
        <v>0</v>
      </c>
      <c r="WOZ77" s="223">
        <f xml:space="preserve"> InputsTS!WOZ$184</f>
        <v>0</v>
      </c>
      <c r="WPA77" s="223">
        <f xml:space="preserve"> InputsTS!WPA$184</f>
        <v>0</v>
      </c>
      <c r="WPB77" s="223">
        <f xml:space="preserve"> InputsTS!WPB$184</f>
        <v>0</v>
      </c>
      <c r="WPC77" s="223">
        <f xml:space="preserve"> InputsTS!WPC$184</f>
        <v>0</v>
      </c>
      <c r="WPD77" s="223">
        <f xml:space="preserve"> InputsTS!WPD$184</f>
        <v>0</v>
      </c>
      <c r="WPE77" s="223">
        <f xml:space="preserve"> InputsTS!WPE$184</f>
        <v>0</v>
      </c>
      <c r="WPF77" s="223">
        <f xml:space="preserve"> InputsTS!WPF$184</f>
        <v>0</v>
      </c>
      <c r="WPG77" s="223">
        <f xml:space="preserve"> InputsTS!WPG$184</f>
        <v>0</v>
      </c>
      <c r="WPH77" s="223">
        <f xml:space="preserve"> InputsTS!WPH$184</f>
        <v>0</v>
      </c>
      <c r="WPI77" s="223">
        <f xml:space="preserve"> InputsTS!WPI$184</f>
        <v>0</v>
      </c>
      <c r="WPJ77" s="223">
        <f xml:space="preserve"> InputsTS!WPJ$184</f>
        <v>0</v>
      </c>
      <c r="WPK77" s="223">
        <f xml:space="preserve"> InputsTS!WPK$184</f>
        <v>0</v>
      </c>
      <c r="WPL77" s="223">
        <f xml:space="preserve"> InputsTS!WPL$184</f>
        <v>0</v>
      </c>
      <c r="WPM77" s="223">
        <f xml:space="preserve"> InputsTS!WPM$184</f>
        <v>0</v>
      </c>
      <c r="WPN77" s="223">
        <f xml:space="preserve"> InputsTS!WPN$184</f>
        <v>0</v>
      </c>
      <c r="WPO77" s="223">
        <f xml:space="preserve"> InputsTS!WPO$184</f>
        <v>0</v>
      </c>
      <c r="WPP77" s="223">
        <f xml:space="preserve"> InputsTS!WPP$184</f>
        <v>0</v>
      </c>
      <c r="WPQ77" s="223">
        <f xml:space="preserve"> InputsTS!WPQ$184</f>
        <v>0</v>
      </c>
      <c r="WPR77" s="223">
        <f xml:space="preserve"> InputsTS!WPR$184</f>
        <v>0</v>
      </c>
      <c r="WPS77" s="223">
        <f xml:space="preserve"> InputsTS!WPS$184</f>
        <v>0</v>
      </c>
      <c r="WPT77" s="223">
        <f xml:space="preserve"> InputsTS!WPT$184</f>
        <v>0</v>
      </c>
      <c r="WPU77" s="223">
        <f xml:space="preserve"> InputsTS!WPU$184</f>
        <v>0</v>
      </c>
      <c r="WPV77" s="223">
        <f xml:space="preserve"> InputsTS!WPV$184</f>
        <v>0</v>
      </c>
      <c r="WPW77" s="223">
        <f xml:space="preserve"> InputsTS!WPW$184</f>
        <v>0</v>
      </c>
      <c r="WPX77" s="223">
        <f xml:space="preserve"> InputsTS!WPX$184</f>
        <v>0</v>
      </c>
      <c r="WPY77" s="223">
        <f xml:space="preserve"> InputsTS!WPY$184</f>
        <v>0</v>
      </c>
      <c r="WPZ77" s="223">
        <f xml:space="preserve"> InputsTS!WPZ$184</f>
        <v>0</v>
      </c>
      <c r="WQA77" s="223">
        <f xml:space="preserve"> InputsTS!WQA$184</f>
        <v>0</v>
      </c>
      <c r="WQB77" s="223">
        <f xml:space="preserve"> InputsTS!WQB$184</f>
        <v>0</v>
      </c>
      <c r="WQC77" s="223">
        <f xml:space="preserve"> InputsTS!WQC$184</f>
        <v>0</v>
      </c>
      <c r="WQD77" s="223">
        <f xml:space="preserve"> InputsTS!WQD$184</f>
        <v>0</v>
      </c>
      <c r="WQE77" s="223">
        <f xml:space="preserve"> InputsTS!WQE$184</f>
        <v>0</v>
      </c>
      <c r="WQF77" s="223">
        <f xml:space="preserve"> InputsTS!WQF$184</f>
        <v>0</v>
      </c>
      <c r="WQG77" s="223">
        <f xml:space="preserve"> InputsTS!WQG$184</f>
        <v>0</v>
      </c>
      <c r="WQH77" s="223">
        <f xml:space="preserve"> InputsTS!WQH$184</f>
        <v>0</v>
      </c>
      <c r="WQI77" s="223">
        <f xml:space="preserve"> InputsTS!WQI$184</f>
        <v>0</v>
      </c>
      <c r="WQJ77" s="223">
        <f xml:space="preserve"> InputsTS!WQJ$184</f>
        <v>0</v>
      </c>
      <c r="WQK77" s="223">
        <f xml:space="preserve"> InputsTS!WQK$184</f>
        <v>0</v>
      </c>
      <c r="WQL77" s="223">
        <f xml:space="preserve"> InputsTS!WQL$184</f>
        <v>0</v>
      </c>
      <c r="WQM77" s="223">
        <f xml:space="preserve"> InputsTS!WQM$184</f>
        <v>0</v>
      </c>
      <c r="WQN77" s="223">
        <f xml:space="preserve"> InputsTS!WQN$184</f>
        <v>0</v>
      </c>
      <c r="WQO77" s="223">
        <f xml:space="preserve"> InputsTS!WQO$184</f>
        <v>0</v>
      </c>
      <c r="WQP77" s="223">
        <f xml:space="preserve"> InputsTS!WQP$184</f>
        <v>0</v>
      </c>
      <c r="WQQ77" s="223">
        <f xml:space="preserve"> InputsTS!WQQ$184</f>
        <v>0</v>
      </c>
      <c r="WQR77" s="223">
        <f xml:space="preserve"> InputsTS!WQR$184</f>
        <v>0</v>
      </c>
      <c r="WQS77" s="223">
        <f xml:space="preserve"> InputsTS!WQS$184</f>
        <v>0</v>
      </c>
      <c r="WQT77" s="223">
        <f xml:space="preserve"> InputsTS!WQT$184</f>
        <v>0</v>
      </c>
      <c r="WQU77" s="223">
        <f xml:space="preserve"> InputsTS!WQU$184</f>
        <v>0</v>
      </c>
      <c r="WQV77" s="223">
        <f xml:space="preserve"> InputsTS!WQV$184</f>
        <v>0</v>
      </c>
      <c r="WQW77" s="223">
        <f xml:space="preserve"> InputsTS!WQW$184</f>
        <v>0</v>
      </c>
      <c r="WQX77" s="223">
        <f xml:space="preserve"> InputsTS!WQX$184</f>
        <v>0</v>
      </c>
      <c r="WQY77" s="223">
        <f xml:space="preserve"> InputsTS!WQY$184</f>
        <v>0</v>
      </c>
      <c r="WQZ77" s="223">
        <f xml:space="preserve"> InputsTS!WQZ$184</f>
        <v>0</v>
      </c>
      <c r="WRA77" s="223">
        <f xml:space="preserve"> InputsTS!WRA$184</f>
        <v>0</v>
      </c>
      <c r="WRB77" s="223">
        <f xml:space="preserve"> InputsTS!WRB$184</f>
        <v>0</v>
      </c>
      <c r="WRC77" s="223">
        <f xml:space="preserve"> InputsTS!WRC$184</f>
        <v>0</v>
      </c>
      <c r="WRD77" s="223">
        <f xml:space="preserve"> InputsTS!WRD$184</f>
        <v>0</v>
      </c>
      <c r="WRE77" s="223">
        <f xml:space="preserve"> InputsTS!WRE$184</f>
        <v>0</v>
      </c>
      <c r="WRF77" s="223">
        <f xml:space="preserve"> InputsTS!WRF$184</f>
        <v>0</v>
      </c>
      <c r="WRG77" s="223">
        <f xml:space="preserve"> InputsTS!WRG$184</f>
        <v>0</v>
      </c>
      <c r="WRH77" s="223">
        <f xml:space="preserve"> InputsTS!WRH$184</f>
        <v>0</v>
      </c>
      <c r="WRI77" s="223">
        <f xml:space="preserve"> InputsTS!WRI$184</f>
        <v>0</v>
      </c>
      <c r="WRJ77" s="223">
        <f xml:space="preserve"> InputsTS!WRJ$184</f>
        <v>0</v>
      </c>
      <c r="WRK77" s="223">
        <f xml:space="preserve"> InputsTS!WRK$184</f>
        <v>0</v>
      </c>
      <c r="WRL77" s="223">
        <f xml:space="preserve"> InputsTS!WRL$184</f>
        <v>0</v>
      </c>
      <c r="WRM77" s="223">
        <f xml:space="preserve"> InputsTS!WRM$184</f>
        <v>0</v>
      </c>
      <c r="WRN77" s="223">
        <f xml:space="preserve"> InputsTS!WRN$184</f>
        <v>0</v>
      </c>
      <c r="WRO77" s="223">
        <f xml:space="preserve"> InputsTS!WRO$184</f>
        <v>0</v>
      </c>
      <c r="WRP77" s="223">
        <f xml:space="preserve"> InputsTS!WRP$184</f>
        <v>0</v>
      </c>
      <c r="WRQ77" s="223">
        <f xml:space="preserve"> InputsTS!WRQ$184</f>
        <v>0</v>
      </c>
      <c r="WRR77" s="223">
        <f xml:space="preserve"> InputsTS!WRR$184</f>
        <v>0</v>
      </c>
      <c r="WRS77" s="223">
        <f xml:space="preserve"> InputsTS!WRS$184</f>
        <v>0</v>
      </c>
      <c r="WRT77" s="223">
        <f xml:space="preserve"> InputsTS!WRT$184</f>
        <v>0</v>
      </c>
      <c r="WRU77" s="223">
        <f xml:space="preserve"> InputsTS!WRU$184</f>
        <v>0</v>
      </c>
      <c r="WRV77" s="223">
        <f xml:space="preserve"> InputsTS!WRV$184</f>
        <v>0</v>
      </c>
      <c r="WRW77" s="223">
        <f xml:space="preserve"> InputsTS!WRW$184</f>
        <v>0</v>
      </c>
      <c r="WRX77" s="223">
        <f xml:space="preserve"> InputsTS!WRX$184</f>
        <v>0</v>
      </c>
      <c r="WRY77" s="223">
        <f xml:space="preserve"> InputsTS!WRY$184</f>
        <v>0</v>
      </c>
      <c r="WRZ77" s="223">
        <f xml:space="preserve"> InputsTS!WRZ$184</f>
        <v>0</v>
      </c>
      <c r="WSA77" s="223">
        <f xml:space="preserve"> InputsTS!WSA$184</f>
        <v>0</v>
      </c>
      <c r="WSB77" s="223">
        <f xml:space="preserve"> InputsTS!WSB$184</f>
        <v>0</v>
      </c>
      <c r="WSC77" s="223">
        <f xml:space="preserve"> InputsTS!WSC$184</f>
        <v>0</v>
      </c>
      <c r="WSD77" s="223">
        <f xml:space="preserve"> InputsTS!WSD$184</f>
        <v>0</v>
      </c>
      <c r="WSE77" s="223">
        <f xml:space="preserve"> InputsTS!WSE$184</f>
        <v>0</v>
      </c>
      <c r="WSF77" s="223">
        <f xml:space="preserve"> InputsTS!WSF$184</f>
        <v>0</v>
      </c>
      <c r="WSG77" s="223">
        <f xml:space="preserve"> InputsTS!WSG$184</f>
        <v>0</v>
      </c>
      <c r="WSH77" s="223">
        <f xml:space="preserve"> InputsTS!WSH$184</f>
        <v>0</v>
      </c>
      <c r="WSI77" s="223">
        <f xml:space="preserve"> InputsTS!WSI$184</f>
        <v>0</v>
      </c>
      <c r="WSJ77" s="223">
        <f xml:space="preserve"> InputsTS!WSJ$184</f>
        <v>0</v>
      </c>
      <c r="WSK77" s="223">
        <f xml:space="preserve"> InputsTS!WSK$184</f>
        <v>0</v>
      </c>
      <c r="WSL77" s="223">
        <f xml:space="preserve"> InputsTS!WSL$184</f>
        <v>0</v>
      </c>
      <c r="WSM77" s="223">
        <f xml:space="preserve"> InputsTS!WSM$184</f>
        <v>0</v>
      </c>
      <c r="WSN77" s="223">
        <f xml:space="preserve"> InputsTS!WSN$184</f>
        <v>0</v>
      </c>
      <c r="WSO77" s="223">
        <f xml:space="preserve"> InputsTS!WSO$184</f>
        <v>0</v>
      </c>
      <c r="WSP77" s="223">
        <f xml:space="preserve"> InputsTS!WSP$184</f>
        <v>0</v>
      </c>
      <c r="WSQ77" s="223">
        <f xml:space="preserve"> InputsTS!WSQ$184</f>
        <v>0</v>
      </c>
      <c r="WSR77" s="223">
        <f xml:space="preserve"> InputsTS!WSR$184</f>
        <v>0</v>
      </c>
      <c r="WSS77" s="223">
        <f xml:space="preserve"> InputsTS!WSS$184</f>
        <v>0</v>
      </c>
      <c r="WST77" s="223">
        <f xml:space="preserve"> InputsTS!WST$184</f>
        <v>0</v>
      </c>
      <c r="WSU77" s="223">
        <f xml:space="preserve"> InputsTS!WSU$184</f>
        <v>0</v>
      </c>
      <c r="WSV77" s="223">
        <f xml:space="preserve"> InputsTS!WSV$184</f>
        <v>0</v>
      </c>
      <c r="WSW77" s="223">
        <f xml:space="preserve"> InputsTS!WSW$184</f>
        <v>0</v>
      </c>
      <c r="WSX77" s="223">
        <f xml:space="preserve"> InputsTS!WSX$184</f>
        <v>0</v>
      </c>
      <c r="WSY77" s="223">
        <f xml:space="preserve"> InputsTS!WSY$184</f>
        <v>0</v>
      </c>
      <c r="WSZ77" s="223">
        <f xml:space="preserve"> InputsTS!WSZ$184</f>
        <v>0</v>
      </c>
      <c r="WTA77" s="223">
        <f xml:space="preserve"> InputsTS!WTA$184</f>
        <v>0</v>
      </c>
      <c r="WTB77" s="223">
        <f xml:space="preserve"> InputsTS!WTB$184</f>
        <v>0</v>
      </c>
      <c r="WTC77" s="223">
        <f xml:space="preserve"> InputsTS!WTC$184</f>
        <v>0</v>
      </c>
      <c r="WTD77" s="223">
        <f xml:space="preserve"> InputsTS!WTD$184</f>
        <v>0</v>
      </c>
      <c r="WTE77" s="223">
        <f xml:space="preserve"> InputsTS!WTE$184</f>
        <v>0</v>
      </c>
      <c r="WTF77" s="223">
        <f xml:space="preserve"> InputsTS!WTF$184</f>
        <v>0</v>
      </c>
      <c r="WTG77" s="223">
        <f xml:space="preserve"> InputsTS!WTG$184</f>
        <v>0</v>
      </c>
      <c r="WTH77" s="223">
        <f xml:space="preserve"> InputsTS!WTH$184</f>
        <v>0</v>
      </c>
      <c r="WTI77" s="223">
        <f xml:space="preserve"> InputsTS!WTI$184</f>
        <v>0</v>
      </c>
      <c r="WTJ77" s="223">
        <f xml:space="preserve"> InputsTS!WTJ$184</f>
        <v>0</v>
      </c>
      <c r="WTK77" s="223">
        <f xml:space="preserve"> InputsTS!WTK$184</f>
        <v>0</v>
      </c>
      <c r="WTL77" s="223">
        <f xml:space="preserve"> InputsTS!WTL$184</f>
        <v>0</v>
      </c>
      <c r="WTM77" s="223">
        <f xml:space="preserve"> InputsTS!WTM$184</f>
        <v>0</v>
      </c>
      <c r="WTN77" s="223">
        <f xml:space="preserve"> InputsTS!WTN$184</f>
        <v>0</v>
      </c>
      <c r="WTO77" s="223">
        <f xml:space="preserve"> InputsTS!WTO$184</f>
        <v>0</v>
      </c>
      <c r="WTP77" s="223">
        <f xml:space="preserve"> InputsTS!WTP$184</f>
        <v>0</v>
      </c>
      <c r="WTQ77" s="223">
        <f xml:space="preserve"> InputsTS!WTQ$184</f>
        <v>0</v>
      </c>
      <c r="WTR77" s="223">
        <f xml:space="preserve"> InputsTS!WTR$184</f>
        <v>0</v>
      </c>
      <c r="WTS77" s="223">
        <f xml:space="preserve"> InputsTS!WTS$184</f>
        <v>0</v>
      </c>
      <c r="WTT77" s="223">
        <f xml:space="preserve"> InputsTS!WTT$184</f>
        <v>0</v>
      </c>
      <c r="WTU77" s="223">
        <f xml:space="preserve"> InputsTS!WTU$184</f>
        <v>0</v>
      </c>
      <c r="WTV77" s="223">
        <f xml:space="preserve"> InputsTS!WTV$184</f>
        <v>0</v>
      </c>
      <c r="WTW77" s="223">
        <f xml:space="preserve"> InputsTS!WTW$184</f>
        <v>0</v>
      </c>
      <c r="WTX77" s="223">
        <f xml:space="preserve"> InputsTS!WTX$184</f>
        <v>0</v>
      </c>
      <c r="WTY77" s="223">
        <f xml:space="preserve"> InputsTS!WTY$184</f>
        <v>0</v>
      </c>
      <c r="WTZ77" s="223">
        <f xml:space="preserve"> InputsTS!WTZ$184</f>
        <v>0</v>
      </c>
      <c r="WUA77" s="223">
        <f xml:space="preserve"> InputsTS!WUA$184</f>
        <v>0</v>
      </c>
      <c r="WUB77" s="223">
        <f xml:space="preserve"> InputsTS!WUB$184</f>
        <v>0</v>
      </c>
      <c r="WUC77" s="223">
        <f xml:space="preserve"> InputsTS!WUC$184</f>
        <v>0</v>
      </c>
      <c r="WUD77" s="223">
        <f xml:space="preserve"> InputsTS!WUD$184</f>
        <v>0</v>
      </c>
      <c r="WUE77" s="223">
        <f xml:space="preserve"> InputsTS!WUE$184</f>
        <v>0</v>
      </c>
      <c r="WUF77" s="223">
        <f xml:space="preserve"> InputsTS!WUF$184</f>
        <v>0</v>
      </c>
      <c r="WUG77" s="223">
        <f xml:space="preserve"> InputsTS!WUG$184</f>
        <v>0</v>
      </c>
      <c r="WUH77" s="223">
        <f xml:space="preserve"> InputsTS!WUH$184</f>
        <v>0</v>
      </c>
      <c r="WUI77" s="223">
        <f xml:space="preserve"> InputsTS!WUI$184</f>
        <v>0</v>
      </c>
      <c r="WUJ77" s="223">
        <f xml:space="preserve"> InputsTS!WUJ$184</f>
        <v>0</v>
      </c>
      <c r="WUK77" s="223">
        <f xml:space="preserve"> InputsTS!WUK$184</f>
        <v>0</v>
      </c>
      <c r="WUL77" s="223">
        <f xml:space="preserve"> InputsTS!WUL$184</f>
        <v>0</v>
      </c>
      <c r="WUM77" s="223">
        <f xml:space="preserve"> InputsTS!WUM$184</f>
        <v>0</v>
      </c>
      <c r="WUN77" s="223">
        <f xml:space="preserve"> InputsTS!WUN$184</f>
        <v>0</v>
      </c>
      <c r="WUO77" s="223">
        <f xml:space="preserve"> InputsTS!WUO$184</f>
        <v>0</v>
      </c>
      <c r="WUP77" s="223">
        <f xml:space="preserve"> InputsTS!WUP$184</f>
        <v>0</v>
      </c>
      <c r="WUQ77" s="223">
        <f xml:space="preserve"> InputsTS!WUQ$184</f>
        <v>0</v>
      </c>
      <c r="WUR77" s="223">
        <f xml:space="preserve"> InputsTS!WUR$184</f>
        <v>0</v>
      </c>
      <c r="WUS77" s="223">
        <f xml:space="preserve"> InputsTS!WUS$184</f>
        <v>0</v>
      </c>
      <c r="WUT77" s="223">
        <f xml:space="preserve"> InputsTS!WUT$184</f>
        <v>0</v>
      </c>
      <c r="WUU77" s="223">
        <f xml:space="preserve"> InputsTS!WUU$184</f>
        <v>0</v>
      </c>
      <c r="WUV77" s="223">
        <f xml:space="preserve"> InputsTS!WUV$184</f>
        <v>0</v>
      </c>
      <c r="WUW77" s="223">
        <f xml:space="preserve"> InputsTS!WUW$184</f>
        <v>0</v>
      </c>
      <c r="WUX77" s="223">
        <f xml:space="preserve"> InputsTS!WUX$184</f>
        <v>0</v>
      </c>
      <c r="WUY77" s="223">
        <f xml:space="preserve"> InputsTS!WUY$184</f>
        <v>0</v>
      </c>
      <c r="WUZ77" s="223">
        <f xml:space="preserve"> InputsTS!WUZ$184</f>
        <v>0</v>
      </c>
      <c r="WVA77" s="223">
        <f xml:space="preserve"> InputsTS!WVA$184</f>
        <v>0</v>
      </c>
      <c r="WVB77" s="223">
        <f xml:space="preserve"> InputsTS!WVB$184</f>
        <v>0</v>
      </c>
      <c r="WVC77" s="223">
        <f xml:space="preserve"> InputsTS!WVC$184</f>
        <v>0</v>
      </c>
      <c r="WVD77" s="223">
        <f xml:space="preserve"> InputsTS!WVD$184</f>
        <v>0</v>
      </c>
      <c r="WVE77" s="223">
        <f xml:space="preserve"> InputsTS!WVE$184</f>
        <v>0</v>
      </c>
      <c r="WVF77" s="223">
        <f xml:space="preserve"> InputsTS!WVF$184</f>
        <v>0</v>
      </c>
      <c r="WVG77" s="223">
        <f xml:space="preserve"> InputsTS!WVG$184</f>
        <v>0</v>
      </c>
      <c r="WVH77" s="223">
        <f xml:space="preserve"> InputsTS!WVH$184</f>
        <v>0</v>
      </c>
      <c r="WVI77" s="223">
        <f xml:space="preserve"> InputsTS!WVI$184</f>
        <v>0</v>
      </c>
      <c r="WVJ77" s="223">
        <f xml:space="preserve"> InputsTS!WVJ$184</f>
        <v>0</v>
      </c>
      <c r="WVK77" s="223">
        <f xml:space="preserve"> InputsTS!WVK$184</f>
        <v>0</v>
      </c>
      <c r="WVL77" s="223">
        <f xml:space="preserve"> InputsTS!WVL$184</f>
        <v>0</v>
      </c>
      <c r="WVM77" s="223">
        <f xml:space="preserve"> InputsTS!WVM$184</f>
        <v>0</v>
      </c>
      <c r="WVN77" s="223">
        <f xml:space="preserve"> InputsTS!WVN$184</f>
        <v>0</v>
      </c>
      <c r="WVO77" s="223">
        <f xml:space="preserve"> InputsTS!WVO$184</f>
        <v>0</v>
      </c>
      <c r="WVP77" s="223">
        <f xml:space="preserve"> InputsTS!WVP$184</f>
        <v>0</v>
      </c>
      <c r="WVQ77" s="223">
        <f xml:space="preserve"> InputsTS!WVQ$184</f>
        <v>0</v>
      </c>
      <c r="WVR77" s="223">
        <f xml:space="preserve"> InputsTS!WVR$184</f>
        <v>0</v>
      </c>
      <c r="WVS77" s="223">
        <f xml:space="preserve"> InputsTS!WVS$184</f>
        <v>0</v>
      </c>
      <c r="WVT77" s="223">
        <f xml:space="preserve"> InputsTS!WVT$184</f>
        <v>0</v>
      </c>
      <c r="WVU77" s="223">
        <f xml:space="preserve"> InputsTS!WVU$184</f>
        <v>0</v>
      </c>
      <c r="WVV77" s="223">
        <f xml:space="preserve"> InputsTS!WVV$184</f>
        <v>0</v>
      </c>
      <c r="WVW77" s="223">
        <f xml:space="preserve"> InputsTS!WVW$184</f>
        <v>0</v>
      </c>
      <c r="WVX77" s="223">
        <f xml:space="preserve"> InputsTS!WVX$184</f>
        <v>0</v>
      </c>
      <c r="WVY77" s="223">
        <f xml:space="preserve"> InputsTS!WVY$184</f>
        <v>0</v>
      </c>
      <c r="WVZ77" s="223">
        <f xml:space="preserve"> InputsTS!WVZ$184</f>
        <v>0</v>
      </c>
      <c r="WWA77" s="223">
        <f xml:space="preserve"> InputsTS!WWA$184</f>
        <v>0</v>
      </c>
      <c r="WWB77" s="223">
        <f xml:space="preserve"> InputsTS!WWB$184</f>
        <v>0</v>
      </c>
      <c r="WWC77" s="223">
        <f xml:space="preserve"> InputsTS!WWC$184</f>
        <v>0</v>
      </c>
      <c r="WWD77" s="223">
        <f xml:space="preserve"> InputsTS!WWD$184</f>
        <v>0</v>
      </c>
      <c r="WWE77" s="223">
        <f xml:space="preserve"> InputsTS!WWE$184</f>
        <v>0</v>
      </c>
      <c r="WWF77" s="223">
        <f xml:space="preserve"> InputsTS!WWF$184</f>
        <v>0</v>
      </c>
      <c r="WWG77" s="223">
        <f xml:space="preserve"> InputsTS!WWG$184</f>
        <v>0</v>
      </c>
      <c r="WWH77" s="223">
        <f xml:space="preserve"> InputsTS!WWH$184</f>
        <v>0</v>
      </c>
      <c r="WWI77" s="223">
        <f xml:space="preserve"> InputsTS!WWI$184</f>
        <v>0</v>
      </c>
      <c r="WWJ77" s="223">
        <f xml:space="preserve"> InputsTS!WWJ$184</f>
        <v>0</v>
      </c>
      <c r="WWK77" s="223">
        <f xml:space="preserve"> InputsTS!WWK$184</f>
        <v>0</v>
      </c>
      <c r="WWL77" s="223">
        <f xml:space="preserve"> InputsTS!WWL$184</f>
        <v>0</v>
      </c>
      <c r="WWM77" s="223">
        <f xml:space="preserve"> InputsTS!WWM$184</f>
        <v>0</v>
      </c>
      <c r="WWN77" s="223">
        <f xml:space="preserve"> InputsTS!WWN$184</f>
        <v>0</v>
      </c>
      <c r="WWO77" s="223">
        <f xml:space="preserve"> InputsTS!WWO$184</f>
        <v>0</v>
      </c>
      <c r="WWP77" s="223">
        <f xml:space="preserve"> InputsTS!WWP$184</f>
        <v>0</v>
      </c>
      <c r="WWQ77" s="223">
        <f xml:space="preserve"> InputsTS!WWQ$184</f>
        <v>0</v>
      </c>
      <c r="WWR77" s="223">
        <f xml:space="preserve"> InputsTS!WWR$184</f>
        <v>0</v>
      </c>
      <c r="WWS77" s="223">
        <f xml:space="preserve"> InputsTS!WWS$184</f>
        <v>0</v>
      </c>
      <c r="WWT77" s="223">
        <f xml:space="preserve"> InputsTS!WWT$184</f>
        <v>0</v>
      </c>
      <c r="WWU77" s="223">
        <f xml:space="preserve"> InputsTS!WWU$184</f>
        <v>0</v>
      </c>
      <c r="WWV77" s="223">
        <f xml:space="preserve"> InputsTS!WWV$184</f>
        <v>0</v>
      </c>
      <c r="WWW77" s="223">
        <f xml:space="preserve"> InputsTS!WWW$184</f>
        <v>0</v>
      </c>
      <c r="WWX77" s="223">
        <f xml:space="preserve"> InputsTS!WWX$184</f>
        <v>0</v>
      </c>
      <c r="WWY77" s="223">
        <f xml:space="preserve"> InputsTS!WWY$184</f>
        <v>0</v>
      </c>
      <c r="WWZ77" s="223">
        <f xml:space="preserve"> InputsTS!WWZ$184</f>
        <v>0</v>
      </c>
      <c r="WXA77" s="223">
        <f xml:space="preserve"> InputsTS!WXA$184</f>
        <v>0</v>
      </c>
      <c r="WXB77" s="223">
        <f xml:space="preserve"> InputsTS!WXB$184</f>
        <v>0</v>
      </c>
      <c r="WXC77" s="223">
        <f xml:space="preserve"> InputsTS!WXC$184</f>
        <v>0</v>
      </c>
      <c r="WXD77" s="223">
        <f xml:space="preserve"> InputsTS!WXD$184</f>
        <v>0</v>
      </c>
      <c r="WXE77" s="223">
        <f xml:space="preserve"> InputsTS!WXE$184</f>
        <v>0</v>
      </c>
      <c r="WXF77" s="223">
        <f xml:space="preserve"> InputsTS!WXF$184</f>
        <v>0</v>
      </c>
      <c r="WXG77" s="223">
        <f xml:space="preserve"> InputsTS!WXG$184</f>
        <v>0</v>
      </c>
      <c r="WXH77" s="223">
        <f xml:space="preserve"> InputsTS!WXH$184</f>
        <v>0</v>
      </c>
      <c r="WXI77" s="223">
        <f xml:space="preserve"> InputsTS!WXI$184</f>
        <v>0</v>
      </c>
      <c r="WXJ77" s="223">
        <f xml:space="preserve"> InputsTS!WXJ$184</f>
        <v>0</v>
      </c>
      <c r="WXK77" s="223">
        <f xml:space="preserve"> InputsTS!WXK$184</f>
        <v>0</v>
      </c>
      <c r="WXL77" s="223">
        <f xml:space="preserve"> InputsTS!WXL$184</f>
        <v>0</v>
      </c>
      <c r="WXM77" s="223">
        <f xml:space="preserve"> InputsTS!WXM$184</f>
        <v>0</v>
      </c>
      <c r="WXN77" s="223">
        <f xml:space="preserve"> InputsTS!WXN$184</f>
        <v>0</v>
      </c>
      <c r="WXO77" s="223">
        <f xml:space="preserve"> InputsTS!WXO$184</f>
        <v>0</v>
      </c>
      <c r="WXP77" s="223">
        <f xml:space="preserve"> InputsTS!WXP$184</f>
        <v>0</v>
      </c>
      <c r="WXQ77" s="223">
        <f xml:space="preserve"> InputsTS!WXQ$184</f>
        <v>0</v>
      </c>
      <c r="WXR77" s="223">
        <f xml:space="preserve"> InputsTS!WXR$184</f>
        <v>0</v>
      </c>
      <c r="WXS77" s="223">
        <f xml:space="preserve"> InputsTS!WXS$184</f>
        <v>0</v>
      </c>
      <c r="WXT77" s="223">
        <f xml:space="preserve"> InputsTS!WXT$184</f>
        <v>0</v>
      </c>
      <c r="WXU77" s="223">
        <f xml:space="preserve"> InputsTS!WXU$184</f>
        <v>0</v>
      </c>
      <c r="WXV77" s="223">
        <f xml:space="preserve"> InputsTS!WXV$184</f>
        <v>0</v>
      </c>
      <c r="WXW77" s="223">
        <f xml:space="preserve"> InputsTS!WXW$184</f>
        <v>0</v>
      </c>
      <c r="WXX77" s="223">
        <f xml:space="preserve"> InputsTS!WXX$184</f>
        <v>0</v>
      </c>
      <c r="WXY77" s="223">
        <f xml:space="preserve"> InputsTS!WXY$184</f>
        <v>0</v>
      </c>
      <c r="WXZ77" s="223">
        <f xml:space="preserve"> InputsTS!WXZ$184</f>
        <v>0</v>
      </c>
      <c r="WYA77" s="223">
        <f xml:space="preserve"> InputsTS!WYA$184</f>
        <v>0</v>
      </c>
      <c r="WYB77" s="223">
        <f xml:space="preserve"> InputsTS!WYB$184</f>
        <v>0</v>
      </c>
      <c r="WYC77" s="223">
        <f xml:space="preserve"> InputsTS!WYC$184</f>
        <v>0</v>
      </c>
      <c r="WYD77" s="223">
        <f xml:space="preserve"> InputsTS!WYD$184</f>
        <v>0</v>
      </c>
      <c r="WYE77" s="223">
        <f xml:space="preserve"> InputsTS!WYE$184</f>
        <v>0</v>
      </c>
      <c r="WYF77" s="223">
        <f xml:space="preserve"> InputsTS!WYF$184</f>
        <v>0</v>
      </c>
      <c r="WYG77" s="223">
        <f xml:space="preserve"> InputsTS!WYG$184</f>
        <v>0</v>
      </c>
      <c r="WYH77" s="223">
        <f xml:space="preserve"> InputsTS!WYH$184</f>
        <v>0</v>
      </c>
      <c r="WYI77" s="223">
        <f xml:space="preserve"> InputsTS!WYI$184</f>
        <v>0</v>
      </c>
      <c r="WYJ77" s="223">
        <f xml:space="preserve"> InputsTS!WYJ$184</f>
        <v>0</v>
      </c>
      <c r="WYK77" s="223">
        <f xml:space="preserve"> InputsTS!WYK$184</f>
        <v>0</v>
      </c>
      <c r="WYL77" s="223">
        <f xml:space="preserve"> InputsTS!WYL$184</f>
        <v>0</v>
      </c>
      <c r="WYM77" s="223">
        <f xml:space="preserve"> InputsTS!WYM$184</f>
        <v>0</v>
      </c>
      <c r="WYN77" s="223">
        <f xml:space="preserve"> InputsTS!WYN$184</f>
        <v>0</v>
      </c>
      <c r="WYO77" s="223">
        <f xml:space="preserve"> InputsTS!WYO$184</f>
        <v>0</v>
      </c>
      <c r="WYP77" s="223">
        <f xml:space="preserve"> InputsTS!WYP$184</f>
        <v>0</v>
      </c>
      <c r="WYQ77" s="223">
        <f xml:space="preserve"> InputsTS!WYQ$184</f>
        <v>0</v>
      </c>
      <c r="WYR77" s="223">
        <f xml:space="preserve"> InputsTS!WYR$184</f>
        <v>0</v>
      </c>
      <c r="WYS77" s="223">
        <f xml:space="preserve"> InputsTS!WYS$184</f>
        <v>0</v>
      </c>
      <c r="WYT77" s="223">
        <f xml:space="preserve"> InputsTS!WYT$184</f>
        <v>0</v>
      </c>
      <c r="WYU77" s="223">
        <f xml:space="preserve"> InputsTS!WYU$184</f>
        <v>0</v>
      </c>
      <c r="WYV77" s="223">
        <f xml:space="preserve"> InputsTS!WYV$184</f>
        <v>0</v>
      </c>
      <c r="WYW77" s="223">
        <f xml:space="preserve"> InputsTS!WYW$184</f>
        <v>0</v>
      </c>
      <c r="WYX77" s="223">
        <f xml:space="preserve"> InputsTS!WYX$184</f>
        <v>0</v>
      </c>
      <c r="WYY77" s="223">
        <f xml:space="preserve"> InputsTS!WYY$184</f>
        <v>0</v>
      </c>
      <c r="WYZ77" s="223">
        <f xml:space="preserve"> InputsTS!WYZ$184</f>
        <v>0</v>
      </c>
      <c r="WZA77" s="223">
        <f xml:space="preserve"> InputsTS!WZA$184</f>
        <v>0</v>
      </c>
      <c r="WZB77" s="223">
        <f xml:space="preserve"> InputsTS!WZB$184</f>
        <v>0</v>
      </c>
      <c r="WZC77" s="223">
        <f xml:space="preserve"> InputsTS!WZC$184</f>
        <v>0</v>
      </c>
      <c r="WZD77" s="223">
        <f xml:space="preserve"> InputsTS!WZD$184</f>
        <v>0</v>
      </c>
      <c r="WZE77" s="223">
        <f xml:space="preserve"> InputsTS!WZE$184</f>
        <v>0</v>
      </c>
      <c r="WZF77" s="223">
        <f xml:space="preserve"> InputsTS!WZF$184</f>
        <v>0</v>
      </c>
      <c r="WZG77" s="223">
        <f xml:space="preserve"> InputsTS!WZG$184</f>
        <v>0</v>
      </c>
      <c r="WZH77" s="223">
        <f xml:space="preserve"> InputsTS!WZH$184</f>
        <v>0</v>
      </c>
      <c r="WZI77" s="223">
        <f xml:space="preserve"> InputsTS!WZI$184</f>
        <v>0</v>
      </c>
      <c r="WZJ77" s="223">
        <f xml:space="preserve"> InputsTS!WZJ$184</f>
        <v>0</v>
      </c>
      <c r="WZK77" s="223">
        <f xml:space="preserve"> InputsTS!WZK$184</f>
        <v>0</v>
      </c>
      <c r="WZL77" s="223">
        <f xml:space="preserve"> InputsTS!WZL$184</f>
        <v>0</v>
      </c>
      <c r="WZM77" s="223">
        <f xml:space="preserve"> InputsTS!WZM$184</f>
        <v>0</v>
      </c>
      <c r="WZN77" s="223">
        <f xml:space="preserve"> InputsTS!WZN$184</f>
        <v>0</v>
      </c>
      <c r="WZO77" s="223">
        <f xml:space="preserve"> InputsTS!WZO$184</f>
        <v>0</v>
      </c>
      <c r="WZP77" s="223">
        <f xml:space="preserve"> InputsTS!WZP$184</f>
        <v>0</v>
      </c>
      <c r="WZQ77" s="223">
        <f xml:space="preserve"> InputsTS!WZQ$184</f>
        <v>0</v>
      </c>
      <c r="WZR77" s="223">
        <f xml:space="preserve"> InputsTS!WZR$184</f>
        <v>0</v>
      </c>
      <c r="WZS77" s="223">
        <f xml:space="preserve"> InputsTS!WZS$184</f>
        <v>0</v>
      </c>
      <c r="WZT77" s="223">
        <f xml:space="preserve"> InputsTS!WZT$184</f>
        <v>0</v>
      </c>
      <c r="WZU77" s="223">
        <f xml:space="preserve"> InputsTS!WZU$184</f>
        <v>0</v>
      </c>
      <c r="WZV77" s="223">
        <f xml:space="preserve"> InputsTS!WZV$184</f>
        <v>0</v>
      </c>
      <c r="WZW77" s="223">
        <f xml:space="preserve"> InputsTS!WZW$184</f>
        <v>0</v>
      </c>
      <c r="WZX77" s="223">
        <f xml:space="preserve"> InputsTS!WZX$184</f>
        <v>0</v>
      </c>
      <c r="WZY77" s="223">
        <f xml:space="preserve"> InputsTS!WZY$184</f>
        <v>0</v>
      </c>
      <c r="WZZ77" s="223">
        <f xml:space="preserve"> InputsTS!WZZ$184</f>
        <v>0</v>
      </c>
      <c r="XAA77" s="223">
        <f xml:space="preserve"> InputsTS!XAA$184</f>
        <v>0</v>
      </c>
      <c r="XAB77" s="223">
        <f xml:space="preserve"> InputsTS!XAB$184</f>
        <v>0</v>
      </c>
      <c r="XAC77" s="223">
        <f xml:space="preserve"> InputsTS!XAC$184</f>
        <v>0</v>
      </c>
      <c r="XAD77" s="223">
        <f xml:space="preserve"> InputsTS!XAD$184</f>
        <v>0</v>
      </c>
      <c r="XAE77" s="223">
        <f xml:space="preserve"> InputsTS!XAE$184</f>
        <v>0</v>
      </c>
      <c r="XAF77" s="223">
        <f xml:space="preserve"> InputsTS!XAF$184</f>
        <v>0</v>
      </c>
      <c r="XAG77" s="223">
        <f xml:space="preserve"> InputsTS!XAG$184</f>
        <v>0</v>
      </c>
      <c r="XAH77" s="223">
        <f xml:space="preserve"> InputsTS!XAH$184</f>
        <v>0</v>
      </c>
      <c r="XAI77" s="223">
        <f xml:space="preserve"> InputsTS!XAI$184</f>
        <v>0</v>
      </c>
      <c r="XAJ77" s="223">
        <f xml:space="preserve"> InputsTS!XAJ$184</f>
        <v>0</v>
      </c>
      <c r="XAK77" s="223">
        <f xml:space="preserve"> InputsTS!XAK$184</f>
        <v>0</v>
      </c>
      <c r="XAL77" s="223">
        <f xml:space="preserve"> InputsTS!XAL$184</f>
        <v>0</v>
      </c>
      <c r="XAM77" s="223">
        <f xml:space="preserve"> InputsTS!XAM$184</f>
        <v>0</v>
      </c>
      <c r="XAN77" s="223">
        <f xml:space="preserve"> InputsTS!XAN$184</f>
        <v>0</v>
      </c>
      <c r="XAO77" s="223">
        <f xml:space="preserve"> InputsTS!XAO$184</f>
        <v>0</v>
      </c>
      <c r="XAP77" s="223">
        <f xml:space="preserve"> InputsTS!XAP$184</f>
        <v>0</v>
      </c>
      <c r="XAQ77" s="223">
        <f xml:space="preserve"> InputsTS!XAQ$184</f>
        <v>0</v>
      </c>
      <c r="XAR77" s="223">
        <f xml:space="preserve"> InputsTS!XAR$184</f>
        <v>0</v>
      </c>
      <c r="XAS77" s="223">
        <f xml:space="preserve"> InputsTS!XAS$184</f>
        <v>0</v>
      </c>
      <c r="XAT77" s="223">
        <f xml:space="preserve"> InputsTS!XAT$184</f>
        <v>0</v>
      </c>
      <c r="XAU77" s="223">
        <f xml:space="preserve"> InputsTS!XAU$184</f>
        <v>0</v>
      </c>
      <c r="XAV77" s="223">
        <f xml:space="preserve"> InputsTS!XAV$184</f>
        <v>0</v>
      </c>
      <c r="XAW77" s="223">
        <f xml:space="preserve"> InputsTS!XAW$184</f>
        <v>0</v>
      </c>
      <c r="XAX77" s="223">
        <f xml:space="preserve"> InputsTS!XAX$184</f>
        <v>0</v>
      </c>
      <c r="XAY77" s="223">
        <f xml:space="preserve"> InputsTS!XAY$184</f>
        <v>0</v>
      </c>
      <c r="XAZ77" s="223">
        <f xml:space="preserve"> InputsTS!XAZ$184</f>
        <v>0</v>
      </c>
      <c r="XBA77" s="223">
        <f xml:space="preserve"> InputsTS!XBA$184</f>
        <v>0</v>
      </c>
      <c r="XBB77" s="223">
        <f xml:space="preserve"> InputsTS!XBB$184</f>
        <v>0</v>
      </c>
      <c r="XBC77" s="223">
        <f xml:space="preserve"> InputsTS!XBC$184</f>
        <v>0</v>
      </c>
      <c r="XBD77" s="223">
        <f xml:space="preserve"> InputsTS!XBD$184</f>
        <v>0</v>
      </c>
      <c r="XBE77" s="223">
        <f xml:space="preserve"> InputsTS!XBE$184</f>
        <v>0</v>
      </c>
      <c r="XBF77" s="223">
        <f xml:space="preserve"> InputsTS!XBF$184</f>
        <v>0</v>
      </c>
      <c r="XBG77" s="223">
        <f xml:space="preserve"> InputsTS!XBG$184</f>
        <v>0</v>
      </c>
      <c r="XBH77" s="223">
        <f xml:space="preserve"> InputsTS!XBH$184</f>
        <v>0</v>
      </c>
      <c r="XBI77" s="223">
        <f xml:space="preserve"> InputsTS!XBI$184</f>
        <v>0</v>
      </c>
      <c r="XBJ77" s="223">
        <f xml:space="preserve"> InputsTS!XBJ$184</f>
        <v>0</v>
      </c>
      <c r="XBK77" s="223">
        <f xml:space="preserve"> InputsTS!XBK$184</f>
        <v>0</v>
      </c>
      <c r="XBL77" s="223">
        <f xml:space="preserve"> InputsTS!XBL$184</f>
        <v>0</v>
      </c>
      <c r="XBM77" s="223">
        <f xml:space="preserve"> InputsTS!XBM$184</f>
        <v>0</v>
      </c>
      <c r="XBN77" s="223">
        <f xml:space="preserve"> InputsTS!XBN$184</f>
        <v>0</v>
      </c>
      <c r="XBO77" s="223">
        <f xml:space="preserve"> InputsTS!XBO$184</f>
        <v>0</v>
      </c>
      <c r="XBP77" s="223">
        <f xml:space="preserve"> InputsTS!XBP$184</f>
        <v>0</v>
      </c>
      <c r="XBQ77" s="223">
        <f xml:space="preserve"> InputsTS!XBQ$184</f>
        <v>0</v>
      </c>
      <c r="XBR77" s="223">
        <f xml:space="preserve"> InputsTS!XBR$184</f>
        <v>0</v>
      </c>
      <c r="XBS77" s="223">
        <f xml:space="preserve"> InputsTS!XBS$184</f>
        <v>0</v>
      </c>
      <c r="XBT77" s="223">
        <f xml:space="preserve"> InputsTS!XBT$184</f>
        <v>0</v>
      </c>
      <c r="XBU77" s="223">
        <f xml:space="preserve"> InputsTS!XBU$184</f>
        <v>0</v>
      </c>
      <c r="XBV77" s="223">
        <f xml:space="preserve"> InputsTS!XBV$184</f>
        <v>0</v>
      </c>
      <c r="XBW77" s="223">
        <f xml:space="preserve"> InputsTS!XBW$184</f>
        <v>0</v>
      </c>
      <c r="XBX77" s="223">
        <f xml:space="preserve"> InputsTS!XBX$184</f>
        <v>0</v>
      </c>
      <c r="XBY77" s="223">
        <f xml:space="preserve"> InputsTS!XBY$184</f>
        <v>0</v>
      </c>
      <c r="XBZ77" s="223">
        <f xml:space="preserve"> InputsTS!XBZ$184</f>
        <v>0</v>
      </c>
      <c r="XCA77" s="223">
        <f xml:space="preserve"> InputsTS!XCA$184</f>
        <v>0</v>
      </c>
      <c r="XCB77" s="223">
        <f xml:space="preserve"> InputsTS!XCB$184</f>
        <v>0</v>
      </c>
      <c r="XCC77" s="223">
        <f xml:space="preserve"> InputsTS!XCC$184</f>
        <v>0</v>
      </c>
      <c r="XCD77" s="223">
        <f xml:space="preserve"> InputsTS!XCD$184</f>
        <v>0</v>
      </c>
      <c r="XCE77" s="223">
        <f xml:space="preserve"> InputsTS!XCE$184</f>
        <v>0</v>
      </c>
      <c r="XCF77" s="223">
        <f xml:space="preserve"> InputsTS!XCF$184</f>
        <v>0</v>
      </c>
      <c r="XCG77" s="223">
        <f xml:space="preserve"> InputsTS!XCG$184</f>
        <v>0</v>
      </c>
      <c r="XCH77" s="223">
        <f xml:space="preserve"> InputsTS!XCH$184</f>
        <v>0</v>
      </c>
      <c r="XCI77" s="223">
        <f xml:space="preserve"> InputsTS!XCI$184</f>
        <v>0</v>
      </c>
      <c r="XCJ77" s="223">
        <f xml:space="preserve"> InputsTS!XCJ$184</f>
        <v>0</v>
      </c>
      <c r="XCK77" s="223">
        <f xml:space="preserve"> InputsTS!XCK$184</f>
        <v>0</v>
      </c>
      <c r="XCL77" s="223">
        <f xml:space="preserve"> InputsTS!XCL$184</f>
        <v>0</v>
      </c>
      <c r="XCM77" s="223">
        <f xml:space="preserve"> InputsTS!XCM$184</f>
        <v>0</v>
      </c>
      <c r="XCN77" s="223">
        <f xml:space="preserve"> InputsTS!XCN$184</f>
        <v>0</v>
      </c>
      <c r="XCO77" s="223">
        <f xml:space="preserve"> InputsTS!XCO$184</f>
        <v>0</v>
      </c>
      <c r="XCP77" s="223">
        <f xml:space="preserve"> InputsTS!XCP$184</f>
        <v>0</v>
      </c>
      <c r="XCQ77" s="223">
        <f xml:space="preserve"> InputsTS!XCQ$184</f>
        <v>0</v>
      </c>
      <c r="XCR77" s="223">
        <f xml:space="preserve"> InputsTS!XCR$184</f>
        <v>0</v>
      </c>
      <c r="XCS77" s="223">
        <f xml:space="preserve"> InputsTS!XCS$184</f>
        <v>0</v>
      </c>
      <c r="XCT77" s="223">
        <f xml:space="preserve"> InputsTS!XCT$184</f>
        <v>0</v>
      </c>
      <c r="XCU77" s="223">
        <f xml:space="preserve"> InputsTS!XCU$184</f>
        <v>0</v>
      </c>
      <c r="XCV77" s="223">
        <f xml:space="preserve"> InputsTS!XCV$184</f>
        <v>0</v>
      </c>
      <c r="XCW77" s="223">
        <f xml:space="preserve"> InputsTS!XCW$184</f>
        <v>0</v>
      </c>
      <c r="XCX77" s="223">
        <f xml:space="preserve"> InputsTS!XCX$184</f>
        <v>0</v>
      </c>
      <c r="XCY77" s="223">
        <f xml:space="preserve"> InputsTS!XCY$184</f>
        <v>0</v>
      </c>
      <c r="XCZ77" s="223">
        <f xml:space="preserve"> InputsTS!XCZ$184</f>
        <v>0</v>
      </c>
      <c r="XDA77" s="223">
        <f xml:space="preserve"> InputsTS!XDA$184</f>
        <v>0</v>
      </c>
      <c r="XDB77" s="223">
        <f xml:space="preserve"> InputsTS!XDB$184</f>
        <v>0</v>
      </c>
      <c r="XDC77" s="223">
        <f xml:space="preserve"> InputsTS!XDC$184</f>
        <v>0</v>
      </c>
      <c r="XDD77" s="223">
        <f xml:space="preserve"> InputsTS!XDD$184</f>
        <v>0</v>
      </c>
      <c r="XDE77" s="223">
        <f xml:space="preserve"> InputsTS!XDE$184</f>
        <v>0</v>
      </c>
      <c r="XDF77" s="223">
        <f xml:space="preserve"> InputsTS!XDF$184</f>
        <v>0</v>
      </c>
      <c r="XDG77" s="223">
        <f xml:space="preserve"> InputsTS!XDG$184</f>
        <v>0</v>
      </c>
      <c r="XDH77" s="223">
        <f xml:space="preserve"> InputsTS!XDH$184</f>
        <v>0</v>
      </c>
      <c r="XDI77" s="223">
        <f xml:space="preserve"> InputsTS!XDI$184</f>
        <v>0</v>
      </c>
      <c r="XDJ77" s="223">
        <f xml:space="preserve"> InputsTS!XDJ$184</f>
        <v>0</v>
      </c>
      <c r="XDK77" s="223">
        <f xml:space="preserve"> InputsTS!XDK$184</f>
        <v>0</v>
      </c>
      <c r="XDL77" s="223">
        <f xml:space="preserve"> InputsTS!XDL$184</f>
        <v>0</v>
      </c>
      <c r="XDM77" s="223">
        <f xml:space="preserve"> InputsTS!XDM$184</f>
        <v>0</v>
      </c>
      <c r="XDN77" s="223">
        <f xml:space="preserve"> InputsTS!XDN$184</f>
        <v>0</v>
      </c>
      <c r="XDO77" s="223">
        <f xml:space="preserve"> InputsTS!XDO$184</f>
        <v>0</v>
      </c>
      <c r="XDP77" s="223">
        <f xml:space="preserve"> InputsTS!XDP$184</f>
        <v>0</v>
      </c>
      <c r="XDQ77" s="223">
        <f xml:space="preserve"> InputsTS!XDQ$184</f>
        <v>0</v>
      </c>
      <c r="XDR77" s="223">
        <f xml:space="preserve"> InputsTS!XDR$184</f>
        <v>0</v>
      </c>
      <c r="XDS77" s="223">
        <f xml:space="preserve"> InputsTS!XDS$184</f>
        <v>0</v>
      </c>
      <c r="XDT77" s="223">
        <f xml:space="preserve"> InputsTS!XDT$184</f>
        <v>0</v>
      </c>
      <c r="XDU77" s="223">
        <f xml:space="preserve"> InputsTS!XDU$184</f>
        <v>0</v>
      </c>
      <c r="XDV77" s="223">
        <f xml:space="preserve"> InputsTS!XDV$184</f>
        <v>0</v>
      </c>
      <c r="XDW77" s="223">
        <f xml:space="preserve"> InputsTS!XDW$184</f>
        <v>0</v>
      </c>
      <c r="XDX77" s="223">
        <f xml:space="preserve"> InputsTS!XDX$184</f>
        <v>0</v>
      </c>
      <c r="XDY77" s="223">
        <f xml:space="preserve"> InputsTS!XDY$184</f>
        <v>0</v>
      </c>
      <c r="XDZ77" s="223">
        <f xml:space="preserve"> InputsTS!XDZ$184</f>
        <v>0</v>
      </c>
      <c r="XEA77" s="223">
        <f xml:space="preserve"> InputsTS!XEA$184</f>
        <v>0</v>
      </c>
      <c r="XEB77" s="223">
        <f xml:space="preserve"> InputsTS!XEB$184</f>
        <v>0</v>
      </c>
      <c r="XEC77" s="223">
        <f xml:space="preserve"> InputsTS!XEC$184</f>
        <v>0</v>
      </c>
      <c r="XED77" s="223">
        <f xml:space="preserve"> InputsTS!XED$184</f>
        <v>0</v>
      </c>
      <c r="XEE77" s="223">
        <f xml:space="preserve"> InputsTS!XEE$184</f>
        <v>0</v>
      </c>
      <c r="XEF77" s="223">
        <f xml:space="preserve"> InputsTS!XEF$184</f>
        <v>0</v>
      </c>
      <c r="XEG77" s="223">
        <f xml:space="preserve"> InputsTS!XEG$184</f>
        <v>0</v>
      </c>
      <c r="XEH77" s="223">
        <f xml:space="preserve"> InputsTS!XEH$184</f>
        <v>0</v>
      </c>
      <c r="XEI77" s="223">
        <f xml:space="preserve"> InputsTS!XEI$184</f>
        <v>0</v>
      </c>
      <c r="XEJ77" s="223">
        <f xml:space="preserve"> InputsTS!XEJ$184</f>
        <v>0</v>
      </c>
      <c r="XEK77" s="223">
        <f xml:space="preserve"> InputsTS!XEK$184</f>
        <v>0</v>
      </c>
      <c r="XEL77" s="223">
        <f xml:space="preserve"> InputsTS!XEL$184</f>
        <v>0</v>
      </c>
      <c r="XEM77" s="223">
        <f xml:space="preserve"> InputsTS!XEM$184</f>
        <v>0</v>
      </c>
      <c r="XEN77" s="223">
        <f xml:space="preserve"> InputsTS!XEN$184</f>
        <v>0</v>
      </c>
      <c r="XEO77" s="223">
        <f xml:space="preserve"> InputsTS!XEO$184</f>
        <v>0</v>
      </c>
      <c r="XEP77" s="223">
        <f xml:space="preserve"> InputsTS!XEP$184</f>
        <v>0</v>
      </c>
      <c r="XEQ77" s="223">
        <f xml:space="preserve"> InputsTS!XEQ$184</f>
        <v>0</v>
      </c>
      <c r="XER77" s="223">
        <f xml:space="preserve"> InputsTS!XER$184</f>
        <v>0</v>
      </c>
      <c r="XES77" s="223">
        <f xml:space="preserve"> InputsTS!XES$184</f>
        <v>0</v>
      </c>
      <c r="XET77" s="223">
        <f xml:space="preserve"> InputsTS!XET$184</f>
        <v>0</v>
      </c>
      <c r="XEU77" s="223">
        <f xml:space="preserve"> InputsTS!XEU$184</f>
        <v>0</v>
      </c>
      <c r="XEV77" s="223">
        <f xml:space="preserve"> InputsTS!XEV$184</f>
        <v>0</v>
      </c>
      <c r="XEW77" s="223">
        <f xml:space="preserve"> InputsTS!XEW$184</f>
        <v>0</v>
      </c>
      <c r="XEX77" s="223">
        <f xml:space="preserve"> InputsTS!XEX$184</f>
        <v>0</v>
      </c>
      <c r="XEY77" s="223">
        <f xml:space="preserve"> InputsTS!XEY$184</f>
        <v>0</v>
      </c>
      <c r="XEZ77" s="223">
        <f xml:space="preserve"> InputsTS!XEZ$184</f>
        <v>0</v>
      </c>
      <c r="XFA77" s="223">
        <f xml:space="preserve"> InputsTS!XFA$184</f>
        <v>0</v>
      </c>
      <c r="XFB77" s="223">
        <f xml:space="preserve"> InputsTS!XFB$184</f>
        <v>0</v>
      </c>
      <c r="XFC77" s="223">
        <f xml:space="preserve"> InputsTS!XFC$184</f>
        <v>0</v>
      </c>
      <c r="XFD77" s="223">
        <f xml:space="preserve"> InputsTS!XFD$184</f>
        <v>0</v>
      </c>
    </row>
    <row r="78" spans="1:16384" s="46" customFormat="1" ht="15" customHeight="1">
      <c r="B78" s="42"/>
      <c r="C78" s="43"/>
      <c r="D78" s="44"/>
    </row>
    <row r="79" spans="1:16384" s="266" customFormat="1" ht="15" customHeight="1">
      <c r="A79" s="265"/>
      <c r="B79" s="262"/>
      <c r="C79" s="313"/>
      <c r="D79" s="319"/>
      <c r="E79" s="266" t="str">
        <f>"Copper realized price: " &amp; F79</f>
        <v>Copper realized price: SOM_Contract</v>
      </c>
      <c r="F79" s="319" t="str">
        <f xml:space="preserve"> F67</f>
        <v>SOM_Contract</v>
      </c>
      <c r="G79" s="266" t="s">
        <v>14</v>
      </c>
      <c r="K79" s="266">
        <f xml:space="preserve"> K72 * ( 1 - $F$70 ) - $F$71</f>
        <v>0</v>
      </c>
      <c r="L79" s="266">
        <f t="shared" ref="L79:AV79" si="20" xml:space="preserve"> L72 * ( 1 - $F$73 ) - $F$74 * $F75</f>
        <v>6496.9805415999999</v>
      </c>
      <c r="M79" s="266">
        <f t="shared" si="20"/>
        <v>5153.7817096000008</v>
      </c>
      <c r="N79" s="266">
        <f t="shared" si="20"/>
        <v>4515.8481416000004</v>
      </c>
      <c r="O79" s="266">
        <f t="shared" si="20"/>
        <v>5808.5164319999994</v>
      </c>
      <c r="P79" s="266">
        <f t="shared" si="20"/>
        <v>6165.7834543999998</v>
      </c>
      <c r="Q79" s="266">
        <f t="shared" si="20"/>
        <v>5649.8719560000009</v>
      </c>
      <c r="R79" s="266">
        <f t="shared" si="20"/>
        <v>5813.1011823999997</v>
      </c>
      <c r="S79" s="266">
        <f t="shared" si="20"/>
        <v>8933.3236551999998</v>
      </c>
      <c r="T79" s="266">
        <f t="shared" si="20"/>
        <v>8448.3487975999997</v>
      </c>
      <c r="U79" s="266">
        <f t="shared" si="20"/>
        <v>8112.6285136000006</v>
      </c>
      <c r="V79" s="266">
        <f t="shared" si="20"/>
        <v>8172.1577944000001</v>
      </c>
      <c r="W79" s="266">
        <f t="shared" si="20"/>
        <v>8281.8681512000003</v>
      </c>
      <c r="X79" s="266">
        <f t="shared" si="20"/>
        <v>8296.8226975999987</v>
      </c>
      <c r="Y79" s="266">
        <f t="shared" si="20"/>
        <v>8288.342200000001</v>
      </c>
      <c r="Z79" s="266">
        <f t="shared" si="20"/>
        <v>8276.3045000000002</v>
      </c>
      <c r="AA79" s="266">
        <f t="shared" si="20"/>
        <v>8289.0868000000009</v>
      </c>
      <c r="AB79" s="266">
        <f t="shared" si="20"/>
        <v>8476.261022049508</v>
      </c>
      <c r="AC79" s="266">
        <f t="shared" si="20"/>
        <v>8652.126242490498</v>
      </c>
      <c r="AD79" s="266">
        <f t="shared" si="20"/>
        <v>8831.5087673403086</v>
      </c>
      <c r="AE79" s="266">
        <f t="shared" si="20"/>
        <v>9014.4789426871157</v>
      </c>
      <c r="AF79" s="266">
        <f t="shared" si="20"/>
        <v>9201.1085215408566</v>
      </c>
      <c r="AG79" s="266">
        <f t="shared" si="20"/>
        <v>9391.4706919716737</v>
      </c>
      <c r="AH79" s="266">
        <f t="shared" si="20"/>
        <v>9585.6401058111078</v>
      </c>
      <c r="AI79" s="266">
        <f t="shared" si="20"/>
        <v>9783.6929079273305</v>
      </c>
      <c r="AJ79" s="266">
        <f t="shared" si="20"/>
        <v>9985.7067660858793</v>
      </c>
      <c r="AK79" s="266">
        <f t="shared" si="20"/>
        <v>10191.760901407597</v>
      </c>
      <c r="AL79" s="266">
        <f t="shared" si="20"/>
        <v>10401.936119435748</v>
      </c>
      <c r="AM79" s="266">
        <f t="shared" si="20"/>
        <v>10616.314841824464</v>
      </c>
      <c r="AN79" s="266">
        <f t="shared" si="20"/>
        <v>10834.981138660954</v>
      </c>
      <c r="AO79" s="266">
        <f t="shared" si="20"/>
        <v>11058.020761434174</v>
      </c>
      <c r="AP79" s="266">
        <f t="shared" si="20"/>
        <v>11285.521176662856</v>
      </c>
      <c r="AQ79" s="266">
        <f t="shared" si="20"/>
        <v>11517.571600196114</v>
      </c>
      <c r="AR79" s="266">
        <f t="shared" si="20"/>
        <v>11754.263032200037</v>
      </c>
      <c r="AS79" s="266">
        <f t="shared" si="20"/>
        <v>11995.688292844037</v>
      </c>
      <c r="AT79" s="266">
        <f t="shared" si="20"/>
        <v>12241.942058700921</v>
      </c>
      <c r="AU79" s="266">
        <f t="shared" si="20"/>
        <v>12493.120899874939</v>
      </c>
      <c r="AV79" s="266">
        <f t="shared" si="20"/>
        <v>12749.323317872437</v>
      </c>
    </row>
    <row r="80" spans="1:16384" s="258" customFormat="1" ht="15" customHeight="1">
      <c r="A80" s="345"/>
      <c r="B80" s="255"/>
      <c r="C80" s="256"/>
      <c r="D80" s="257"/>
      <c r="E80" s="258" t="s">
        <v>619</v>
      </c>
      <c r="G80" s="258" t="s">
        <v>621</v>
      </c>
      <c r="H80" s="266"/>
      <c r="L80" s="81">
        <f t="shared" ref="L80:AV80" si="21" xml:space="preserve"> L79 / L72</f>
        <v>0.94661295880159635</v>
      </c>
      <c r="M80" s="81">
        <f t="shared" si="21"/>
        <v>0.93527301085917203</v>
      </c>
      <c r="N80" s="81">
        <f t="shared" si="21"/>
        <v>0.92767947670215711</v>
      </c>
      <c r="O80" s="81">
        <f t="shared" si="21"/>
        <v>0.94142186666320904</v>
      </c>
      <c r="P80" s="81">
        <f t="shared" si="21"/>
        <v>0.94425332213952096</v>
      </c>
      <c r="Q80" s="81">
        <f t="shared" si="21"/>
        <v>0.94005584823660671</v>
      </c>
      <c r="R80" s="81">
        <f t="shared" si="21"/>
        <v>0.94146029276913423</v>
      </c>
      <c r="S80" s="81">
        <f t="shared" si="21"/>
        <v>0.95877766610867898</v>
      </c>
      <c r="T80" s="81">
        <f t="shared" si="21"/>
        <v>0.95689525653033103</v>
      </c>
      <c r="U80" s="81">
        <f t="shared" si="21"/>
        <v>0.95546530612917902</v>
      </c>
      <c r="V80" s="81">
        <f t="shared" si="21"/>
        <v>0.95572711154366718</v>
      </c>
      <c r="W80" s="81">
        <f t="shared" si="21"/>
        <v>0.95620011330955468</v>
      </c>
      <c r="X80" s="81">
        <f t="shared" si="21"/>
        <v>0.95626365475020891</v>
      </c>
      <c r="Y80" s="81">
        <f t="shared" si="21"/>
        <v>0.95622764846701869</v>
      </c>
      <c r="Z80" s="81">
        <f t="shared" si="21"/>
        <v>0.95617641706982459</v>
      </c>
      <c r="AA80" s="81">
        <f t="shared" si="21"/>
        <v>0.9562308127126955</v>
      </c>
      <c r="AB80" s="81">
        <f t="shared" si="21"/>
        <v>0.95700922804283517</v>
      </c>
      <c r="AC80" s="81">
        <f t="shared" si="21"/>
        <v>0.95771100788513253</v>
      </c>
      <c r="AD80" s="81">
        <f t="shared" si="21"/>
        <v>0.95839902733836535</v>
      </c>
      <c r="AE80" s="81">
        <f t="shared" si="21"/>
        <v>0.95907355621408363</v>
      </c>
      <c r="AF80" s="81">
        <f t="shared" si="21"/>
        <v>0.95973485903341538</v>
      </c>
      <c r="AG80" s="81">
        <f t="shared" si="21"/>
        <v>0.96038319513079917</v>
      </c>
      <c r="AH80" s="81">
        <f t="shared" si="21"/>
        <v>0.96101881875568551</v>
      </c>
      <c r="AI80" s="81">
        <f t="shared" si="21"/>
        <v>0.9616419791722407</v>
      </c>
      <c r="AJ80" s="81">
        <f t="shared" si="21"/>
        <v>0.96225292075709878</v>
      </c>
      <c r="AK80" s="81">
        <f t="shared" si="21"/>
        <v>0.96285188309519476</v>
      </c>
      <c r="AL80" s="81">
        <f t="shared" si="21"/>
        <v>0.96343910107372044</v>
      </c>
      <c r="AM80" s="81">
        <f t="shared" si="21"/>
        <v>0.96401480497423575</v>
      </c>
      <c r="AN80" s="81">
        <f t="shared" si="21"/>
        <v>0.96457922056297629</v>
      </c>
      <c r="AO80" s="81">
        <f t="shared" si="21"/>
        <v>0.9651325691793885</v>
      </c>
      <c r="AP80" s="81">
        <f t="shared" si="21"/>
        <v>0.96567506782292989</v>
      </c>
      <c r="AQ80" s="81">
        <f t="shared" si="21"/>
        <v>0.96620692923816653</v>
      </c>
      <c r="AR80" s="81">
        <f t="shared" si="21"/>
        <v>0.96672836199820256</v>
      </c>
      <c r="AS80" s="81">
        <f t="shared" si="21"/>
        <v>0.96723957058647303</v>
      </c>
      <c r="AT80" s="81">
        <f t="shared" si="21"/>
        <v>0.96774075547693439</v>
      </c>
      <c r="AU80" s="81">
        <f t="shared" si="21"/>
        <v>0.96823211321268077</v>
      </c>
      <c r="AV80" s="81">
        <f t="shared" si="21"/>
        <v>0.96871383648302023</v>
      </c>
    </row>
    <row r="81" spans="1:48" s="266" customFormat="1" ht="15" customHeight="1">
      <c r="A81" s="265"/>
      <c r="B81" s="262"/>
      <c r="C81" s="313"/>
      <c r="D81" s="319"/>
    </row>
    <row r="82" spans="1:48" s="279" customFormat="1" ht="15" customHeight="1">
      <c r="B82" s="572" t="s">
        <v>630</v>
      </c>
      <c r="C82" s="573"/>
      <c r="D82" s="848"/>
    </row>
    <row r="83" spans="1:48" s="354" customFormat="1" ht="15" customHeight="1">
      <c r="A83" s="353"/>
      <c r="B83" s="358"/>
      <c r="C83" s="355"/>
      <c r="D83" s="849"/>
      <c r="F83" s="354" t="s">
        <v>610</v>
      </c>
    </row>
    <row r="84" spans="1:48" s="3" customFormat="1" ht="15" customHeight="1">
      <c r="C84" s="434"/>
      <c r="D84" s="850"/>
      <c r="E84" s="3" t="str">
        <f t="shared" ref="E84:AV84" si="22" xml:space="preserve"> E$57</f>
        <v>Copper realized price: %LME(actual)</v>
      </c>
      <c r="F84" s="3" t="str">
        <f t="shared" si="22"/>
        <v>%LME(actual)</v>
      </c>
      <c r="G84" s="3" t="str">
        <f t="shared" si="22"/>
        <v>$ / tonne</v>
      </c>
      <c r="H84" s="3">
        <f t="shared" si="22"/>
        <v>0</v>
      </c>
      <c r="I84" s="3">
        <f t="shared" si="22"/>
        <v>0</v>
      </c>
      <c r="J84" s="3">
        <f t="shared" si="22"/>
        <v>0</v>
      </c>
      <c r="K84" s="3">
        <f t="shared" si="22"/>
        <v>0</v>
      </c>
      <c r="L84" s="3">
        <f t="shared" si="22"/>
        <v>6728.1958090582302</v>
      </c>
      <c r="M84" s="3">
        <f t="shared" si="22"/>
        <v>5401.9072032982494</v>
      </c>
      <c r="N84" s="3">
        <f t="shared" si="22"/>
        <v>4772.0049116096789</v>
      </c>
      <c r="O84" s="3">
        <f t="shared" si="22"/>
        <v>6048.3991309464891</v>
      </c>
      <c r="P84" s="3">
        <f t="shared" si="22"/>
        <v>6495.8937779807957</v>
      </c>
      <c r="Q84" s="3">
        <f t="shared" si="22"/>
        <v>6002.3410912525615</v>
      </c>
      <c r="R84" s="3">
        <f t="shared" si="22"/>
        <v>5830.4841091079497</v>
      </c>
      <c r="S84" s="3">
        <f t="shared" si="22"/>
        <v>9162.9230906790654</v>
      </c>
      <c r="T84" s="3">
        <f t="shared" si="22"/>
        <v>8654.9972787415572</v>
      </c>
      <c r="U84" s="3">
        <f t="shared" si="22"/>
        <v>8323.5035513916628</v>
      </c>
      <c r="V84" s="3">
        <f t="shared" si="22"/>
        <v>8382.2833872232404</v>
      </c>
      <c r="W84" s="3">
        <f t="shared" si="22"/>
        <v>8490.6125434815458</v>
      </c>
      <c r="X84" s="3">
        <f t="shared" si="22"/>
        <v>8505.3788193463752</v>
      </c>
      <c r="Y84" s="3">
        <f t="shared" si="22"/>
        <v>8497.0050871258773</v>
      </c>
      <c r="Z84" s="3">
        <f t="shared" si="22"/>
        <v>8485.1189359699947</v>
      </c>
      <c r="AA84" s="3">
        <f t="shared" si="22"/>
        <v>8497.7403129705708</v>
      </c>
      <c r="AB84" s="3">
        <f t="shared" si="22"/>
        <v>8682.5581017313125</v>
      </c>
      <c r="AC84" s="3">
        <f t="shared" si="22"/>
        <v>8856.2092637659389</v>
      </c>
      <c r="AD84" s="3">
        <f t="shared" si="22"/>
        <v>9033.3334490412562</v>
      </c>
      <c r="AE84" s="3">
        <f t="shared" si="22"/>
        <v>9214.0001180220825</v>
      </c>
      <c r="AF84" s="3">
        <f t="shared" si="22"/>
        <v>9398.2801203825238</v>
      </c>
      <c r="AG84" s="3">
        <f t="shared" si="22"/>
        <v>9586.2457227901741</v>
      </c>
      <c r="AH84" s="3">
        <f t="shared" si="22"/>
        <v>9777.9706372459787</v>
      </c>
      <c r="AI84" s="3">
        <f t="shared" si="22"/>
        <v>9973.530049990899</v>
      </c>
      <c r="AJ84" s="3">
        <f t="shared" si="22"/>
        <v>10173.00065099072</v>
      </c>
      <c r="AK84" s="3">
        <f t="shared" si="22"/>
        <v>10376.460664010534</v>
      </c>
      <c r="AL84" s="3">
        <f t="shared" si="22"/>
        <v>10583.989877290744</v>
      </c>
      <c r="AM84" s="3">
        <f t="shared" si="22"/>
        <v>10795.669674836559</v>
      </c>
      <c r="AN84" s="3">
        <f t="shared" si="22"/>
        <v>11011.583068333292</v>
      </c>
      <c r="AO84" s="3">
        <f t="shared" si="22"/>
        <v>11231.814729699958</v>
      </c>
      <c r="AP84" s="3">
        <f t="shared" si="22"/>
        <v>11456.451024293954</v>
      </c>
      <c r="AQ84" s="3">
        <f t="shared" si="22"/>
        <v>11685.580044779836</v>
      </c>
      <c r="AR84" s="3">
        <f t="shared" si="22"/>
        <v>11919.291645675432</v>
      </c>
      <c r="AS84" s="3">
        <f t="shared" si="22"/>
        <v>12157.677478588941</v>
      </c>
      <c r="AT84" s="3">
        <f t="shared" si="22"/>
        <v>12400.831028160723</v>
      </c>
      <c r="AU84" s="3">
        <f t="shared" si="22"/>
        <v>12648.847648723937</v>
      </c>
      <c r="AV84" s="3">
        <f t="shared" si="22"/>
        <v>12901.824601698414</v>
      </c>
    </row>
    <row r="85" spans="1:48" s="98" customFormat="1" ht="15" customHeight="1">
      <c r="A85" s="365"/>
      <c r="B85" s="357"/>
      <c r="C85" s="366"/>
      <c r="D85" s="317"/>
      <c r="E85" s="98" t="str">
        <f t="shared" ref="E85:AV85" si="23" xml:space="preserve"> E$64</f>
        <v>Copper realized price: %LME(assumed)</v>
      </c>
      <c r="F85" s="98" t="str">
        <f t="shared" si="23"/>
        <v>%LME(assumed)</v>
      </c>
      <c r="G85" s="98" t="str">
        <f t="shared" si="23"/>
        <v>$ / tonne</v>
      </c>
      <c r="H85" s="98">
        <f t="shared" si="23"/>
        <v>0</v>
      </c>
      <c r="I85" s="98">
        <f t="shared" si="23"/>
        <v>0</v>
      </c>
      <c r="J85" s="98">
        <f t="shared" si="23"/>
        <v>0</v>
      </c>
      <c r="K85" s="98">
        <f t="shared" si="23"/>
        <v>0</v>
      </c>
      <c r="L85" s="98">
        <f t="shared" si="23"/>
        <v>6520.2271499999997</v>
      </c>
      <c r="M85" s="98">
        <f t="shared" si="23"/>
        <v>5234.93415</v>
      </c>
      <c r="N85" s="98">
        <f t="shared" si="23"/>
        <v>4624.5021499999993</v>
      </c>
      <c r="O85" s="98">
        <f t="shared" si="23"/>
        <v>5861.4429999999993</v>
      </c>
      <c r="P85" s="98">
        <f t="shared" si="23"/>
        <v>6203.3080999999993</v>
      </c>
      <c r="Q85" s="98">
        <f t="shared" si="23"/>
        <v>5709.6377499999999</v>
      </c>
      <c r="R85" s="98">
        <f t="shared" si="23"/>
        <v>5865.8301000000001</v>
      </c>
      <c r="S85" s="98">
        <f t="shared" si="23"/>
        <v>8851.5385499999993</v>
      </c>
      <c r="T85" s="98">
        <f t="shared" si="23"/>
        <v>8387.4711499999994</v>
      </c>
      <c r="U85" s="98">
        <f t="shared" si="23"/>
        <v>8066.2239</v>
      </c>
      <c r="V85" s="98">
        <f t="shared" si="23"/>
        <v>8123.1868499999991</v>
      </c>
      <c r="W85" s="98">
        <f t="shared" si="23"/>
        <v>8228.1675499999983</v>
      </c>
      <c r="X85" s="98">
        <f t="shared" si="23"/>
        <v>8242.4773999999998</v>
      </c>
      <c r="Y85" s="98">
        <f t="shared" si="23"/>
        <v>8234.3624999999993</v>
      </c>
      <c r="Z85" s="98">
        <f t="shared" si="23"/>
        <v>8222.84375</v>
      </c>
      <c r="AA85" s="98">
        <f t="shared" si="23"/>
        <v>8235.0749999999989</v>
      </c>
      <c r="AB85" s="98">
        <f t="shared" si="23"/>
        <v>8414.1800674325459</v>
      </c>
      <c r="AC85" s="98">
        <f t="shared" si="23"/>
        <v>8582.4636687811981</v>
      </c>
      <c r="AD85" s="98">
        <f t="shared" si="23"/>
        <v>8754.1129421568203</v>
      </c>
      <c r="AE85" s="98">
        <f t="shared" si="23"/>
        <v>8929.1952009999586</v>
      </c>
      <c r="AF85" s="98">
        <f t="shared" si="23"/>
        <v>9107.7791050199558</v>
      </c>
      <c r="AG85" s="98">
        <f t="shared" si="23"/>
        <v>9289.9346871203561</v>
      </c>
      <c r="AH85" s="98">
        <f t="shared" si="23"/>
        <v>9475.7333808627645</v>
      </c>
      <c r="AI85" s="98">
        <f t="shared" si="23"/>
        <v>9665.2480484800199</v>
      </c>
      <c r="AJ85" s="98">
        <f t="shared" si="23"/>
        <v>9858.5530094496226</v>
      </c>
      <c r="AK85" s="98">
        <f t="shared" si="23"/>
        <v>10055.724069638616</v>
      </c>
      <c r="AL85" s="98">
        <f t="shared" si="23"/>
        <v>10256.838551031387</v>
      </c>
      <c r="AM85" s="98">
        <f t="shared" si="23"/>
        <v>10461.975322052014</v>
      </c>
      <c r="AN85" s="98">
        <f t="shared" si="23"/>
        <v>10671.214828493055</v>
      </c>
      <c r="AO85" s="98">
        <f t="shared" si="23"/>
        <v>10884.639125062917</v>
      </c>
      <c r="AP85" s="98">
        <f t="shared" si="23"/>
        <v>11102.331907564174</v>
      </c>
      <c r="AQ85" s="98">
        <f t="shared" si="23"/>
        <v>11324.378545715459</v>
      </c>
      <c r="AR85" s="98">
        <f t="shared" si="23"/>
        <v>11550.866116629768</v>
      </c>
      <c r="AS85" s="98">
        <f t="shared" si="23"/>
        <v>11781.883438962364</v>
      </c>
      <c r="AT85" s="98">
        <f t="shared" si="23"/>
        <v>12017.521107741613</v>
      </c>
      <c r="AU85" s="98">
        <f t="shared" si="23"/>
        <v>12257.871529896445</v>
      </c>
      <c r="AV85" s="98">
        <f t="shared" si="23"/>
        <v>12503.028960494374</v>
      </c>
    </row>
    <row r="86" spans="1:48" s="98" customFormat="1" ht="15" customHeight="1">
      <c r="A86" s="365"/>
      <c r="B86" s="357"/>
      <c r="C86" s="366"/>
      <c r="D86" s="317"/>
      <c r="E86" s="98" t="str">
        <f t="shared" ref="E86:AV86" si="24" xml:space="preserve"> E$79</f>
        <v>Copper realized price: SOM_Contract</v>
      </c>
      <c r="F86" s="98" t="str">
        <f t="shared" si="24"/>
        <v>SOM_Contract</v>
      </c>
      <c r="G86" s="98" t="str">
        <f t="shared" si="24"/>
        <v>$ / tonne</v>
      </c>
      <c r="H86" s="98">
        <f t="shared" si="24"/>
        <v>0</v>
      </c>
      <c r="I86" s="98">
        <f t="shared" si="24"/>
        <v>0</v>
      </c>
      <c r="J86" s="98">
        <f t="shared" si="24"/>
        <v>0</v>
      </c>
      <c r="K86" s="98">
        <f t="shared" si="24"/>
        <v>0</v>
      </c>
      <c r="L86" s="98">
        <f t="shared" si="24"/>
        <v>6496.9805415999999</v>
      </c>
      <c r="M86" s="98">
        <f t="shared" si="24"/>
        <v>5153.7817096000008</v>
      </c>
      <c r="N86" s="98">
        <f t="shared" si="24"/>
        <v>4515.8481416000004</v>
      </c>
      <c r="O86" s="98">
        <f t="shared" si="24"/>
        <v>5808.5164319999994</v>
      </c>
      <c r="P86" s="98">
        <f t="shared" si="24"/>
        <v>6165.7834543999998</v>
      </c>
      <c r="Q86" s="98">
        <f t="shared" si="24"/>
        <v>5649.8719560000009</v>
      </c>
      <c r="R86" s="98">
        <f t="shared" si="24"/>
        <v>5813.1011823999997</v>
      </c>
      <c r="S86" s="98">
        <f t="shared" si="24"/>
        <v>8933.3236551999998</v>
      </c>
      <c r="T86" s="98">
        <f t="shared" si="24"/>
        <v>8448.3487975999997</v>
      </c>
      <c r="U86" s="98">
        <f t="shared" si="24"/>
        <v>8112.6285136000006</v>
      </c>
      <c r="V86" s="98">
        <f t="shared" si="24"/>
        <v>8172.1577944000001</v>
      </c>
      <c r="W86" s="98">
        <f t="shared" si="24"/>
        <v>8281.8681512000003</v>
      </c>
      <c r="X86" s="98">
        <f t="shared" si="24"/>
        <v>8296.8226975999987</v>
      </c>
      <c r="Y86" s="98">
        <f t="shared" si="24"/>
        <v>8288.342200000001</v>
      </c>
      <c r="Z86" s="98">
        <f t="shared" si="24"/>
        <v>8276.3045000000002</v>
      </c>
      <c r="AA86" s="98">
        <f t="shared" si="24"/>
        <v>8289.0868000000009</v>
      </c>
      <c r="AB86" s="98">
        <f t="shared" si="24"/>
        <v>8476.261022049508</v>
      </c>
      <c r="AC86" s="98">
        <f t="shared" si="24"/>
        <v>8652.126242490498</v>
      </c>
      <c r="AD86" s="98">
        <f t="shared" si="24"/>
        <v>8831.5087673403086</v>
      </c>
      <c r="AE86" s="98">
        <f t="shared" si="24"/>
        <v>9014.4789426871157</v>
      </c>
      <c r="AF86" s="98">
        <f t="shared" si="24"/>
        <v>9201.1085215408566</v>
      </c>
      <c r="AG86" s="98">
        <f t="shared" si="24"/>
        <v>9391.4706919716737</v>
      </c>
      <c r="AH86" s="98">
        <f t="shared" si="24"/>
        <v>9585.6401058111078</v>
      </c>
      <c r="AI86" s="98">
        <f t="shared" si="24"/>
        <v>9783.6929079273305</v>
      </c>
      <c r="AJ86" s="98">
        <f t="shared" si="24"/>
        <v>9985.7067660858793</v>
      </c>
      <c r="AK86" s="98">
        <f t="shared" si="24"/>
        <v>10191.760901407597</v>
      </c>
      <c r="AL86" s="98">
        <f t="shared" si="24"/>
        <v>10401.936119435748</v>
      </c>
      <c r="AM86" s="98">
        <f t="shared" si="24"/>
        <v>10616.314841824464</v>
      </c>
      <c r="AN86" s="98">
        <f t="shared" si="24"/>
        <v>10834.981138660954</v>
      </c>
      <c r="AO86" s="98">
        <f t="shared" si="24"/>
        <v>11058.020761434174</v>
      </c>
      <c r="AP86" s="98">
        <f t="shared" si="24"/>
        <v>11285.521176662856</v>
      </c>
      <c r="AQ86" s="98">
        <f t="shared" si="24"/>
        <v>11517.571600196114</v>
      </c>
      <c r="AR86" s="98">
        <f t="shared" si="24"/>
        <v>11754.263032200037</v>
      </c>
      <c r="AS86" s="98">
        <f t="shared" si="24"/>
        <v>11995.688292844037</v>
      </c>
      <c r="AT86" s="98">
        <f t="shared" si="24"/>
        <v>12241.942058700921</v>
      </c>
      <c r="AU86" s="98">
        <f t="shared" si="24"/>
        <v>12493.120899874939</v>
      </c>
      <c r="AV86" s="98">
        <f t="shared" si="24"/>
        <v>12749.323317872437</v>
      </c>
    </row>
    <row r="87" spans="1:48" s="354" customFormat="1" ht="15" customHeight="1">
      <c r="A87" s="353"/>
      <c r="B87" s="358"/>
      <c r="C87" s="355"/>
      <c r="D87" s="849"/>
      <c r="F87" s="354" t="s">
        <v>611</v>
      </c>
    </row>
    <row r="88" spans="1:48" s="266" customFormat="1" ht="15" customHeight="1">
      <c r="A88" s="265"/>
      <c r="B88" s="262"/>
      <c r="C88" s="313"/>
      <c r="D88" s="319"/>
    </row>
    <row r="89" spans="1:48" s="266" customFormat="1" ht="15" customHeight="1">
      <c r="A89" s="265"/>
      <c r="B89" s="262"/>
      <c r="C89" s="313"/>
      <c r="D89" s="319"/>
      <c r="E89" s="267" t="str">
        <f xml:space="preserve"> InputsCon!E$40</f>
        <v>Cu realized price method</v>
      </c>
      <c r="F89" s="267" t="str">
        <f xml:space="preserve"> InputsCon!F$40</f>
        <v>SOM_Contract</v>
      </c>
      <c r="G89" s="267" t="str">
        <f xml:space="preserve"> InputsCon!G$40</f>
        <v>selected</v>
      </c>
    </row>
    <row r="90" spans="1:48" s="266" customFormat="1" ht="15" customHeight="1">
      <c r="A90" s="265"/>
      <c r="B90" s="262"/>
      <c r="C90" s="313"/>
      <c r="D90" s="319"/>
    </row>
    <row r="91" spans="1:48" s="279" customFormat="1" ht="15" customHeight="1">
      <c r="B91" s="572"/>
      <c r="C91" s="573"/>
      <c r="D91" s="848"/>
      <c r="E91" s="279" t="str">
        <f xml:space="preserve"> INDEX(E83:E87, MATCH($F89, $F83:$F87, 0))</f>
        <v>Copper realized price: SOM_Contract</v>
      </c>
      <c r="G91" s="279" t="str">
        <f t="shared" ref="G91:AV91" si="25" xml:space="preserve"> INDEX(G83:G87, MATCH($F89, $F83:$F87, 0))</f>
        <v>$ / tonne</v>
      </c>
      <c r="H91" s="279">
        <f t="shared" si="25"/>
        <v>0</v>
      </c>
      <c r="I91" s="279">
        <f t="shared" si="25"/>
        <v>0</v>
      </c>
      <c r="J91" s="279">
        <f t="shared" si="25"/>
        <v>0</v>
      </c>
      <c r="K91" s="279">
        <f t="shared" si="25"/>
        <v>0</v>
      </c>
      <c r="L91" s="279">
        <f t="shared" si="25"/>
        <v>6496.9805415999999</v>
      </c>
      <c r="M91" s="279">
        <f t="shared" si="25"/>
        <v>5153.7817096000008</v>
      </c>
      <c r="N91" s="279">
        <f t="shared" si="25"/>
        <v>4515.8481416000004</v>
      </c>
      <c r="O91" s="279">
        <f t="shared" si="25"/>
        <v>5808.5164319999994</v>
      </c>
      <c r="P91" s="279">
        <f t="shared" si="25"/>
        <v>6165.7834543999998</v>
      </c>
      <c r="Q91" s="279">
        <f t="shared" si="25"/>
        <v>5649.8719560000009</v>
      </c>
      <c r="R91" s="279">
        <f t="shared" si="25"/>
        <v>5813.1011823999997</v>
      </c>
      <c r="S91" s="279">
        <f t="shared" si="25"/>
        <v>8933.3236551999998</v>
      </c>
      <c r="T91" s="279">
        <f t="shared" si="25"/>
        <v>8448.3487975999997</v>
      </c>
      <c r="U91" s="279">
        <f t="shared" si="25"/>
        <v>8112.6285136000006</v>
      </c>
      <c r="V91" s="279">
        <f t="shared" si="25"/>
        <v>8172.1577944000001</v>
      </c>
      <c r="W91" s="279">
        <f t="shared" si="25"/>
        <v>8281.8681512000003</v>
      </c>
      <c r="X91" s="279">
        <f t="shared" si="25"/>
        <v>8296.8226975999987</v>
      </c>
      <c r="Y91" s="279">
        <f t="shared" si="25"/>
        <v>8288.342200000001</v>
      </c>
      <c r="Z91" s="279">
        <f t="shared" si="25"/>
        <v>8276.3045000000002</v>
      </c>
      <c r="AA91" s="279">
        <f t="shared" si="25"/>
        <v>8289.0868000000009</v>
      </c>
      <c r="AB91" s="279">
        <f t="shared" si="25"/>
        <v>8476.261022049508</v>
      </c>
      <c r="AC91" s="279">
        <f t="shared" si="25"/>
        <v>8652.126242490498</v>
      </c>
      <c r="AD91" s="279">
        <f t="shared" si="25"/>
        <v>8831.5087673403086</v>
      </c>
      <c r="AE91" s="279">
        <f t="shared" si="25"/>
        <v>9014.4789426871157</v>
      </c>
      <c r="AF91" s="279">
        <f t="shared" si="25"/>
        <v>9201.1085215408566</v>
      </c>
      <c r="AG91" s="279">
        <f t="shared" si="25"/>
        <v>9391.4706919716737</v>
      </c>
      <c r="AH91" s="279">
        <f t="shared" si="25"/>
        <v>9585.6401058111078</v>
      </c>
      <c r="AI91" s="279">
        <f t="shared" si="25"/>
        <v>9783.6929079273305</v>
      </c>
      <c r="AJ91" s="279">
        <f t="shared" si="25"/>
        <v>9985.7067660858793</v>
      </c>
      <c r="AK91" s="279">
        <f t="shared" si="25"/>
        <v>10191.760901407597</v>
      </c>
      <c r="AL91" s="279">
        <f t="shared" si="25"/>
        <v>10401.936119435748</v>
      </c>
      <c r="AM91" s="279">
        <f t="shared" si="25"/>
        <v>10616.314841824464</v>
      </c>
      <c r="AN91" s="279">
        <f t="shared" si="25"/>
        <v>10834.981138660954</v>
      </c>
      <c r="AO91" s="279">
        <f t="shared" si="25"/>
        <v>11058.020761434174</v>
      </c>
      <c r="AP91" s="279">
        <f t="shared" si="25"/>
        <v>11285.521176662856</v>
      </c>
      <c r="AQ91" s="279">
        <f t="shared" si="25"/>
        <v>11517.571600196114</v>
      </c>
      <c r="AR91" s="279">
        <f t="shared" si="25"/>
        <v>11754.263032200037</v>
      </c>
      <c r="AS91" s="279">
        <f t="shared" si="25"/>
        <v>11995.688292844037</v>
      </c>
      <c r="AT91" s="279">
        <f t="shared" si="25"/>
        <v>12241.942058700921</v>
      </c>
      <c r="AU91" s="279">
        <f t="shared" si="25"/>
        <v>12493.120899874939</v>
      </c>
      <c r="AV91" s="279">
        <f t="shared" si="25"/>
        <v>12749.323317872437</v>
      </c>
    </row>
    <row r="92" spans="1:48" s="266" customFormat="1" ht="15" customHeight="1">
      <c r="A92" s="265"/>
      <c r="B92" s="262"/>
      <c r="C92" s="313"/>
      <c r="D92" s="319"/>
    </row>
    <row r="93" spans="1:48" s="258" customFormat="1" ht="15" customHeight="1">
      <c r="A93" s="249" t="s">
        <v>623</v>
      </c>
      <c r="B93" s="250"/>
      <c r="C93" s="306"/>
      <c r="D93" s="840"/>
      <c r="E93" s="250"/>
      <c r="F93" s="250"/>
      <c r="G93" s="250"/>
      <c r="H93" s="250"/>
      <c r="I93" s="250"/>
      <c r="J93" s="250"/>
      <c r="K93" s="250"/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0"/>
      <c r="Z93" s="250"/>
      <c r="AA93" s="250"/>
      <c r="AB93" s="250"/>
      <c r="AC93" s="250"/>
      <c r="AD93" s="250"/>
      <c r="AE93" s="250"/>
      <c r="AF93" s="250"/>
      <c r="AG93" s="250"/>
      <c r="AH93" s="250"/>
      <c r="AI93" s="250"/>
      <c r="AJ93" s="250"/>
      <c r="AK93" s="250"/>
      <c r="AL93" s="250"/>
      <c r="AM93" s="250"/>
      <c r="AN93" s="250"/>
      <c r="AO93" s="250"/>
      <c r="AP93" s="250"/>
      <c r="AQ93" s="250"/>
      <c r="AR93" s="250"/>
      <c r="AS93" s="250"/>
      <c r="AT93" s="250"/>
      <c r="AU93" s="250"/>
      <c r="AV93" s="250"/>
    </row>
    <row r="94" spans="1:48" s="266" customFormat="1" ht="15" customHeight="1">
      <c r="A94" s="261"/>
      <c r="B94" s="262"/>
      <c r="C94" s="312"/>
      <c r="D94" s="319"/>
      <c r="E94" s="262"/>
      <c r="F94" s="262"/>
      <c r="G94" s="262"/>
      <c r="H94" s="262"/>
      <c r="I94" s="262"/>
      <c r="J94" s="262"/>
      <c r="K94" s="262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</row>
    <row r="95" spans="1:48" s="266" customFormat="1" ht="15" customHeight="1">
      <c r="A95" s="261"/>
      <c r="B95" s="255" t="s">
        <v>628</v>
      </c>
      <c r="C95" s="312"/>
      <c r="D95" s="319"/>
      <c r="E95" s="262"/>
      <c r="F95" s="262"/>
      <c r="G95" s="262"/>
      <c r="H95" s="262"/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2"/>
      <c r="T95" s="262"/>
      <c r="U95" s="262"/>
      <c r="V95" s="262"/>
      <c r="W95" s="262"/>
      <c r="X95" s="262"/>
      <c r="Y95" s="262"/>
      <c r="Z95" s="262"/>
      <c r="AA95" s="262"/>
      <c r="AB95" s="262"/>
      <c r="AC95" s="262"/>
    </row>
    <row r="96" spans="1:48" s="266" customFormat="1" ht="15" customHeight="1">
      <c r="A96" s="265"/>
      <c r="B96" s="255"/>
      <c r="C96" s="313" t="s">
        <v>641</v>
      </c>
      <c r="D96" s="319"/>
    </row>
    <row r="97" spans="1:48" s="76" customFormat="1" ht="15" customHeight="1">
      <c r="B97" s="367"/>
      <c r="C97" s="368"/>
      <c r="D97" s="300"/>
      <c r="E97" s="76" t="str">
        <f xml:space="preserve"> InputsTS!E$250</f>
        <v>IMF Cobalt Spot Price (PCOBA)</v>
      </c>
      <c r="F97" s="76">
        <f xml:space="preserve"> InputsTS!F$250</f>
        <v>0</v>
      </c>
      <c r="G97" s="76" t="str">
        <f xml:space="preserve"> InputsTS!G$250</f>
        <v>$ / tonne</v>
      </c>
      <c r="H97" s="76">
        <f xml:space="preserve"> InputsTS!H$250</f>
        <v>0</v>
      </c>
      <c r="I97" s="76" t="str">
        <f xml:space="preserve"> InputsTS!I$250</f>
        <v>IX</v>
      </c>
      <c r="J97" s="76">
        <f xml:space="preserve"> InputsTS!J$250</f>
        <v>0</v>
      </c>
      <c r="K97" s="76">
        <f xml:space="preserve"> InputsTS!K$250</f>
        <v>0</v>
      </c>
      <c r="L97" s="76">
        <f xml:space="preserve"> InputsTS!L$250</f>
        <v>30780.7319565531</v>
      </c>
      <c r="M97" s="76">
        <f xml:space="preserve"> InputsTS!M$250</f>
        <v>28451.660698559601</v>
      </c>
      <c r="N97" s="76">
        <f xml:space="preserve"> InputsTS!N$250</f>
        <v>25463.3685425685</v>
      </c>
      <c r="O97" s="76">
        <f xml:space="preserve"> InputsTS!O$250</f>
        <v>55832.1709807429</v>
      </c>
      <c r="P97" s="76">
        <f xml:space="preserve"> InputsTS!P$250</f>
        <v>72911.236898013303</v>
      </c>
      <c r="Q97" s="76">
        <f xml:space="preserve"> InputsTS!Q$250</f>
        <v>33177.6323053909</v>
      </c>
      <c r="R97" s="76">
        <f xml:space="preserve"> InputsTS!R$250</f>
        <v>31444.926902256499</v>
      </c>
      <c r="S97" s="76">
        <f xml:space="preserve"> InputsTS!S$250</f>
        <v>51235.518379838803</v>
      </c>
      <c r="T97" s="76">
        <f xml:space="preserve"> InputsTS!T$250</f>
        <v>63764.719304065497</v>
      </c>
      <c r="U97" s="76">
        <f xml:space="preserve"> InputsTS!U$250</f>
        <v>34275.041504525099</v>
      </c>
      <c r="V97" s="76">
        <f xml:space="preserve"> InputsTS!V$250</f>
        <v>26326.827560543301</v>
      </c>
      <c r="W97" s="76">
        <f xml:space="preserve"> InputsTS!W$250</f>
        <v>0</v>
      </c>
      <c r="X97" s="76">
        <f xml:space="preserve"> InputsTS!X$250</f>
        <v>0</v>
      </c>
      <c r="Y97" s="76">
        <f xml:space="preserve"> InputsTS!Y$250</f>
        <v>0</v>
      </c>
      <c r="Z97" s="76">
        <f xml:space="preserve"> InputsTS!Z$250</f>
        <v>0</v>
      </c>
      <c r="AA97" s="76">
        <f xml:space="preserve"> InputsTS!AA$250</f>
        <v>0</v>
      </c>
      <c r="AB97" s="76">
        <f xml:space="preserve"> InputsTS!AB$250</f>
        <v>0</v>
      </c>
      <c r="AC97" s="76">
        <f xml:space="preserve"> InputsTS!AC$250</f>
        <v>0</v>
      </c>
      <c r="AD97" s="76">
        <f xml:space="preserve"> InputsTS!AD$250</f>
        <v>0</v>
      </c>
      <c r="AE97" s="76">
        <f xml:space="preserve"> InputsTS!AE$250</f>
        <v>0</v>
      </c>
      <c r="AF97" s="76">
        <f xml:space="preserve"> InputsTS!AF$250</f>
        <v>0</v>
      </c>
      <c r="AG97" s="76">
        <f xml:space="preserve"> InputsTS!AG$250</f>
        <v>0</v>
      </c>
      <c r="AH97" s="76">
        <f xml:space="preserve"> InputsTS!AH$250</f>
        <v>0</v>
      </c>
      <c r="AI97" s="76">
        <f xml:space="preserve"> InputsTS!AI$250</f>
        <v>0</v>
      </c>
      <c r="AJ97" s="76">
        <f xml:space="preserve"> InputsTS!AJ$250</f>
        <v>0</v>
      </c>
      <c r="AK97" s="76">
        <f xml:space="preserve"> InputsTS!AK$250</f>
        <v>0</v>
      </c>
      <c r="AL97" s="76">
        <f xml:space="preserve"> InputsTS!AL$250</f>
        <v>0</v>
      </c>
      <c r="AM97" s="76">
        <f xml:space="preserve"> InputsTS!AM$250</f>
        <v>0</v>
      </c>
      <c r="AN97" s="76">
        <f xml:space="preserve"> InputsTS!AN$250</f>
        <v>0</v>
      </c>
      <c r="AO97" s="76">
        <f xml:space="preserve"> InputsTS!AO$250</f>
        <v>0</v>
      </c>
      <c r="AP97" s="76">
        <f xml:space="preserve"> InputsTS!AP$250</f>
        <v>0</v>
      </c>
      <c r="AQ97" s="76">
        <f xml:space="preserve"> InputsTS!AQ$250</f>
        <v>0</v>
      </c>
      <c r="AR97" s="76">
        <f xml:space="preserve"> InputsTS!AR$250</f>
        <v>0</v>
      </c>
      <c r="AS97" s="76">
        <f xml:space="preserve"> InputsTS!AS$250</f>
        <v>0</v>
      </c>
      <c r="AT97" s="76">
        <f xml:space="preserve"> InputsTS!AT$250</f>
        <v>0</v>
      </c>
      <c r="AU97" s="76">
        <f xml:space="preserve"> InputsTS!AU$250</f>
        <v>0</v>
      </c>
      <c r="AV97" s="76">
        <f xml:space="preserve"> InputsTS!AV$250</f>
        <v>0</v>
      </c>
    </row>
    <row r="98" spans="1:48" s="266" customFormat="1" ht="15" customHeight="1">
      <c r="A98" s="265"/>
      <c r="B98" s="262"/>
      <c r="C98" s="313"/>
      <c r="D98" s="319"/>
      <c r="E98" s="46"/>
      <c r="F98" s="258"/>
      <c r="G98" s="258"/>
      <c r="H98" s="258"/>
      <c r="I98" s="258"/>
      <c r="J98" s="258"/>
      <c r="K98" s="258"/>
      <c r="L98" s="258"/>
      <c r="M98" s="258"/>
      <c r="N98" s="258"/>
      <c r="O98" s="258"/>
      <c r="P98" s="258"/>
      <c r="Q98" s="258"/>
      <c r="R98" s="258"/>
      <c r="S98" s="258"/>
      <c r="T98" s="258"/>
      <c r="U98" s="258"/>
      <c r="V98" s="258"/>
      <c r="W98" s="258"/>
      <c r="X98" s="258"/>
      <c r="Y98" s="258"/>
      <c r="Z98" s="258"/>
      <c r="AA98" s="258"/>
      <c r="AB98" s="258"/>
      <c r="AC98" s="258"/>
      <c r="AD98" s="258"/>
      <c r="AE98" s="258"/>
      <c r="AF98" s="258"/>
      <c r="AG98" s="258"/>
      <c r="AH98" s="258"/>
      <c r="AI98" s="258"/>
      <c r="AJ98" s="258"/>
      <c r="AK98" s="258"/>
      <c r="AL98" s="258"/>
      <c r="AM98" s="258"/>
      <c r="AN98" s="258"/>
      <c r="AO98" s="258"/>
      <c r="AP98" s="258"/>
      <c r="AQ98" s="258"/>
      <c r="AR98" s="258"/>
      <c r="AS98" s="258"/>
      <c r="AT98" s="258"/>
      <c r="AU98" s="258"/>
      <c r="AV98" s="258"/>
    </row>
    <row r="99" spans="1:48" s="266" customFormat="1" ht="15" customHeight="1">
      <c r="A99" s="265"/>
      <c r="B99" s="262"/>
      <c r="C99" s="313" t="s">
        <v>640</v>
      </c>
      <c r="D99" s="319"/>
      <c r="E99" s="46"/>
      <c r="F99" s="258"/>
      <c r="G99" s="258"/>
      <c r="H99" s="258"/>
      <c r="I99" s="258"/>
      <c r="J99" s="258"/>
      <c r="K99" s="258"/>
      <c r="L99" s="258"/>
      <c r="M99" s="258"/>
      <c r="N99" s="258"/>
      <c r="O99" s="258"/>
      <c r="P99" s="258"/>
      <c r="Q99" s="258"/>
      <c r="R99" s="258"/>
      <c r="S99" s="258"/>
      <c r="T99" s="258"/>
      <c r="U99" s="258"/>
      <c r="V99" s="258"/>
      <c r="W99" s="258"/>
      <c r="X99" s="258"/>
      <c r="Y99" s="258"/>
      <c r="Z99" s="258"/>
      <c r="AA99" s="258"/>
      <c r="AB99" s="258"/>
      <c r="AC99" s="258"/>
      <c r="AD99" s="258"/>
      <c r="AE99" s="258"/>
      <c r="AF99" s="258"/>
      <c r="AG99" s="258"/>
      <c r="AH99" s="258"/>
      <c r="AI99" s="258"/>
      <c r="AJ99" s="258"/>
      <c r="AK99" s="258"/>
      <c r="AL99" s="258"/>
      <c r="AM99" s="258"/>
      <c r="AN99" s="258"/>
      <c r="AO99" s="258"/>
      <c r="AP99" s="258"/>
      <c r="AQ99" s="258"/>
      <c r="AR99" s="258"/>
      <c r="AS99" s="258"/>
      <c r="AT99" s="258"/>
      <c r="AU99" s="258"/>
      <c r="AV99" s="258"/>
    </row>
    <row r="100" spans="1:48" s="266" customFormat="1" ht="15" customHeight="1">
      <c r="A100" s="265"/>
      <c r="B100" s="262"/>
      <c r="C100" s="313"/>
      <c r="D100" s="319"/>
      <c r="E100" s="76" t="str">
        <f xml:space="preserve"> InputsCon!E$39</f>
        <v>Cobalt forecast price</v>
      </c>
      <c r="F100" s="76" t="str">
        <f xml:space="preserve"> InputsCon!F$39</f>
        <v>IMF_WEO</v>
      </c>
      <c r="G100" s="76" t="str">
        <f xml:space="preserve"> InputsCon!G$39</f>
        <v>option selected</v>
      </c>
      <c r="H100" s="258"/>
      <c r="I100" s="258"/>
      <c r="J100" s="258"/>
      <c r="K100" s="258"/>
      <c r="L100" s="258"/>
      <c r="M100" s="258"/>
      <c r="N100" s="258"/>
      <c r="O100" s="258"/>
      <c r="P100" s="258"/>
      <c r="Q100" s="258"/>
      <c r="R100" s="258"/>
      <c r="S100" s="258"/>
      <c r="T100" s="258"/>
      <c r="U100" s="258"/>
      <c r="V100" s="258"/>
      <c r="W100" s="258"/>
      <c r="X100" s="258"/>
      <c r="Y100" s="258"/>
      <c r="Z100" s="258"/>
      <c r="AA100" s="258"/>
      <c r="AB100" s="258"/>
      <c r="AC100" s="258"/>
      <c r="AD100" s="258"/>
      <c r="AE100" s="258"/>
      <c r="AF100" s="258"/>
      <c r="AG100" s="258"/>
      <c r="AH100" s="258"/>
      <c r="AI100" s="258"/>
      <c r="AJ100" s="258"/>
      <c r="AK100" s="258"/>
      <c r="AL100" s="258"/>
      <c r="AM100" s="258"/>
      <c r="AN100" s="258"/>
      <c r="AO100" s="258"/>
      <c r="AP100" s="258"/>
      <c r="AQ100" s="258"/>
      <c r="AR100" s="258"/>
      <c r="AS100" s="258"/>
      <c r="AT100" s="258"/>
      <c r="AU100" s="258"/>
      <c r="AV100" s="258"/>
    </row>
    <row r="101" spans="1:48" s="267" customFormat="1" ht="15" customHeight="1">
      <c r="B101" s="359"/>
      <c r="C101" s="360"/>
      <c r="D101" s="525"/>
      <c r="E101" s="76" t="str">
        <f xml:space="preserve"> InputsTS!E$295</f>
        <v>Co forecast: IMF_WEO</v>
      </c>
      <c r="F101" s="76" t="str">
        <f xml:space="preserve"> InputsTS!F$295</f>
        <v>IMF_WEO</v>
      </c>
      <c r="G101" s="76" t="str">
        <f xml:space="preserve"> InputsTS!G$295</f>
        <v>$ / tonne</v>
      </c>
      <c r="H101" s="76">
        <f xml:space="preserve"> InputsTS!H$295</f>
        <v>0</v>
      </c>
      <c r="I101" s="76">
        <f xml:space="preserve"> InputsTS!I$295</f>
        <v>0</v>
      </c>
      <c r="J101" s="76">
        <f xml:space="preserve"> InputsTS!J$295</f>
        <v>0</v>
      </c>
      <c r="K101" s="76">
        <f xml:space="preserve"> InputsTS!K$295</f>
        <v>0</v>
      </c>
      <c r="L101" s="76">
        <f xml:space="preserve"> InputsTS!L$295</f>
        <v>0</v>
      </c>
      <c r="M101" s="76">
        <f xml:space="preserve"> InputsTS!M$295</f>
        <v>0</v>
      </c>
      <c r="N101" s="76">
        <f xml:space="preserve"> InputsTS!N$295</f>
        <v>0</v>
      </c>
      <c r="O101" s="76">
        <f xml:space="preserve"> InputsTS!O$295</f>
        <v>0</v>
      </c>
      <c r="P101" s="76">
        <f xml:space="preserve"> InputsTS!P$295</f>
        <v>0</v>
      </c>
      <c r="Q101" s="76">
        <f xml:space="preserve"> InputsTS!Q$295</f>
        <v>0</v>
      </c>
      <c r="R101" s="76">
        <f xml:space="preserve"> InputsTS!R$295</f>
        <v>0</v>
      </c>
      <c r="S101" s="76">
        <f xml:space="preserve"> InputsTS!S$295</f>
        <v>0</v>
      </c>
      <c r="T101" s="76">
        <f xml:space="preserve"> InputsTS!T$295</f>
        <v>0</v>
      </c>
      <c r="U101" s="76">
        <f xml:space="preserve"> InputsTS!U$295</f>
        <v>0</v>
      </c>
      <c r="V101" s="76">
        <f xml:space="preserve"> InputsTS!V$295</f>
        <v>0</v>
      </c>
      <c r="W101" s="76">
        <f xml:space="preserve"> InputsTS!W$295</f>
        <v>40000</v>
      </c>
      <c r="X101" s="76">
        <f xml:space="preserve"> InputsTS!X$295</f>
        <v>40000</v>
      </c>
      <c r="Y101" s="76">
        <f xml:space="preserve"> InputsTS!Y$295</f>
        <v>40000</v>
      </c>
      <c r="Z101" s="76">
        <f xml:space="preserve"> InputsTS!Z$295</f>
        <v>40000</v>
      </c>
      <c r="AA101" s="76">
        <f xml:space="preserve"> InputsTS!AA$295</f>
        <v>40000</v>
      </c>
      <c r="AB101" s="76">
        <f xml:space="preserve"> InputsTS!AB$295</f>
        <v>40869.962046162531</v>
      </c>
      <c r="AC101" s="76">
        <f xml:space="preserve"> InputsTS!AC$295</f>
        <v>41687.361287085783</v>
      </c>
      <c r="AD101" s="76">
        <f xml:space="preserve"> InputsTS!AD$295</f>
        <v>42521.108512827494</v>
      </c>
      <c r="AE101" s="76">
        <f xml:space="preserve"> InputsTS!AE$295</f>
        <v>43371.530683084049</v>
      </c>
      <c r="AF101" s="76">
        <f xml:space="preserve"> InputsTS!AF$295</f>
        <v>44238.961296745721</v>
      </c>
      <c r="AG101" s="76">
        <f xml:space="preserve"> InputsTS!AG$295</f>
        <v>45123.740522680637</v>
      </c>
      <c r="AH101" s="76">
        <f xml:space="preserve"> InputsTS!AH$295</f>
        <v>46026.215333134256</v>
      </c>
      <c r="AI101" s="76">
        <f xml:space="preserve"> InputsTS!AI$295</f>
        <v>46946.739639796942</v>
      </c>
      <c r="AJ101" s="76">
        <f xml:space="preserve"> InputsTS!AJ$295</f>
        <v>47885.674432592888</v>
      </c>
      <c r="AK101" s="76">
        <f xml:space="preserve"> InputsTS!AK$295</f>
        <v>48843.38792124475</v>
      </c>
      <c r="AL101" s="76">
        <f xml:space="preserve"> InputsTS!AL$295</f>
        <v>49820.255679669637</v>
      </c>
      <c r="AM101" s="76">
        <f xml:space="preserve"> InputsTS!AM$295</f>
        <v>50816.660793263036</v>
      </c>
      <c r="AN101" s="76">
        <f xml:space="preserve"> InputsTS!AN$295</f>
        <v>51832.994009128306</v>
      </c>
      <c r="AO101" s="76">
        <f xml:space="preserve"> InputsTS!AO$295</f>
        <v>52869.653889310874</v>
      </c>
      <c r="AP101" s="76">
        <f xml:space="preserve"> InputsTS!AP$295</f>
        <v>53927.046967097092</v>
      </c>
      <c r="AQ101" s="76">
        <f xml:space="preserve"> InputsTS!AQ$295</f>
        <v>55005.587906439039</v>
      </c>
      <c r="AR101" s="76">
        <f xml:space="preserve"> InputsTS!AR$295</f>
        <v>56105.699664567815</v>
      </c>
      <c r="AS101" s="76">
        <f xml:space="preserve"> InputsTS!AS$295</f>
        <v>57227.813657859173</v>
      </c>
      <c r="AT101" s="76">
        <f xml:space="preserve"> InputsTS!AT$295</f>
        <v>58372.369931016365</v>
      </c>
      <c r="AU101" s="76">
        <f xml:space="preserve"> InputsTS!AU$295</f>
        <v>59539.817329636688</v>
      </c>
      <c r="AV101" s="76">
        <f xml:space="preserve"> InputsTS!AV$295</f>
        <v>60730.613676229419</v>
      </c>
    </row>
    <row r="102" spans="1:48" s="266" customFormat="1" ht="15" customHeight="1">
      <c r="A102" s="265"/>
      <c r="B102" s="262"/>
      <c r="C102" s="313"/>
      <c r="D102" s="319"/>
      <c r="E102" s="46"/>
      <c r="F102" s="258"/>
      <c r="G102" s="258"/>
      <c r="H102" s="258"/>
      <c r="I102" s="258"/>
      <c r="J102" s="258"/>
      <c r="K102" s="258"/>
      <c r="L102" s="258"/>
      <c r="M102" s="258"/>
      <c r="N102" s="258"/>
      <c r="O102" s="258"/>
      <c r="P102" s="258"/>
      <c r="Q102" s="258"/>
      <c r="R102" s="258"/>
      <c r="S102" s="258"/>
      <c r="T102" s="258"/>
      <c r="U102" s="258"/>
      <c r="V102" s="258"/>
      <c r="W102" s="258"/>
      <c r="X102" s="258"/>
      <c r="Y102" s="258"/>
      <c r="Z102" s="258"/>
      <c r="AA102" s="258"/>
      <c r="AB102" s="258"/>
      <c r="AC102" s="258"/>
      <c r="AD102" s="258"/>
      <c r="AE102" s="258"/>
      <c r="AF102" s="258"/>
      <c r="AG102" s="258"/>
      <c r="AH102" s="258"/>
      <c r="AI102" s="258"/>
      <c r="AJ102" s="258"/>
      <c r="AK102" s="258"/>
      <c r="AL102" s="258"/>
      <c r="AM102" s="258"/>
      <c r="AN102" s="258"/>
      <c r="AO102" s="258"/>
      <c r="AP102" s="258"/>
      <c r="AQ102" s="258"/>
      <c r="AR102" s="258"/>
      <c r="AS102" s="258"/>
      <c r="AT102" s="258"/>
      <c r="AU102" s="258"/>
      <c r="AV102" s="258"/>
    </row>
    <row r="103" spans="1:48" s="98" customFormat="1" ht="15" customHeight="1">
      <c r="A103" s="365"/>
      <c r="B103" s="357"/>
      <c r="C103" s="366"/>
      <c r="D103" s="317"/>
      <c r="E103" s="98" t="str">
        <f>"Cobalt LME actual &amp; forecast price: " &amp; $F100</f>
        <v>Cobalt LME actual &amp; forecast price: IMF_WEO</v>
      </c>
      <c r="G103" s="98" t="s">
        <v>14</v>
      </c>
      <c r="K103" s="98" t="e">
        <f xml:space="preserve"> IF(K97 &gt; 0, K97,#REF! )</f>
        <v>#REF!</v>
      </c>
      <c r="L103" s="98">
        <f t="shared" ref="L103:AV103" si="26">IF(L97 &gt; 0, L97, L101 )</f>
        <v>30780.7319565531</v>
      </c>
      <c r="M103" s="98">
        <f t="shared" si="26"/>
        <v>28451.660698559601</v>
      </c>
      <c r="N103" s="98">
        <f t="shared" si="26"/>
        <v>25463.3685425685</v>
      </c>
      <c r="O103" s="98">
        <f t="shared" si="26"/>
        <v>55832.1709807429</v>
      </c>
      <c r="P103" s="98">
        <f t="shared" si="26"/>
        <v>72911.236898013303</v>
      </c>
      <c r="Q103" s="98">
        <f t="shared" si="26"/>
        <v>33177.6323053909</v>
      </c>
      <c r="R103" s="98">
        <f t="shared" si="26"/>
        <v>31444.926902256499</v>
      </c>
      <c r="S103" s="98">
        <f t="shared" si="26"/>
        <v>51235.518379838803</v>
      </c>
      <c r="T103" s="98">
        <f t="shared" si="26"/>
        <v>63764.719304065497</v>
      </c>
      <c r="U103" s="98">
        <f t="shared" si="26"/>
        <v>34275.041504525099</v>
      </c>
      <c r="V103" s="98">
        <f t="shared" si="26"/>
        <v>26326.827560543301</v>
      </c>
      <c r="W103" s="98">
        <f t="shared" si="26"/>
        <v>40000</v>
      </c>
      <c r="X103" s="98">
        <f t="shared" si="26"/>
        <v>40000</v>
      </c>
      <c r="Y103" s="98">
        <f t="shared" si="26"/>
        <v>40000</v>
      </c>
      <c r="Z103" s="98">
        <f t="shared" si="26"/>
        <v>40000</v>
      </c>
      <c r="AA103" s="98">
        <f t="shared" si="26"/>
        <v>40000</v>
      </c>
      <c r="AB103" s="98">
        <f t="shared" si="26"/>
        <v>40869.962046162531</v>
      </c>
      <c r="AC103" s="98">
        <f t="shared" si="26"/>
        <v>41687.361287085783</v>
      </c>
      <c r="AD103" s="98">
        <f t="shared" si="26"/>
        <v>42521.108512827494</v>
      </c>
      <c r="AE103" s="98">
        <f t="shared" si="26"/>
        <v>43371.530683084049</v>
      </c>
      <c r="AF103" s="98">
        <f t="shared" si="26"/>
        <v>44238.961296745721</v>
      </c>
      <c r="AG103" s="98">
        <f t="shared" si="26"/>
        <v>45123.740522680637</v>
      </c>
      <c r="AH103" s="98">
        <f t="shared" si="26"/>
        <v>46026.215333134256</v>
      </c>
      <c r="AI103" s="98">
        <f t="shared" si="26"/>
        <v>46946.739639796942</v>
      </c>
      <c r="AJ103" s="98">
        <f t="shared" si="26"/>
        <v>47885.674432592888</v>
      </c>
      <c r="AK103" s="98">
        <f t="shared" si="26"/>
        <v>48843.38792124475</v>
      </c>
      <c r="AL103" s="98">
        <f t="shared" si="26"/>
        <v>49820.255679669637</v>
      </c>
      <c r="AM103" s="98">
        <f t="shared" si="26"/>
        <v>50816.660793263036</v>
      </c>
      <c r="AN103" s="98">
        <f t="shared" si="26"/>
        <v>51832.994009128306</v>
      </c>
      <c r="AO103" s="98">
        <f t="shared" si="26"/>
        <v>52869.653889310874</v>
      </c>
      <c r="AP103" s="98">
        <f t="shared" si="26"/>
        <v>53927.046967097092</v>
      </c>
      <c r="AQ103" s="98">
        <f t="shared" si="26"/>
        <v>55005.587906439039</v>
      </c>
      <c r="AR103" s="98">
        <f t="shared" si="26"/>
        <v>56105.699664567815</v>
      </c>
      <c r="AS103" s="98">
        <f t="shared" si="26"/>
        <v>57227.813657859173</v>
      </c>
      <c r="AT103" s="98">
        <f t="shared" si="26"/>
        <v>58372.369931016365</v>
      </c>
      <c r="AU103" s="98">
        <f t="shared" si="26"/>
        <v>59539.817329636688</v>
      </c>
      <c r="AV103" s="98">
        <f t="shared" si="26"/>
        <v>60730.613676229419</v>
      </c>
    </row>
    <row r="104" spans="1:48" s="266" customFormat="1" ht="15" customHeight="1">
      <c r="A104" s="261"/>
      <c r="B104" s="262"/>
      <c r="C104" s="312"/>
      <c r="D104" s="319"/>
      <c r="E104" s="262"/>
      <c r="F104" s="262"/>
      <c r="G104" s="262"/>
      <c r="H104" s="262"/>
      <c r="I104" s="262"/>
      <c r="J104" s="262"/>
      <c r="K104" s="262"/>
      <c r="L104" s="262"/>
      <c r="M104" s="262"/>
      <c r="N104" s="262"/>
      <c r="O104" s="262"/>
      <c r="P104" s="262"/>
      <c r="Q104" s="262"/>
      <c r="R104" s="262"/>
      <c r="S104" s="262"/>
      <c r="T104" s="262"/>
      <c r="U104" s="262"/>
      <c r="V104" s="262"/>
      <c r="W104" s="262"/>
      <c r="X104" s="262"/>
      <c r="Y104" s="262"/>
      <c r="Z104" s="262"/>
      <c r="AA104" s="262"/>
      <c r="AB104" s="262"/>
      <c r="AC104" s="262"/>
    </row>
    <row r="105" spans="1:48" s="266" customFormat="1" ht="15" customHeight="1">
      <c r="A105" s="261"/>
      <c r="B105" s="255" t="s">
        <v>638</v>
      </c>
      <c r="C105" s="312"/>
      <c r="D105" s="319"/>
      <c r="E105" s="262"/>
      <c r="F105" s="262"/>
      <c r="G105" s="262"/>
      <c r="H105" s="262"/>
      <c r="I105" s="262"/>
      <c r="J105" s="262"/>
      <c r="K105" s="262"/>
      <c r="L105" s="262"/>
      <c r="M105" s="262"/>
      <c r="N105" s="262"/>
      <c r="O105" s="262"/>
      <c r="P105" s="262"/>
      <c r="Q105" s="262"/>
      <c r="R105" s="262"/>
      <c r="S105" s="262"/>
      <c r="T105" s="262"/>
      <c r="U105" s="262"/>
      <c r="V105" s="262"/>
      <c r="W105" s="262"/>
      <c r="X105" s="262"/>
      <c r="Y105" s="262"/>
      <c r="Z105" s="262"/>
      <c r="AA105" s="262"/>
      <c r="AB105" s="262"/>
      <c r="AC105" s="262"/>
    </row>
    <row r="106" spans="1:48" s="267" customFormat="1" ht="15" customHeight="1">
      <c r="B106" s="359"/>
      <c r="C106" s="360"/>
      <c r="D106" s="525"/>
      <c r="E106" s="76" t="str">
        <f xml:space="preserve"> InputsTS!E$245</f>
        <v>Weighted average realised copper price (MinMin)</v>
      </c>
      <c r="F106" s="76">
        <f xml:space="preserve"> InputsTS!F$245</f>
        <v>0</v>
      </c>
      <c r="G106" s="76" t="str">
        <f xml:space="preserve"> InputsTS!G$245</f>
        <v>$ / tonne</v>
      </c>
      <c r="H106" s="76">
        <f xml:space="preserve"> InputsTS!H$245</f>
        <v>0</v>
      </c>
      <c r="I106" s="76" t="str">
        <f xml:space="preserve"> InputsTS!I$245</f>
        <v>III</v>
      </c>
      <c r="J106" s="76">
        <f xml:space="preserve"> InputsTS!J$245</f>
        <v>0</v>
      </c>
      <c r="K106" s="76">
        <f xml:space="preserve"> InputsTS!K$245</f>
        <v>0</v>
      </c>
      <c r="L106" s="76">
        <f xml:space="preserve"> InputsTS!L$245</f>
        <v>0</v>
      </c>
      <c r="M106" s="76">
        <f xml:space="preserve"> InputsTS!M$245</f>
        <v>0</v>
      </c>
      <c r="N106" s="76">
        <f xml:space="preserve"> InputsTS!N$245</f>
        <v>0</v>
      </c>
      <c r="O106" s="76">
        <f xml:space="preserve"> InputsTS!O$245</f>
        <v>0</v>
      </c>
      <c r="P106" s="76">
        <f xml:space="preserve"> InputsTS!P$245</f>
        <v>37837.342671559352</v>
      </c>
      <c r="Q106" s="76">
        <f xml:space="preserve"> InputsTS!Q$245</f>
        <v>23569.529749616766</v>
      </c>
      <c r="R106" s="76">
        <f xml:space="preserve"> InputsTS!R$245</f>
        <v>22218.616284913183</v>
      </c>
      <c r="S106" s="76">
        <f xml:space="preserve"> InputsTS!S$245</f>
        <v>37140.38136559639</v>
      </c>
      <c r="T106" s="76">
        <f xml:space="preserve"> InputsTS!T$245</f>
        <v>0</v>
      </c>
      <c r="U106" s="76">
        <f xml:space="preserve"> InputsTS!U$245</f>
        <v>0</v>
      </c>
      <c r="V106" s="76">
        <f xml:space="preserve"> InputsTS!V$245</f>
        <v>0</v>
      </c>
      <c r="W106" s="76">
        <f xml:space="preserve"> InputsTS!W$245</f>
        <v>0</v>
      </c>
      <c r="X106" s="378">
        <f xml:space="preserve"> InputsTS!X$245</f>
        <v>0</v>
      </c>
      <c r="Y106" s="76">
        <f xml:space="preserve"> InputsTS!Y$245</f>
        <v>0</v>
      </c>
      <c r="Z106" s="76">
        <f xml:space="preserve"> InputsTS!Z$245</f>
        <v>0</v>
      </c>
      <c r="AA106" s="76">
        <f xml:space="preserve"> InputsTS!AA$245</f>
        <v>0</v>
      </c>
      <c r="AB106" s="76">
        <f xml:space="preserve"> InputsTS!AB$245</f>
        <v>0</v>
      </c>
      <c r="AC106" s="76">
        <f xml:space="preserve"> InputsTS!AC$245</f>
        <v>0</v>
      </c>
      <c r="AD106" s="76">
        <f xml:space="preserve"> InputsTS!AD$245</f>
        <v>0</v>
      </c>
      <c r="AE106" s="76">
        <f xml:space="preserve"> InputsTS!AE$245</f>
        <v>0</v>
      </c>
      <c r="AF106" s="76">
        <f xml:space="preserve"> InputsTS!AF$245</f>
        <v>0</v>
      </c>
      <c r="AG106" s="76">
        <f xml:space="preserve"> InputsTS!AG$245</f>
        <v>0</v>
      </c>
      <c r="AH106" s="76">
        <f xml:space="preserve"> InputsTS!AH$245</f>
        <v>0</v>
      </c>
      <c r="AI106" s="76">
        <f xml:space="preserve"> InputsTS!AI$245</f>
        <v>0</v>
      </c>
      <c r="AJ106" s="76">
        <f xml:space="preserve"> InputsTS!AJ$245</f>
        <v>0</v>
      </c>
      <c r="AK106" s="76">
        <f xml:space="preserve"> InputsTS!AK$245</f>
        <v>0</v>
      </c>
      <c r="AL106" s="76">
        <f xml:space="preserve"> InputsTS!AL$245</f>
        <v>0</v>
      </c>
      <c r="AM106" s="76">
        <f xml:space="preserve"> InputsTS!AM$245</f>
        <v>0</v>
      </c>
      <c r="AN106" s="76">
        <f xml:space="preserve"> InputsTS!AN$245</f>
        <v>0</v>
      </c>
      <c r="AO106" s="76">
        <f xml:space="preserve"> InputsTS!AO$245</f>
        <v>0</v>
      </c>
      <c r="AP106" s="76">
        <f xml:space="preserve"> InputsTS!AP$245</f>
        <v>0</v>
      </c>
      <c r="AQ106" s="76">
        <f xml:space="preserve"> InputsTS!AQ$245</f>
        <v>0</v>
      </c>
      <c r="AR106" s="76">
        <f xml:space="preserve"> InputsTS!AR$245</f>
        <v>0</v>
      </c>
      <c r="AS106" s="76">
        <f xml:space="preserve"> InputsTS!AS$245</f>
        <v>0</v>
      </c>
      <c r="AT106" s="76">
        <f xml:space="preserve"> InputsTS!AT$245</f>
        <v>0</v>
      </c>
      <c r="AU106" s="76">
        <f xml:space="preserve"> InputsTS!AU$245</f>
        <v>0</v>
      </c>
      <c r="AV106" s="76">
        <f xml:space="preserve"> InputsTS!AV$245</f>
        <v>0</v>
      </c>
    </row>
    <row r="107" spans="1:48" s="266" customFormat="1" ht="15" customHeight="1">
      <c r="A107" s="265"/>
      <c r="B107" s="262"/>
      <c r="C107" s="313"/>
      <c r="D107" s="319"/>
      <c r="E107" s="46" t="s">
        <v>649</v>
      </c>
      <c r="F107" s="258"/>
      <c r="G107" s="323" t="s">
        <v>14</v>
      </c>
      <c r="H107" s="258"/>
      <c r="I107" s="258"/>
      <c r="J107" s="258"/>
      <c r="K107" s="258"/>
      <c r="L107" s="6">
        <f t="shared" ref="L107:AV107" si="27" xml:space="preserve"> L106</f>
        <v>0</v>
      </c>
      <c r="M107" s="6">
        <f t="shared" si="27"/>
        <v>0</v>
      </c>
      <c r="N107" s="6">
        <f t="shared" si="27"/>
        <v>0</v>
      </c>
      <c r="O107" s="6">
        <f t="shared" si="27"/>
        <v>0</v>
      </c>
      <c r="P107" s="6">
        <f t="shared" si="27"/>
        <v>37837.342671559352</v>
      </c>
      <c r="Q107" s="6">
        <f t="shared" si="27"/>
        <v>23569.529749616766</v>
      </c>
      <c r="R107" s="6">
        <f t="shared" si="27"/>
        <v>22218.616284913183</v>
      </c>
      <c r="S107" s="6">
        <f t="shared" si="27"/>
        <v>37140.38136559639</v>
      </c>
      <c r="T107" s="6">
        <f t="shared" si="27"/>
        <v>0</v>
      </c>
      <c r="U107" s="6">
        <f t="shared" si="27"/>
        <v>0</v>
      </c>
      <c r="V107" s="6">
        <f t="shared" si="27"/>
        <v>0</v>
      </c>
      <c r="W107" s="6">
        <f t="shared" si="27"/>
        <v>0</v>
      </c>
      <c r="X107" s="6">
        <f t="shared" si="27"/>
        <v>0</v>
      </c>
      <c r="Y107" s="6">
        <f t="shared" si="27"/>
        <v>0</v>
      </c>
      <c r="Z107" s="6">
        <f t="shared" si="27"/>
        <v>0</v>
      </c>
      <c r="AA107" s="6">
        <f t="shared" si="27"/>
        <v>0</v>
      </c>
      <c r="AB107" s="6">
        <f t="shared" si="27"/>
        <v>0</v>
      </c>
      <c r="AC107" s="6">
        <f t="shared" si="27"/>
        <v>0</v>
      </c>
      <c r="AD107" s="6">
        <f t="shared" si="27"/>
        <v>0</v>
      </c>
      <c r="AE107" s="6">
        <f t="shared" si="27"/>
        <v>0</v>
      </c>
      <c r="AF107" s="6">
        <f t="shared" si="27"/>
        <v>0</v>
      </c>
      <c r="AG107" s="6">
        <f t="shared" si="27"/>
        <v>0</v>
      </c>
      <c r="AH107" s="6">
        <f t="shared" si="27"/>
        <v>0</v>
      </c>
      <c r="AI107" s="6">
        <f t="shared" si="27"/>
        <v>0</v>
      </c>
      <c r="AJ107" s="6">
        <f t="shared" si="27"/>
        <v>0</v>
      </c>
      <c r="AK107" s="6">
        <f t="shared" si="27"/>
        <v>0</v>
      </c>
      <c r="AL107" s="6">
        <f t="shared" si="27"/>
        <v>0</v>
      </c>
      <c r="AM107" s="6">
        <f t="shared" si="27"/>
        <v>0</v>
      </c>
      <c r="AN107" s="6">
        <f t="shared" si="27"/>
        <v>0</v>
      </c>
      <c r="AO107" s="6">
        <f t="shared" si="27"/>
        <v>0</v>
      </c>
      <c r="AP107" s="6">
        <f t="shared" si="27"/>
        <v>0</v>
      </c>
      <c r="AQ107" s="6">
        <f t="shared" si="27"/>
        <v>0</v>
      </c>
      <c r="AR107" s="6">
        <f t="shared" si="27"/>
        <v>0</v>
      </c>
      <c r="AS107" s="6">
        <f t="shared" si="27"/>
        <v>0</v>
      </c>
      <c r="AT107" s="6">
        <f t="shared" si="27"/>
        <v>0</v>
      </c>
      <c r="AU107" s="6">
        <f t="shared" si="27"/>
        <v>0</v>
      </c>
      <c r="AV107" s="6">
        <f t="shared" si="27"/>
        <v>0</v>
      </c>
    </row>
    <row r="108" spans="1:48" s="266" customFormat="1" ht="15" customHeight="1">
      <c r="A108" s="265"/>
      <c r="B108" s="262"/>
      <c r="C108" s="313"/>
      <c r="D108" s="319"/>
      <c r="E108" s="46"/>
      <c r="F108" s="258"/>
      <c r="G108" s="323"/>
      <c r="H108" s="258"/>
      <c r="I108" s="258"/>
      <c r="J108" s="258"/>
      <c r="K108" s="25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</row>
    <row r="109" spans="1:48" s="266" customFormat="1" ht="15" customHeight="1">
      <c r="A109" s="265"/>
      <c r="B109" s="255" t="s">
        <v>639</v>
      </c>
      <c r="C109" s="313"/>
      <c r="D109" s="319"/>
    </row>
    <row r="110" spans="1:48" s="266" customFormat="1" ht="15" customHeight="1">
      <c r="A110" s="265"/>
      <c r="B110" s="255"/>
      <c r="C110" s="313" t="s">
        <v>727</v>
      </c>
      <c r="D110" s="319"/>
      <c r="F110" s="3"/>
    </row>
    <row r="111" spans="1:48" s="266" customFormat="1" ht="15" customHeight="1">
      <c r="A111" s="265"/>
      <c r="B111" s="255"/>
      <c r="C111" s="313"/>
      <c r="D111" s="319"/>
      <c r="E111" s="266" t="s">
        <v>798</v>
      </c>
      <c r="F111" s="318" t="s">
        <v>728</v>
      </c>
      <c r="G111" s="266" t="s">
        <v>518</v>
      </c>
    </row>
    <row r="112" spans="1:48" s="76" customFormat="1" ht="15" customHeight="1">
      <c r="B112" s="367"/>
      <c r="C112" s="368"/>
      <c r="D112" s="300"/>
      <c r="E112" s="202" t="str">
        <f t="shared" ref="E112:AV112" si="28" xml:space="preserve"> E$103</f>
        <v>Cobalt LME actual &amp; forecast price: IMF_WEO</v>
      </c>
      <c r="F112" s="202">
        <f t="shared" si="28"/>
        <v>0</v>
      </c>
      <c r="G112" s="202" t="str">
        <f t="shared" si="28"/>
        <v>$ / tonne</v>
      </c>
      <c r="H112" s="202">
        <f t="shared" si="28"/>
        <v>0</v>
      </c>
      <c r="I112" s="202">
        <f t="shared" si="28"/>
        <v>0</v>
      </c>
      <c r="J112" s="202">
        <f t="shared" si="28"/>
        <v>0</v>
      </c>
      <c r="K112" s="202" t="e">
        <f t="shared" si="28"/>
        <v>#REF!</v>
      </c>
      <c r="L112" s="202">
        <f t="shared" si="28"/>
        <v>30780.7319565531</v>
      </c>
      <c r="M112" s="202">
        <f t="shared" si="28"/>
        <v>28451.660698559601</v>
      </c>
      <c r="N112" s="202">
        <f t="shared" si="28"/>
        <v>25463.3685425685</v>
      </c>
      <c r="O112" s="202">
        <f t="shared" si="28"/>
        <v>55832.1709807429</v>
      </c>
      <c r="P112" s="202">
        <f t="shared" si="28"/>
        <v>72911.236898013303</v>
      </c>
      <c r="Q112" s="202">
        <f t="shared" si="28"/>
        <v>33177.6323053909</v>
      </c>
      <c r="R112" s="202">
        <f t="shared" si="28"/>
        <v>31444.926902256499</v>
      </c>
      <c r="S112" s="202">
        <f t="shared" si="28"/>
        <v>51235.518379838803</v>
      </c>
      <c r="T112" s="202">
        <f t="shared" si="28"/>
        <v>63764.719304065497</v>
      </c>
      <c r="U112" s="202">
        <f t="shared" si="28"/>
        <v>34275.041504525099</v>
      </c>
      <c r="V112" s="202">
        <f t="shared" si="28"/>
        <v>26326.827560543301</v>
      </c>
      <c r="W112" s="202">
        <f t="shared" si="28"/>
        <v>40000</v>
      </c>
      <c r="X112" s="202">
        <f t="shared" si="28"/>
        <v>40000</v>
      </c>
      <c r="Y112" s="202">
        <f t="shared" si="28"/>
        <v>40000</v>
      </c>
      <c r="Z112" s="202">
        <f t="shared" si="28"/>
        <v>40000</v>
      </c>
      <c r="AA112" s="202">
        <f t="shared" si="28"/>
        <v>40000</v>
      </c>
      <c r="AB112" s="202">
        <f t="shared" si="28"/>
        <v>40869.962046162531</v>
      </c>
      <c r="AC112" s="202">
        <f t="shared" si="28"/>
        <v>41687.361287085783</v>
      </c>
      <c r="AD112" s="202">
        <f t="shared" si="28"/>
        <v>42521.108512827494</v>
      </c>
      <c r="AE112" s="202">
        <f t="shared" si="28"/>
        <v>43371.530683084049</v>
      </c>
      <c r="AF112" s="202">
        <f t="shared" si="28"/>
        <v>44238.961296745721</v>
      </c>
      <c r="AG112" s="202">
        <f t="shared" si="28"/>
        <v>45123.740522680637</v>
      </c>
      <c r="AH112" s="202">
        <f t="shared" si="28"/>
        <v>46026.215333134256</v>
      </c>
      <c r="AI112" s="202">
        <f t="shared" si="28"/>
        <v>46946.739639796942</v>
      </c>
      <c r="AJ112" s="202">
        <f t="shared" si="28"/>
        <v>47885.674432592888</v>
      </c>
      <c r="AK112" s="202">
        <f t="shared" si="28"/>
        <v>48843.38792124475</v>
      </c>
      <c r="AL112" s="202">
        <f t="shared" si="28"/>
        <v>49820.255679669637</v>
      </c>
      <c r="AM112" s="202">
        <f t="shared" si="28"/>
        <v>50816.660793263036</v>
      </c>
      <c r="AN112" s="202">
        <f t="shared" si="28"/>
        <v>51832.994009128306</v>
      </c>
      <c r="AO112" s="202">
        <f t="shared" si="28"/>
        <v>52869.653889310874</v>
      </c>
      <c r="AP112" s="202">
        <f t="shared" si="28"/>
        <v>53927.046967097092</v>
      </c>
      <c r="AQ112" s="202">
        <f t="shared" si="28"/>
        <v>55005.587906439039</v>
      </c>
      <c r="AR112" s="202">
        <f t="shared" si="28"/>
        <v>56105.699664567815</v>
      </c>
      <c r="AS112" s="202">
        <f t="shared" si="28"/>
        <v>57227.813657859173</v>
      </c>
      <c r="AT112" s="202">
        <f t="shared" si="28"/>
        <v>58372.369931016365</v>
      </c>
      <c r="AU112" s="202">
        <f t="shared" si="28"/>
        <v>59539.817329636688</v>
      </c>
      <c r="AV112" s="202">
        <f t="shared" si="28"/>
        <v>60730.613676229419</v>
      </c>
    </row>
    <row r="113" spans="1:48" s="263" customFormat="1" ht="15" customHeight="1">
      <c r="B113" s="301"/>
      <c r="C113" s="264"/>
      <c r="D113" s="851"/>
      <c r="E113" s="202" t="str">
        <f t="shared" ref="E113:AV113" si="29" xml:space="preserve"> E$107</f>
        <v>Combined realized Co prices</v>
      </c>
      <c r="F113" s="202">
        <f t="shared" si="29"/>
        <v>0</v>
      </c>
      <c r="G113" s="202" t="str">
        <f t="shared" si="29"/>
        <v>$ / tonne</v>
      </c>
      <c r="H113" s="202">
        <f t="shared" si="29"/>
        <v>0</v>
      </c>
      <c r="I113" s="202">
        <f t="shared" si="29"/>
        <v>0</v>
      </c>
      <c r="J113" s="202">
        <f t="shared" si="29"/>
        <v>0</v>
      </c>
      <c r="K113" s="202">
        <f t="shared" si="29"/>
        <v>0</v>
      </c>
      <c r="L113" s="202">
        <f t="shared" si="29"/>
        <v>0</v>
      </c>
      <c r="M113" s="202">
        <f t="shared" si="29"/>
        <v>0</v>
      </c>
      <c r="N113" s="202">
        <f t="shared" si="29"/>
        <v>0</v>
      </c>
      <c r="O113" s="202">
        <f t="shared" si="29"/>
        <v>0</v>
      </c>
      <c r="P113" s="202">
        <f t="shared" si="29"/>
        <v>37837.342671559352</v>
      </c>
      <c r="Q113" s="202">
        <f t="shared" si="29"/>
        <v>23569.529749616766</v>
      </c>
      <c r="R113" s="202">
        <f t="shared" si="29"/>
        <v>22218.616284913183</v>
      </c>
      <c r="S113" s="202">
        <f t="shared" si="29"/>
        <v>37140.38136559639</v>
      </c>
      <c r="T113" s="202">
        <f t="shared" si="29"/>
        <v>0</v>
      </c>
      <c r="U113" s="202">
        <f t="shared" si="29"/>
        <v>0</v>
      </c>
      <c r="V113" s="202">
        <f t="shared" si="29"/>
        <v>0</v>
      </c>
      <c r="W113" s="202">
        <f t="shared" si="29"/>
        <v>0</v>
      </c>
      <c r="X113" s="202">
        <f t="shared" si="29"/>
        <v>0</v>
      </c>
      <c r="Y113" s="202">
        <f t="shared" si="29"/>
        <v>0</v>
      </c>
      <c r="Z113" s="202">
        <f t="shared" si="29"/>
        <v>0</v>
      </c>
      <c r="AA113" s="202">
        <f t="shared" si="29"/>
        <v>0</v>
      </c>
      <c r="AB113" s="202">
        <f t="shared" si="29"/>
        <v>0</v>
      </c>
      <c r="AC113" s="202">
        <f t="shared" si="29"/>
        <v>0</v>
      </c>
      <c r="AD113" s="202">
        <f t="shared" si="29"/>
        <v>0</v>
      </c>
      <c r="AE113" s="202">
        <f t="shared" si="29"/>
        <v>0</v>
      </c>
      <c r="AF113" s="202">
        <f t="shared" si="29"/>
        <v>0</v>
      </c>
      <c r="AG113" s="202">
        <f t="shared" si="29"/>
        <v>0</v>
      </c>
      <c r="AH113" s="202">
        <f t="shared" si="29"/>
        <v>0</v>
      </c>
      <c r="AI113" s="202">
        <f t="shared" si="29"/>
        <v>0</v>
      </c>
      <c r="AJ113" s="202">
        <f t="shared" si="29"/>
        <v>0</v>
      </c>
      <c r="AK113" s="202">
        <f t="shared" si="29"/>
        <v>0</v>
      </c>
      <c r="AL113" s="202">
        <f t="shared" si="29"/>
        <v>0</v>
      </c>
      <c r="AM113" s="202">
        <f t="shared" si="29"/>
        <v>0</v>
      </c>
      <c r="AN113" s="202">
        <f t="shared" si="29"/>
        <v>0</v>
      </c>
      <c r="AO113" s="202">
        <f t="shared" si="29"/>
        <v>0</v>
      </c>
      <c r="AP113" s="202">
        <f t="shared" si="29"/>
        <v>0</v>
      </c>
      <c r="AQ113" s="202">
        <f t="shared" si="29"/>
        <v>0</v>
      </c>
      <c r="AR113" s="202">
        <f t="shared" si="29"/>
        <v>0</v>
      </c>
      <c r="AS113" s="202">
        <f t="shared" si="29"/>
        <v>0</v>
      </c>
      <c r="AT113" s="202">
        <f t="shared" si="29"/>
        <v>0</v>
      </c>
      <c r="AU113" s="202">
        <f t="shared" si="29"/>
        <v>0</v>
      </c>
      <c r="AV113" s="202">
        <f t="shared" si="29"/>
        <v>0</v>
      </c>
    </row>
    <row r="114" spans="1:48" s="269" customFormat="1" ht="15" customHeight="1">
      <c r="A114" s="350"/>
      <c r="B114" s="356"/>
      <c r="C114" s="314"/>
      <c r="D114" s="847"/>
      <c r="E114" s="269" t="s">
        <v>642</v>
      </c>
      <c r="G114" s="269" t="s">
        <v>26</v>
      </c>
      <c r="K114" s="269" t="e">
        <f>IF(AND(K112&gt;0,K113&gt;0),K113/K112-1,0)</f>
        <v>#REF!</v>
      </c>
      <c r="L114" s="269">
        <f t="shared" ref="L114:AV114" si="30" xml:space="preserve"> IFERROR(L113 / L112, 0)</f>
        <v>0</v>
      </c>
      <c r="M114" s="269">
        <f t="shared" si="30"/>
        <v>0</v>
      </c>
      <c r="N114" s="269">
        <f t="shared" si="30"/>
        <v>0</v>
      </c>
      <c r="O114" s="269">
        <f t="shared" si="30"/>
        <v>0</v>
      </c>
      <c r="P114" s="269">
        <f t="shared" si="30"/>
        <v>0.51895077194322503</v>
      </c>
      <c r="Q114" s="269">
        <f t="shared" si="30"/>
        <v>0.71040421247260155</v>
      </c>
      <c r="R114" s="269">
        <f t="shared" si="30"/>
        <v>0.70658826315537615</v>
      </c>
      <c r="S114" s="269">
        <f t="shared" si="30"/>
        <v>0.72489520043991873</v>
      </c>
      <c r="T114" s="269">
        <f t="shared" si="30"/>
        <v>0</v>
      </c>
      <c r="U114" s="269">
        <f t="shared" si="30"/>
        <v>0</v>
      </c>
      <c r="V114" s="269">
        <f t="shared" si="30"/>
        <v>0</v>
      </c>
      <c r="W114" s="269">
        <f t="shared" si="30"/>
        <v>0</v>
      </c>
      <c r="X114" s="269">
        <f t="shared" si="30"/>
        <v>0</v>
      </c>
      <c r="Y114" s="269">
        <f t="shared" si="30"/>
        <v>0</v>
      </c>
      <c r="Z114" s="269">
        <f t="shared" si="30"/>
        <v>0</v>
      </c>
      <c r="AA114" s="269">
        <f t="shared" si="30"/>
        <v>0</v>
      </c>
      <c r="AB114" s="269">
        <f t="shared" si="30"/>
        <v>0</v>
      </c>
      <c r="AC114" s="269">
        <f t="shared" si="30"/>
        <v>0</v>
      </c>
      <c r="AD114" s="269">
        <f t="shared" si="30"/>
        <v>0</v>
      </c>
      <c r="AE114" s="269">
        <f t="shared" si="30"/>
        <v>0</v>
      </c>
      <c r="AF114" s="269">
        <f t="shared" si="30"/>
        <v>0</v>
      </c>
      <c r="AG114" s="269">
        <f t="shared" si="30"/>
        <v>0</v>
      </c>
      <c r="AH114" s="269">
        <f t="shared" si="30"/>
        <v>0</v>
      </c>
      <c r="AI114" s="269">
        <f t="shared" si="30"/>
        <v>0</v>
      </c>
      <c r="AJ114" s="269">
        <f t="shared" si="30"/>
        <v>0</v>
      </c>
      <c r="AK114" s="269">
        <f t="shared" si="30"/>
        <v>0</v>
      </c>
      <c r="AL114" s="269">
        <f t="shared" si="30"/>
        <v>0</v>
      </c>
      <c r="AM114" s="269">
        <f t="shared" si="30"/>
        <v>0</v>
      </c>
      <c r="AN114" s="269">
        <f t="shared" si="30"/>
        <v>0</v>
      </c>
      <c r="AO114" s="269">
        <f t="shared" si="30"/>
        <v>0</v>
      </c>
      <c r="AP114" s="269">
        <f t="shared" si="30"/>
        <v>0</v>
      </c>
      <c r="AQ114" s="269">
        <f t="shared" si="30"/>
        <v>0</v>
      </c>
      <c r="AR114" s="269">
        <f t="shared" si="30"/>
        <v>0</v>
      </c>
      <c r="AS114" s="269">
        <f t="shared" si="30"/>
        <v>0</v>
      </c>
      <c r="AT114" s="269">
        <f t="shared" si="30"/>
        <v>0</v>
      </c>
      <c r="AU114" s="269">
        <f t="shared" si="30"/>
        <v>0</v>
      </c>
      <c r="AV114" s="269">
        <f t="shared" si="30"/>
        <v>0</v>
      </c>
    </row>
    <row r="115" spans="1:48" s="266" customFormat="1" ht="15" customHeight="1">
      <c r="A115" s="265"/>
      <c r="B115" s="262"/>
      <c r="C115" s="313"/>
      <c r="D115" s="319"/>
      <c r="E115" s="266" t="s">
        <v>524</v>
      </c>
      <c r="F115" s="269">
        <f>AVERAGEIF(L114:AV114,"&lt;&gt; 0")</f>
        <v>0.66520961200278039</v>
      </c>
      <c r="G115" s="266" t="s">
        <v>26</v>
      </c>
    </row>
    <row r="116" spans="1:48" s="266" customFormat="1" ht="15" customHeight="1">
      <c r="A116" s="265"/>
      <c r="B116" s="262"/>
      <c r="C116" s="313"/>
      <c r="D116" s="319"/>
      <c r="F116" s="269"/>
    </row>
    <row r="117" spans="1:48" s="266" customFormat="1" ht="15" customHeight="1">
      <c r="A117" s="265"/>
      <c r="B117" s="262"/>
      <c r="C117" s="313"/>
      <c r="D117" s="319"/>
      <c r="E117" s="323" t="str">
        <f t="shared" ref="E117:AV117" si="31" xml:space="preserve"> E$103</f>
        <v>Cobalt LME actual &amp; forecast price: IMF_WEO</v>
      </c>
      <c r="F117" s="98">
        <f t="shared" si="31"/>
        <v>0</v>
      </c>
      <c r="G117" s="98" t="str">
        <f t="shared" si="31"/>
        <v>$ / tonne</v>
      </c>
      <c r="H117" s="98">
        <f t="shared" si="31"/>
        <v>0</v>
      </c>
      <c r="I117" s="98">
        <f t="shared" si="31"/>
        <v>0</v>
      </c>
      <c r="J117" s="98">
        <f t="shared" si="31"/>
        <v>0</v>
      </c>
      <c r="K117" s="98" t="e">
        <f t="shared" si="31"/>
        <v>#REF!</v>
      </c>
      <c r="L117" s="98">
        <f t="shared" si="31"/>
        <v>30780.7319565531</v>
      </c>
      <c r="M117" s="98">
        <f t="shared" si="31"/>
        <v>28451.660698559601</v>
      </c>
      <c r="N117" s="98">
        <f t="shared" si="31"/>
        <v>25463.3685425685</v>
      </c>
      <c r="O117" s="98">
        <f t="shared" si="31"/>
        <v>55832.1709807429</v>
      </c>
      <c r="P117" s="98">
        <f t="shared" si="31"/>
        <v>72911.236898013303</v>
      </c>
      <c r="Q117" s="98">
        <f t="shared" si="31"/>
        <v>33177.6323053909</v>
      </c>
      <c r="R117" s="98">
        <f t="shared" si="31"/>
        <v>31444.926902256499</v>
      </c>
      <c r="S117" s="98">
        <f t="shared" si="31"/>
        <v>51235.518379838803</v>
      </c>
      <c r="T117" s="98">
        <f t="shared" si="31"/>
        <v>63764.719304065497</v>
      </c>
      <c r="U117" s="98">
        <f t="shared" si="31"/>
        <v>34275.041504525099</v>
      </c>
      <c r="V117" s="98">
        <f t="shared" si="31"/>
        <v>26326.827560543301</v>
      </c>
      <c r="W117" s="98">
        <f t="shared" si="31"/>
        <v>40000</v>
      </c>
      <c r="X117" s="98">
        <f t="shared" si="31"/>
        <v>40000</v>
      </c>
      <c r="Y117" s="98">
        <f t="shared" si="31"/>
        <v>40000</v>
      </c>
      <c r="Z117" s="98">
        <f t="shared" si="31"/>
        <v>40000</v>
      </c>
      <c r="AA117" s="98">
        <f t="shared" si="31"/>
        <v>40000</v>
      </c>
      <c r="AB117" s="98">
        <f t="shared" si="31"/>
        <v>40869.962046162531</v>
      </c>
      <c r="AC117" s="98">
        <f t="shared" si="31"/>
        <v>41687.361287085783</v>
      </c>
      <c r="AD117" s="98">
        <f t="shared" si="31"/>
        <v>42521.108512827494</v>
      </c>
      <c r="AE117" s="98">
        <f t="shared" si="31"/>
        <v>43371.530683084049</v>
      </c>
      <c r="AF117" s="98">
        <f t="shared" si="31"/>
        <v>44238.961296745721</v>
      </c>
      <c r="AG117" s="98">
        <f t="shared" si="31"/>
        <v>45123.740522680637</v>
      </c>
      <c r="AH117" s="98">
        <f t="shared" si="31"/>
        <v>46026.215333134256</v>
      </c>
      <c r="AI117" s="98">
        <f t="shared" si="31"/>
        <v>46946.739639796942</v>
      </c>
      <c r="AJ117" s="98">
        <f t="shared" si="31"/>
        <v>47885.674432592888</v>
      </c>
      <c r="AK117" s="98">
        <f t="shared" si="31"/>
        <v>48843.38792124475</v>
      </c>
      <c r="AL117" s="98">
        <f t="shared" si="31"/>
        <v>49820.255679669637</v>
      </c>
      <c r="AM117" s="98">
        <f t="shared" si="31"/>
        <v>50816.660793263036</v>
      </c>
      <c r="AN117" s="98">
        <f t="shared" si="31"/>
        <v>51832.994009128306</v>
      </c>
      <c r="AO117" s="98">
        <f t="shared" si="31"/>
        <v>52869.653889310874</v>
      </c>
      <c r="AP117" s="98">
        <f t="shared" si="31"/>
        <v>53927.046967097092</v>
      </c>
      <c r="AQ117" s="98">
        <f t="shared" si="31"/>
        <v>55005.587906439039</v>
      </c>
      <c r="AR117" s="98">
        <f t="shared" si="31"/>
        <v>56105.699664567815</v>
      </c>
      <c r="AS117" s="98">
        <f t="shared" si="31"/>
        <v>57227.813657859173</v>
      </c>
      <c r="AT117" s="98">
        <f t="shared" si="31"/>
        <v>58372.369931016365</v>
      </c>
      <c r="AU117" s="98">
        <f t="shared" si="31"/>
        <v>59539.817329636688</v>
      </c>
      <c r="AV117" s="98">
        <f t="shared" si="31"/>
        <v>60730.613676229419</v>
      </c>
    </row>
    <row r="118" spans="1:48" s="6" customFormat="1" ht="15" customHeight="1">
      <c r="A118" s="347"/>
      <c r="B118" s="95"/>
      <c r="C118" s="96"/>
      <c r="D118" s="369"/>
      <c r="E118" s="323" t="str">
        <f>"Cobalt realized price: " &amp; F118</f>
        <v>Cobalt realized price: %LME(actual)</v>
      </c>
      <c r="F118" s="369" t="str">
        <f xml:space="preserve"> F111</f>
        <v>%LME(actual)</v>
      </c>
      <c r="G118" s="6" t="s">
        <v>14</v>
      </c>
      <c r="H118" s="98"/>
      <c r="K118" s="6" t="e">
        <f xml:space="preserve"> K117 * ( 1 + $F$115 )</f>
        <v>#REF!</v>
      </c>
      <c r="L118" s="6">
        <f t="shared" ref="L118:AV118" si="32" xml:space="preserve"> IF( L113 &lt;&gt; 0, L113, L117 * $F115)</f>
        <v>20475.63876198027</v>
      </c>
      <c r="M118" s="6">
        <f t="shared" si="32"/>
        <v>18926.318174123589</v>
      </c>
      <c r="N118" s="6">
        <f t="shared" si="32"/>
        <v>16938.477508485794</v>
      </c>
      <c r="O118" s="6">
        <f t="shared" si="32"/>
        <v>37140.096795372876</v>
      </c>
      <c r="P118" s="6">
        <f t="shared" si="32"/>
        <v>37837.342671559352</v>
      </c>
      <c r="Q118" s="6">
        <f t="shared" si="32"/>
        <v>23569.529749616766</v>
      </c>
      <c r="R118" s="6">
        <f t="shared" si="32"/>
        <v>22218.616284913183</v>
      </c>
      <c r="S118" s="6">
        <f t="shared" si="32"/>
        <v>37140.38136559639</v>
      </c>
      <c r="T118" s="6">
        <f t="shared" si="32"/>
        <v>42416.904187723609</v>
      </c>
      <c r="U118" s="6">
        <f t="shared" si="32"/>
        <v>22800.087060604335</v>
      </c>
      <c r="V118" s="6">
        <f t="shared" si="32"/>
        <v>17512.858746813115</v>
      </c>
      <c r="W118" s="6">
        <f t="shared" si="32"/>
        <v>26608.384480111217</v>
      </c>
      <c r="X118" s="6">
        <f t="shared" si="32"/>
        <v>26608.384480111217</v>
      </c>
      <c r="Y118" s="6">
        <f t="shared" si="32"/>
        <v>26608.384480111217</v>
      </c>
      <c r="Z118" s="6">
        <f t="shared" si="32"/>
        <v>26608.384480111217</v>
      </c>
      <c r="AA118" s="6">
        <f t="shared" si="32"/>
        <v>26608.384480111217</v>
      </c>
      <c r="AB118" s="6">
        <f t="shared" si="32"/>
        <v>27187.091595296137</v>
      </c>
      <c r="AC118" s="6">
        <f t="shared" si="32"/>
        <v>27730.833427202062</v>
      </c>
      <c r="AD118" s="6">
        <f t="shared" si="32"/>
        <v>28285.450095746099</v>
      </c>
      <c r="AE118" s="6">
        <f t="shared" si="32"/>
        <v>28851.159097661024</v>
      </c>
      <c r="AF118" s="6">
        <f t="shared" si="32"/>
        <v>29428.182279614241</v>
      </c>
      <c r="AG118" s="6">
        <f t="shared" si="32"/>
        <v>30016.745925206524</v>
      </c>
      <c r="AH118" s="6">
        <f t="shared" si="32"/>
        <v>30617.080843710661</v>
      </c>
      <c r="AI118" s="6">
        <f t="shared" si="32"/>
        <v>31229.422460584876</v>
      </c>
      <c r="AJ118" s="6">
        <f t="shared" si="32"/>
        <v>31854.010909796576</v>
      </c>
      <c r="AK118" s="6">
        <f t="shared" si="32"/>
        <v>32491.091127992509</v>
      </c>
      <c r="AL118" s="6">
        <f t="shared" si="32"/>
        <v>33140.912950552352</v>
      </c>
      <c r="AM118" s="6">
        <f t="shared" si="32"/>
        <v>33803.731209563404</v>
      </c>
      <c r="AN118" s="6">
        <f t="shared" si="32"/>
        <v>34479.805833754683</v>
      </c>
      <c r="AO118" s="6">
        <f t="shared" si="32"/>
        <v>35169.401950429776</v>
      </c>
      <c r="AP118" s="6">
        <f t="shared" si="32"/>
        <v>35872.789989438374</v>
      </c>
      <c r="AQ118" s="6">
        <f t="shared" si="32"/>
        <v>36590.245789227141</v>
      </c>
      <c r="AR118" s="6">
        <f t="shared" si="32"/>
        <v>37322.050705011679</v>
      </c>
      <c r="AS118" s="6">
        <f t="shared" si="32"/>
        <v>38068.491719111917</v>
      </c>
      <c r="AT118" s="6">
        <f t="shared" si="32"/>
        <v>38829.861553494164</v>
      </c>
      <c r="AU118" s="6">
        <f t="shared" si="32"/>
        <v>39606.458784564042</v>
      </c>
      <c r="AV118" s="6">
        <f t="shared" si="32"/>
        <v>40398.587960255318</v>
      </c>
    </row>
    <row r="119" spans="1:48" s="258" customFormat="1" ht="15" customHeight="1">
      <c r="A119" s="345"/>
      <c r="B119" s="255"/>
      <c r="C119" s="256"/>
      <c r="D119" s="257"/>
      <c r="E119" s="183" t="str">
        <f xml:space="preserve"> E118</f>
        <v>Cobalt realized price: %LME(actual)</v>
      </c>
      <c r="G119" s="258" t="s">
        <v>621</v>
      </c>
      <c r="H119" s="6"/>
      <c r="L119" s="81">
        <f t="shared" ref="L119" si="33" xml:space="preserve"> L118 / L117</f>
        <v>0.66520961200278039</v>
      </c>
      <c r="M119" s="81">
        <f t="shared" ref="M119" si="34" xml:space="preserve"> M118 / M117</f>
        <v>0.66520961200278039</v>
      </c>
      <c r="N119" s="81">
        <f t="shared" ref="N119" si="35" xml:space="preserve"> N118 / N117</f>
        <v>0.66520961200278028</v>
      </c>
      <c r="O119" s="81">
        <f t="shared" ref="O119" si="36" xml:space="preserve"> O118 / O117</f>
        <v>0.66520961200278028</v>
      </c>
      <c r="P119" s="81">
        <f t="shared" ref="P119" si="37" xml:space="preserve"> P118 / P117</f>
        <v>0.51895077194322503</v>
      </c>
      <c r="Q119" s="81">
        <f t="shared" ref="Q119" si="38" xml:space="preserve"> Q118 / Q117</f>
        <v>0.71040421247260155</v>
      </c>
      <c r="R119" s="81">
        <f t="shared" ref="R119" si="39" xml:space="preserve"> R118 / R117</f>
        <v>0.70658826315537615</v>
      </c>
      <c r="S119" s="81">
        <f t="shared" ref="S119" si="40" xml:space="preserve"> S118 / S117</f>
        <v>0.72489520043991873</v>
      </c>
      <c r="T119" s="81">
        <f t="shared" ref="T119" si="41" xml:space="preserve"> T118 / T117</f>
        <v>0.66520961200278039</v>
      </c>
      <c r="U119" s="81">
        <f t="shared" ref="U119" si="42" xml:space="preserve"> U118 / U117</f>
        <v>0.66520961200278039</v>
      </c>
      <c r="V119" s="81">
        <f t="shared" ref="V119" si="43" xml:space="preserve"> V118 / V117</f>
        <v>0.66520961200278039</v>
      </c>
      <c r="W119" s="81">
        <f t="shared" ref="W119" si="44" xml:space="preserve"> W118 / W117</f>
        <v>0.66520961200278039</v>
      </c>
      <c r="X119" s="81">
        <f t="shared" ref="X119" si="45" xml:space="preserve"> X118 / X117</f>
        <v>0.66520961200278039</v>
      </c>
      <c r="Y119" s="81">
        <f t="shared" ref="Y119" si="46" xml:space="preserve"> Y118 / Y117</f>
        <v>0.66520961200278039</v>
      </c>
      <c r="Z119" s="81">
        <f t="shared" ref="Z119" si="47" xml:space="preserve"> Z118 / Z117</f>
        <v>0.66520961200278039</v>
      </c>
      <c r="AA119" s="81">
        <f t="shared" ref="AA119" si="48" xml:space="preserve"> AA118 / AA117</f>
        <v>0.66520961200278039</v>
      </c>
      <c r="AB119" s="81">
        <f t="shared" ref="AB119" si="49" xml:space="preserve"> AB118 / AB117</f>
        <v>0.66520961200278039</v>
      </c>
      <c r="AC119" s="81">
        <f t="shared" ref="AC119" si="50" xml:space="preserve"> AC118 / AC117</f>
        <v>0.66520961200278039</v>
      </c>
      <c r="AD119" s="81">
        <f t="shared" ref="AD119" si="51" xml:space="preserve"> AD118 / AD117</f>
        <v>0.66520961200278039</v>
      </c>
      <c r="AE119" s="81">
        <f t="shared" ref="AE119" si="52" xml:space="preserve"> AE118 / AE117</f>
        <v>0.66520961200278039</v>
      </c>
      <c r="AF119" s="81">
        <f t="shared" ref="AF119" si="53" xml:space="preserve"> AF118 / AF117</f>
        <v>0.66520961200278039</v>
      </c>
      <c r="AG119" s="81">
        <f t="shared" ref="AG119" si="54" xml:space="preserve"> AG118 / AG117</f>
        <v>0.66520961200278039</v>
      </c>
      <c r="AH119" s="81">
        <f t="shared" ref="AH119" si="55" xml:space="preserve"> AH118 / AH117</f>
        <v>0.66520961200278039</v>
      </c>
      <c r="AI119" s="81">
        <f t="shared" ref="AI119" si="56" xml:space="preserve"> AI118 / AI117</f>
        <v>0.66520961200278039</v>
      </c>
      <c r="AJ119" s="81">
        <f t="shared" ref="AJ119" si="57" xml:space="preserve"> AJ118 / AJ117</f>
        <v>0.66520961200278039</v>
      </c>
      <c r="AK119" s="81">
        <f t="shared" ref="AK119" si="58" xml:space="preserve"> AK118 / AK117</f>
        <v>0.66520961200278039</v>
      </c>
      <c r="AL119" s="81">
        <f t="shared" ref="AL119" si="59" xml:space="preserve"> AL118 / AL117</f>
        <v>0.66520961200278028</v>
      </c>
      <c r="AM119" s="81">
        <f t="shared" ref="AM119" si="60" xml:space="preserve"> AM118 / AM117</f>
        <v>0.66520961200278039</v>
      </c>
      <c r="AN119" s="81">
        <f t="shared" ref="AN119" si="61" xml:space="preserve"> AN118 / AN117</f>
        <v>0.66520961200278039</v>
      </c>
      <c r="AO119" s="81">
        <f t="shared" ref="AO119" si="62" xml:space="preserve"> AO118 / AO117</f>
        <v>0.66520961200278039</v>
      </c>
      <c r="AP119" s="81">
        <f t="shared" ref="AP119" si="63" xml:space="preserve"> AP118 / AP117</f>
        <v>0.66520961200278039</v>
      </c>
      <c r="AQ119" s="81">
        <f t="shared" ref="AQ119" si="64" xml:space="preserve"> AQ118 / AQ117</f>
        <v>0.66520961200278039</v>
      </c>
      <c r="AR119" s="81">
        <f t="shared" ref="AR119" si="65" xml:space="preserve"> AR118 / AR117</f>
        <v>0.66520961200278028</v>
      </c>
      <c r="AS119" s="81">
        <f t="shared" ref="AS119" si="66" xml:space="preserve"> AS118 / AS117</f>
        <v>0.66520961200278039</v>
      </c>
      <c r="AT119" s="81">
        <f t="shared" ref="AT119" si="67" xml:space="preserve"> AT118 / AT117</f>
        <v>0.66520961200278039</v>
      </c>
      <c r="AU119" s="81">
        <f t="shared" ref="AU119" si="68" xml:space="preserve"> AU118 / AU117</f>
        <v>0.66520961200278039</v>
      </c>
      <c r="AV119" s="81">
        <f t="shared" ref="AV119" si="69" xml:space="preserve"> AV118 / AV117</f>
        <v>0.66520961200278039</v>
      </c>
    </row>
    <row r="120" spans="1:48" s="266" customFormat="1" ht="15" customHeight="1">
      <c r="A120" s="265"/>
      <c r="B120" s="262"/>
      <c r="C120" s="313"/>
      <c r="D120" s="319"/>
      <c r="F120" s="269"/>
    </row>
    <row r="121" spans="1:48" s="266" customFormat="1" ht="15" customHeight="1">
      <c r="A121" s="265"/>
      <c r="B121" s="255"/>
      <c r="C121" s="313" t="s">
        <v>729</v>
      </c>
      <c r="D121" s="319"/>
      <c r="F121" s="3"/>
    </row>
    <row r="122" spans="1:48" s="266" customFormat="1" ht="15" customHeight="1">
      <c r="A122" s="265"/>
      <c r="B122" s="255"/>
      <c r="C122" s="313"/>
      <c r="D122" s="319"/>
      <c r="E122" s="266" t="s">
        <v>798</v>
      </c>
      <c r="F122" s="318" t="s">
        <v>726</v>
      </c>
      <c r="G122" s="266" t="s">
        <v>518</v>
      </c>
    </row>
    <row r="123" spans="1:48" s="266" customFormat="1" ht="15" customHeight="1">
      <c r="A123" s="265"/>
      <c r="B123" s="262"/>
      <c r="C123" s="313"/>
      <c r="D123" s="319"/>
      <c r="E123" s="268" t="str">
        <f xml:space="preserve"> InputsCon!E$43</f>
        <v>Cobalt: Realised Price vs LME for "LMEAssumed"</v>
      </c>
      <c r="F123" s="268">
        <f xml:space="preserve"> InputsCon!F$43</f>
        <v>0.7</v>
      </c>
      <c r="G123" s="268" t="str">
        <f xml:space="preserve"> InputsCon!G$43</f>
        <v>%</v>
      </c>
      <c r="I123" s="279"/>
    </row>
    <row r="124" spans="1:48" s="266" customFormat="1" ht="15" customHeight="1">
      <c r="A124" s="265"/>
      <c r="B124" s="262"/>
      <c r="C124" s="313"/>
      <c r="D124" s="319"/>
      <c r="E124" s="323" t="str">
        <f t="shared" ref="E124:AV124" si="70" xml:space="preserve"> E$103</f>
        <v>Cobalt LME actual &amp; forecast price: IMF_WEO</v>
      </c>
      <c r="F124" s="98">
        <f t="shared" si="70"/>
        <v>0</v>
      </c>
      <c r="G124" s="98" t="str">
        <f t="shared" si="70"/>
        <v>$ / tonne</v>
      </c>
      <c r="H124" s="98">
        <f t="shared" si="70"/>
        <v>0</v>
      </c>
      <c r="I124" s="98">
        <f t="shared" si="70"/>
        <v>0</v>
      </c>
      <c r="J124" s="98">
        <f t="shared" si="70"/>
        <v>0</v>
      </c>
      <c r="K124" s="98" t="e">
        <f t="shared" si="70"/>
        <v>#REF!</v>
      </c>
      <c r="L124" s="98">
        <f t="shared" si="70"/>
        <v>30780.7319565531</v>
      </c>
      <c r="M124" s="98">
        <f t="shared" si="70"/>
        <v>28451.660698559601</v>
      </c>
      <c r="N124" s="98">
        <f t="shared" si="70"/>
        <v>25463.3685425685</v>
      </c>
      <c r="O124" s="98">
        <f t="shared" si="70"/>
        <v>55832.1709807429</v>
      </c>
      <c r="P124" s="98">
        <f t="shared" si="70"/>
        <v>72911.236898013303</v>
      </c>
      <c r="Q124" s="98">
        <f t="shared" si="70"/>
        <v>33177.6323053909</v>
      </c>
      <c r="R124" s="98">
        <f t="shared" si="70"/>
        <v>31444.926902256499</v>
      </c>
      <c r="S124" s="98">
        <f t="shared" si="70"/>
        <v>51235.518379838803</v>
      </c>
      <c r="T124" s="98">
        <f t="shared" si="70"/>
        <v>63764.719304065497</v>
      </c>
      <c r="U124" s="98">
        <f t="shared" si="70"/>
        <v>34275.041504525099</v>
      </c>
      <c r="V124" s="98">
        <f t="shared" si="70"/>
        <v>26326.827560543301</v>
      </c>
      <c r="W124" s="98">
        <f t="shared" si="70"/>
        <v>40000</v>
      </c>
      <c r="X124" s="98">
        <f t="shared" si="70"/>
        <v>40000</v>
      </c>
      <c r="Y124" s="98">
        <f t="shared" si="70"/>
        <v>40000</v>
      </c>
      <c r="Z124" s="98">
        <f t="shared" si="70"/>
        <v>40000</v>
      </c>
      <c r="AA124" s="98">
        <f t="shared" si="70"/>
        <v>40000</v>
      </c>
      <c r="AB124" s="98">
        <f t="shared" si="70"/>
        <v>40869.962046162531</v>
      </c>
      <c r="AC124" s="98">
        <f t="shared" si="70"/>
        <v>41687.361287085783</v>
      </c>
      <c r="AD124" s="98">
        <f t="shared" si="70"/>
        <v>42521.108512827494</v>
      </c>
      <c r="AE124" s="98">
        <f t="shared" si="70"/>
        <v>43371.530683084049</v>
      </c>
      <c r="AF124" s="98">
        <f t="shared" si="70"/>
        <v>44238.961296745721</v>
      </c>
      <c r="AG124" s="98">
        <f t="shared" si="70"/>
        <v>45123.740522680637</v>
      </c>
      <c r="AH124" s="98">
        <f t="shared" si="70"/>
        <v>46026.215333134256</v>
      </c>
      <c r="AI124" s="98">
        <f t="shared" si="70"/>
        <v>46946.739639796942</v>
      </c>
      <c r="AJ124" s="98">
        <f t="shared" si="70"/>
        <v>47885.674432592888</v>
      </c>
      <c r="AK124" s="98">
        <f t="shared" si="70"/>
        <v>48843.38792124475</v>
      </c>
      <c r="AL124" s="98">
        <f t="shared" si="70"/>
        <v>49820.255679669637</v>
      </c>
      <c r="AM124" s="98">
        <f t="shared" si="70"/>
        <v>50816.660793263036</v>
      </c>
      <c r="AN124" s="98">
        <f t="shared" si="70"/>
        <v>51832.994009128306</v>
      </c>
      <c r="AO124" s="98">
        <f t="shared" si="70"/>
        <v>52869.653889310874</v>
      </c>
      <c r="AP124" s="98">
        <f t="shared" si="70"/>
        <v>53927.046967097092</v>
      </c>
      <c r="AQ124" s="98">
        <f t="shared" si="70"/>
        <v>55005.587906439039</v>
      </c>
      <c r="AR124" s="98">
        <f t="shared" si="70"/>
        <v>56105.699664567815</v>
      </c>
      <c r="AS124" s="98">
        <f t="shared" si="70"/>
        <v>57227.813657859173</v>
      </c>
      <c r="AT124" s="98">
        <f t="shared" si="70"/>
        <v>58372.369931016365</v>
      </c>
      <c r="AU124" s="98">
        <f t="shared" si="70"/>
        <v>59539.817329636688</v>
      </c>
      <c r="AV124" s="98">
        <f t="shared" si="70"/>
        <v>60730.613676229419</v>
      </c>
    </row>
    <row r="125" spans="1:48" s="6" customFormat="1" ht="15" customHeight="1">
      <c r="A125" s="347"/>
      <c r="B125" s="95"/>
      <c r="C125" s="96"/>
      <c r="D125" s="369"/>
      <c r="E125" s="323" t="str">
        <f>"Cobalt realized price: " &amp; F125</f>
        <v>Cobalt realized price: %LME(assumed)</v>
      </c>
      <c r="F125" s="369" t="str">
        <f xml:space="preserve"> F122</f>
        <v>%LME(assumed)</v>
      </c>
      <c r="G125" s="6" t="s">
        <v>14</v>
      </c>
      <c r="H125" s="98"/>
      <c r="K125" s="6" t="e">
        <f xml:space="preserve"> K124 * ( 1 + $F$115 )</f>
        <v>#REF!</v>
      </c>
      <c r="L125" s="6">
        <f t="shared" ref="L125:AV125" si="71" xml:space="preserve"> L124 * $F123</f>
        <v>21546.51236958717</v>
      </c>
      <c r="M125" s="6">
        <f t="shared" si="71"/>
        <v>19916.162488991718</v>
      </c>
      <c r="N125" s="6">
        <f t="shared" si="71"/>
        <v>17824.357979797947</v>
      </c>
      <c r="O125" s="6">
        <f t="shared" si="71"/>
        <v>39082.519686520027</v>
      </c>
      <c r="P125" s="6">
        <f t="shared" si="71"/>
        <v>51037.865828609312</v>
      </c>
      <c r="Q125" s="6">
        <f t="shared" si="71"/>
        <v>23224.342613773628</v>
      </c>
      <c r="R125" s="6">
        <f t="shared" si="71"/>
        <v>22011.448831579546</v>
      </c>
      <c r="S125" s="6">
        <f t="shared" si="71"/>
        <v>35864.86286588716</v>
      </c>
      <c r="T125" s="6">
        <f t="shared" si="71"/>
        <v>44635.303512845843</v>
      </c>
      <c r="U125" s="6">
        <f t="shared" si="71"/>
        <v>23992.529053167567</v>
      </c>
      <c r="V125" s="6">
        <f t="shared" si="71"/>
        <v>18428.77929238031</v>
      </c>
      <c r="W125" s="6">
        <f t="shared" si="71"/>
        <v>28000</v>
      </c>
      <c r="X125" s="6">
        <f t="shared" si="71"/>
        <v>28000</v>
      </c>
      <c r="Y125" s="6">
        <f t="shared" si="71"/>
        <v>28000</v>
      </c>
      <c r="Z125" s="6">
        <f t="shared" si="71"/>
        <v>28000</v>
      </c>
      <c r="AA125" s="6">
        <f t="shared" si="71"/>
        <v>28000</v>
      </c>
      <c r="AB125" s="6">
        <f t="shared" si="71"/>
        <v>28608.973432313771</v>
      </c>
      <c r="AC125" s="6">
        <f t="shared" si="71"/>
        <v>29181.152900960045</v>
      </c>
      <c r="AD125" s="6">
        <f t="shared" si="71"/>
        <v>29764.775958979244</v>
      </c>
      <c r="AE125" s="6">
        <f t="shared" si="71"/>
        <v>30360.071478158832</v>
      </c>
      <c r="AF125" s="6">
        <f t="shared" si="71"/>
        <v>30967.272907722003</v>
      </c>
      <c r="AG125" s="6">
        <f t="shared" si="71"/>
        <v>31586.618365876442</v>
      </c>
      <c r="AH125" s="6">
        <f t="shared" si="71"/>
        <v>32218.350733193976</v>
      </c>
      <c r="AI125" s="6">
        <f t="shared" si="71"/>
        <v>32862.71774785786</v>
      </c>
      <c r="AJ125" s="6">
        <f t="shared" si="71"/>
        <v>33519.972102815023</v>
      </c>
      <c r="AK125" s="6">
        <f t="shared" si="71"/>
        <v>34190.371544871326</v>
      </c>
      <c r="AL125" s="6">
        <f t="shared" si="71"/>
        <v>34874.178975768744</v>
      </c>
      <c r="AM125" s="6">
        <f t="shared" si="71"/>
        <v>35571.662555284121</v>
      </c>
      <c r="AN125" s="6">
        <f t="shared" si="71"/>
        <v>36283.095806389814</v>
      </c>
      <c r="AO125" s="6">
        <f t="shared" si="71"/>
        <v>37008.757722517606</v>
      </c>
      <c r="AP125" s="6">
        <f t="shared" si="71"/>
        <v>37748.932876967963</v>
      </c>
      <c r="AQ125" s="6">
        <f t="shared" si="71"/>
        <v>38503.911534507322</v>
      </c>
      <c r="AR125" s="6">
        <f t="shared" si="71"/>
        <v>39273.989765197468</v>
      </c>
      <c r="AS125" s="6">
        <f t="shared" si="71"/>
        <v>40059.46956050142</v>
      </c>
      <c r="AT125" s="6">
        <f t="shared" si="71"/>
        <v>40860.658951711455</v>
      </c>
      <c r="AU125" s="6">
        <f t="shared" si="71"/>
        <v>41677.87213074568</v>
      </c>
      <c r="AV125" s="6">
        <f t="shared" si="71"/>
        <v>42511.42957336059</v>
      </c>
    </row>
    <row r="126" spans="1:48" s="258" customFormat="1" ht="15" customHeight="1">
      <c r="A126" s="345"/>
      <c r="B126" s="255"/>
      <c r="C126" s="256"/>
      <c r="D126" s="257"/>
      <c r="E126" s="183" t="str">
        <f xml:space="preserve"> E125</f>
        <v>Cobalt realized price: %LME(assumed)</v>
      </c>
      <c r="G126" s="258" t="s">
        <v>621</v>
      </c>
      <c r="H126" s="6"/>
      <c r="L126" s="81">
        <f t="shared" ref="L126:AV126" si="72" xml:space="preserve"> L125 / L124</f>
        <v>0.7</v>
      </c>
      <c r="M126" s="81">
        <f t="shared" si="72"/>
        <v>0.7</v>
      </c>
      <c r="N126" s="81">
        <f t="shared" si="72"/>
        <v>0.69999999999999984</v>
      </c>
      <c r="O126" s="81">
        <f t="shared" si="72"/>
        <v>0.7</v>
      </c>
      <c r="P126" s="81">
        <f t="shared" si="72"/>
        <v>0.7</v>
      </c>
      <c r="Q126" s="81">
        <f t="shared" si="72"/>
        <v>0.7</v>
      </c>
      <c r="R126" s="81">
        <f t="shared" si="72"/>
        <v>0.7</v>
      </c>
      <c r="S126" s="81">
        <f t="shared" si="72"/>
        <v>0.7</v>
      </c>
      <c r="T126" s="81">
        <f t="shared" si="72"/>
        <v>0.7</v>
      </c>
      <c r="U126" s="81">
        <f t="shared" si="72"/>
        <v>0.7</v>
      </c>
      <c r="V126" s="81">
        <f t="shared" si="72"/>
        <v>0.7</v>
      </c>
      <c r="W126" s="81">
        <f t="shared" si="72"/>
        <v>0.7</v>
      </c>
      <c r="X126" s="81">
        <f t="shared" si="72"/>
        <v>0.7</v>
      </c>
      <c r="Y126" s="81">
        <f t="shared" si="72"/>
        <v>0.7</v>
      </c>
      <c r="Z126" s="81">
        <f t="shared" si="72"/>
        <v>0.7</v>
      </c>
      <c r="AA126" s="81">
        <f t="shared" si="72"/>
        <v>0.7</v>
      </c>
      <c r="AB126" s="81">
        <f t="shared" si="72"/>
        <v>0.7</v>
      </c>
      <c r="AC126" s="81">
        <f t="shared" si="72"/>
        <v>0.7</v>
      </c>
      <c r="AD126" s="81">
        <f t="shared" si="72"/>
        <v>0.7</v>
      </c>
      <c r="AE126" s="81">
        <f t="shared" si="72"/>
        <v>0.7</v>
      </c>
      <c r="AF126" s="81">
        <f t="shared" si="72"/>
        <v>0.7</v>
      </c>
      <c r="AG126" s="81">
        <f t="shared" si="72"/>
        <v>0.7</v>
      </c>
      <c r="AH126" s="81">
        <f t="shared" si="72"/>
        <v>0.7</v>
      </c>
      <c r="AI126" s="81">
        <f t="shared" si="72"/>
        <v>0.7</v>
      </c>
      <c r="AJ126" s="81">
        <f t="shared" si="72"/>
        <v>0.70000000000000007</v>
      </c>
      <c r="AK126" s="81">
        <f t="shared" si="72"/>
        <v>0.70000000000000007</v>
      </c>
      <c r="AL126" s="81">
        <f t="shared" si="72"/>
        <v>0.7</v>
      </c>
      <c r="AM126" s="81">
        <f t="shared" si="72"/>
        <v>0.7</v>
      </c>
      <c r="AN126" s="81">
        <f t="shared" si="72"/>
        <v>0.7</v>
      </c>
      <c r="AO126" s="81">
        <f t="shared" si="72"/>
        <v>0.7</v>
      </c>
      <c r="AP126" s="81">
        <f t="shared" si="72"/>
        <v>0.7</v>
      </c>
      <c r="AQ126" s="81">
        <f t="shared" si="72"/>
        <v>0.7</v>
      </c>
      <c r="AR126" s="81">
        <f t="shared" si="72"/>
        <v>0.7</v>
      </c>
      <c r="AS126" s="81">
        <f t="shared" si="72"/>
        <v>0.7</v>
      </c>
      <c r="AT126" s="81">
        <f t="shared" si="72"/>
        <v>0.7</v>
      </c>
      <c r="AU126" s="81">
        <f t="shared" si="72"/>
        <v>0.7</v>
      </c>
      <c r="AV126" s="81">
        <f t="shared" si="72"/>
        <v>0.7</v>
      </c>
    </row>
    <row r="127" spans="1:48" s="6" customFormat="1" ht="15" customHeight="1">
      <c r="A127" s="347"/>
      <c r="B127" s="95"/>
      <c r="C127" s="96"/>
      <c r="D127" s="369"/>
      <c r="H127" s="98"/>
    </row>
    <row r="128" spans="1:48" s="266" customFormat="1" ht="15" customHeight="1">
      <c r="A128" s="265"/>
      <c r="B128" s="255" t="s">
        <v>643</v>
      </c>
      <c r="C128" s="313"/>
      <c r="D128" s="319"/>
      <c r="F128" s="318" t="s">
        <v>656</v>
      </c>
      <c r="G128" s="266" t="s">
        <v>518</v>
      </c>
    </row>
    <row r="129" spans="1:48" s="266" customFormat="1" ht="15" customHeight="1">
      <c r="A129" s="265"/>
      <c r="B129" s="255"/>
      <c r="C129" s="313" t="s">
        <v>527</v>
      </c>
      <c r="D129" s="319"/>
    </row>
    <row r="130" spans="1:48" s="266" customFormat="1" ht="15" customHeight="1">
      <c r="A130" s="265"/>
      <c r="B130" s="262"/>
      <c r="C130" s="313"/>
      <c r="D130" s="319"/>
      <c r="E130" s="98" t="str">
        <f t="shared" ref="E130:AV130" si="73" xml:space="preserve"> E$103</f>
        <v>Cobalt LME actual &amp; forecast price: IMF_WEO</v>
      </c>
      <c r="F130" s="98">
        <f t="shared" si="73"/>
        <v>0</v>
      </c>
      <c r="G130" s="98" t="str">
        <f t="shared" si="73"/>
        <v>$ / tonne</v>
      </c>
      <c r="H130" s="98">
        <f t="shared" si="73"/>
        <v>0</v>
      </c>
      <c r="I130" s="98">
        <f t="shared" si="73"/>
        <v>0</v>
      </c>
      <c r="J130" s="98">
        <f t="shared" si="73"/>
        <v>0</v>
      </c>
      <c r="K130" s="98" t="e">
        <f t="shared" si="73"/>
        <v>#REF!</v>
      </c>
      <c r="L130" s="98">
        <f t="shared" si="73"/>
        <v>30780.7319565531</v>
      </c>
      <c r="M130" s="98">
        <f t="shared" si="73"/>
        <v>28451.660698559601</v>
      </c>
      <c r="N130" s="98">
        <f t="shared" si="73"/>
        <v>25463.3685425685</v>
      </c>
      <c r="O130" s="98">
        <f t="shared" si="73"/>
        <v>55832.1709807429</v>
      </c>
      <c r="P130" s="98">
        <f t="shared" si="73"/>
        <v>72911.236898013303</v>
      </c>
      <c r="Q130" s="98">
        <f t="shared" si="73"/>
        <v>33177.6323053909</v>
      </c>
      <c r="R130" s="98">
        <f t="shared" si="73"/>
        <v>31444.926902256499</v>
      </c>
      <c r="S130" s="98">
        <f t="shared" si="73"/>
        <v>51235.518379838803</v>
      </c>
      <c r="T130" s="98">
        <f t="shared" si="73"/>
        <v>63764.719304065497</v>
      </c>
      <c r="U130" s="98">
        <f t="shared" si="73"/>
        <v>34275.041504525099</v>
      </c>
      <c r="V130" s="98">
        <f t="shared" si="73"/>
        <v>26326.827560543301</v>
      </c>
      <c r="W130" s="98">
        <f t="shared" si="73"/>
        <v>40000</v>
      </c>
      <c r="X130" s="98">
        <f t="shared" si="73"/>
        <v>40000</v>
      </c>
      <c r="Y130" s="98">
        <f t="shared" si="73"/>
        <v>40000</v>
      </c>
      <c r="Z130" s="98">
        <f t="shared" si="73"/>
        <v>40000</v>
      </c>
      <c r="AA130" s="98">
        <f t="shared" si="73"/>
        <v>40000</v>
      </c>
      <c r="AB130" s="98">
        <f t="shared" si="73"/>
        <v>40869.962046162531</v>
      </c>
      <c r="AC130" s="98">
        <f t="shared" si="73"/>
        <v>41687.361287085783</v>
      </c>
      <c r="AD130" s="98">
        <f t="shared" si="73"/>
        <v>42521.108512827494</v>
      </c>
      <c r="AE130" s="98">
        <f t="shared" si="73"/>
        <v>43371.530683084049</v>
      </c>
      <c r="AF130" s="98">
        <f t="shared" si="73"/>
        <v>44238.961296745721</v>
      </c>
      <c r="AG130" s="98">
        <f t="shared" si="73"/>
        <v>45123.740522680637</v>
      </c>
      <c r="AH130" s="98">
        <f t="shared" si="73"/>
        <v>46026.215333134256</v>
      </c>
      <c r="AI130" s="98">
        <f t="shared" si="73"/>
        <v>46946.739639796942</v>
      </c>
      <c r="AJ130" s="98">
        <f t="shared" si="73"/>
        <v>47885.674432592888</v>
      </c>
      <c r="AK130" s="98">
        <f t="shared" si="73"/>
        <v>48843.38792124475</v>
      </c>
      <c r="AL130" s="98">
        <f t="shared" si="73"/>
        <v>49820.255679669637</v>
      </c>
      <c r="AM130" s="98">
        <f t="shared" si="73"/>
        <v>50816.660793263036</v>
      </c>
      <c r="AN130" s="98">
        <f t="shared" si="73"/>
        <v>51832.994009128306</v>
      </c>
      <c r="AO130" s="98">
        <f t="shared" si="73"/>
        <v>52869.653889310874</v>
      </c>
      <c r="AP130" s="98">
        <f t="shared" si="73"/>
        <v>53927.046967097092</v>
      </c>
      <c r="AQ130" s="98">
        <f t="shared" si="73"/>
        <v>55005.587906439039</v>
      </c>
      <c r="AR130" s="98">
        <f t="shared" si="73"/>
        <v>56105.699664567815</v>
      </c>
      <c r="AS130" s="98">
        <f t="shared" si="73"/>
        <v>57227.813657859173</v>
      </c>
      <c r="AT130" s="98">
        <f t="shared" si="73"/>
        <v>58372.369931016365</v>
      </c>
      <c r="AU130" s="98">
        <f t="shared" si="73"/>
        <v>59539.817329636688</v>
      </c>
      <c r="AV130" s="98">
        <f t="shared" si="73"/>
        <v>60730.613676229419</v>
      </c>
    </row>
    <row r="131" spans="1:48" s="266" customFormat="1" ht="15" customHeight="1">
      <c r="A131" s="265"/>
      <c r="B131" s="255"/>
      <c r="C131" s="313"/>
      <c r="D131" s="319"/>
      <c r="E131" s="267" t="str">
        <f xml:space="preserve"> InputsTS!E$159</f>
        <v>Cobalt Payable Rate applied in model</v>
      </c>
      <c r="F131" s="268">
        <f xml:space="preserve"> InputsTS!F$159</f>
        <v>0.7</v>
      </c>
      <c r="G131" s="267" t="str">
        <f xml:space="preserve"> InputsTS!G$159</f>
        <v>%</v>
      </c>
      <c r="H131" s="267"/>
      <c r="I131" s="267"/>
    </row>
    <row r="132" spans="1:48" s="98" customFormat="1" ht="15" customHeight="1">
      <c r="A132" s="365"/>
      <c r="B132" s="95"/>
      <c r="C132" s="366"/>
      <c r="D132" s="317"/>
      <c r="E132" s="98" t="s">
        <v>647</v>
      </c>
      <c r="G132" s="98" t="s">
        <v>14</v>
      </c>
      <c r="K132" s="98" t="e">
        <f xml:space="preserve"> K130 * $F$128</f>
        <v>#REF!</v>
      </c>
      <c r="L132" s="98">
        <f t="shared" ref="L132:AV132" si="74" xml:space="preserve"> L130 * $F$131</f>
        <v>21546.51236958717</v>
      </c>
      <c r="M132" s="98">
        <f t="shared" si="74"/>
        <v>19916.162488991718</v>
      </c>
      <c r="N132" s="98">
        <f t="shared" si="74"/>
        <v>17824.357979797947</v>
      </c>
      <c r="O132" s="98">
        <f t="shared" si="74"/>
        <v>39082.519686520027</v>
      </c>
      <c r="P132" s="98">
        <f t="shared" si="74"/>
        <v>51037.865828609312</v>
      </c>
      <c r="Q132" s="98">
        <f t="shared" si="74"/>
        <v>23224.342613773628</v>
      </c>
      <c r="R132" s="98">
        <f t="shared" si="74"/>
        <v>22011.448831579546</v>
      </c>
      <c r="S132" s="98">
        <f t="shared" si="74"/>
        <v>35864.86286588716</v>
      </c>
      <c r="T132" s="98">
        <f t="shared" si="74"/>
        <v>44635.303512845843</v>
      </c>
      <c r="U132" s="98">
        <f t="shared" si="74"/>
        <v>23992.529053167567</v>
      </c>
      <c r="V132" s="98">
        <f t="shared" si="74"/>
        <v>18428.77929238031</v>
      </c>
      <c r="W132" s="98">
        <f t="shared" si="74"/>
        <v>28000</v>
      </c>
      <c r="X132" s="98">
        <f t="shared" si="74"/>
        <v>28000</v>
      </c>
      <c r="Y132" s="98">
        <f t="shared" si="74"/>
        <v>28000</v>
      </c>
      <c r="Z132" s="98">
        <f t="shared" si="74"/>
        <v>28000</v>
      </c>
      <c r="AA132" s="98">
        <f t="shared" si="74"/>
        <v>28000</v>
      </c>
      <c r="AB132" s="98">
        <f t="shared" si="74"/>
        <v>28608.973432313771</v>
      </c>
      <c r="AC132" s="98">
        <f t="shared" si="74"/>
        <v>29181.152900960045</v>
      </c>
      <c r="AD132" s="98">
        <f t="shared" si="74"/>
        <v>29764.775958979244</v>
      </c>
      <c r="AE132" s="98">
        <f t="shared" si="74"/>
        <v>30360.071478158832</v>
      </c>
      <c r="AF132" s="98">
        <f t="shared" si="74"/>
        <v>30967.272907722003</v>
      </c>
      <c r="AG132" s="98">
        <f t="shared" si="74"/>
        <v>31586.618365876442</v>
      </c>
      <c r="AH132" s="98">
        <f t="shared" si="74"/>
        <v>32218.350733193976</v>
      </c>
      <c r="AI132" s="98">
        <f t="shared" si="74"/>
        <v>32862.71774785786</v>
      </c>
      <c r="AJ132" s="98">
        <f t="shared" si="74"/>
        <v>33519.972102815023</v>
      </c>
      <c r="AK132" s="98">
        <f t="shared" si="74"/>
        <v>34190.371544871326</v>
      </c>
      <c r="AL132" s="98">
        <f t="shared" si="74"/>
        <v>34874.178975768744</v>
      </c>
      <c r="AM132" s="98">
        <f t="shared" si="74"/>
        <v>35571.662555284121</v>
      </c>
      <c r="AN132" s="98">
        <f t="shared" si="74"/>
        <v>36283.095806389814</v>
      </c>
      <c r="AO132" s="98">
        <f t="shared" si="74"/>
        <v>37008.757722517606</v>
      </c>
      <c r="AP132" s="98">
        <f t="shared" si="74"/>
        <v>37748.932876967963</v>
      </c>
      <c r="AQ132" s="98">
        <f t="shared" si="74"/>
        <v>38503.911534507322</v>
      </c>
      <c r="AR132" s="98">
        <f t="shared" si="74"/>
        <v>39273.989765197468</v>
      </c>
      <c r="AS132" s="98">
        <f t="shared" si="74"/>
        <v>40059.46956050142</v>
      </c>
      <c r="AT132" s="98">
        <f t="shared" si="74"/>
        <v>40860.658951711455</v>
      </c>
      <c r="AU132" s="98">
        <f t="shared" si="74"/>
        <v>41677.87213074568</v>
      </c>
      <c r="AV132" s="98">
        <f t="shared" si="74"/>
        <v>42511.42957336059</v>
      </c>
    </row>
    <row r="133" spans="1:48" s="266" customFormat="1" ht="15" customHeight="1">
      <c r="A133" s="265"/>
      <c r="B133" s="255"/>
      <c r="C133" s="313"/>
      <c r="D133" s="319"/>
    </row>
    <row r="134" spans="1:48" s="266" customFormat="1" ht="15" customHeight="1">
      <c r="A134" s="265"/>
      <c r="B134" s="255"/>
      <c r="C134" s="313" t="s">
        <v>528</v>
      </c>
      <c r="D134" s="319"/>
    </row>
    <row r="135" spans="1:48" s="266" customFormat="1" ht="15" customHeight="1">
      <c r="A135" s="265"/>
      <c r="B135" s="262"/>
      <c r="C135" s="313"/>
      <c r="D135" s="319"/>
      <c r="E135" s="39" t="str">
        <f xml:space="preserve"> InputsTS!E$154</f>
        <v>Freight Allowance (per wet metric ton)</v>
      </c>
      <c r="F135" s="39">
        <f xml:space="preserve"> InputsTS!F$154</f>
        <v>520</v>
      </c>
      <c r="G135" s="39" t="str">
        <f xml:space="preserve"> InputsTS!G$154</f>
        <v>$ / tonne</v>
      </c>
      <c r="I135" s="316" t="s">
        <v>541</v>
      </c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pans="1:48" s="266" customFormat="1" ht="15" customHeight="1">
      <c r="A136" s="265"/>
      <c r="B136" s="262"/>
      <c r="C136" s="313"/>
      <c r="D136" s="319"/>
      <c r="E136" s="76" t="str">
        <f xml:space="preserve"> InputsTS!E$144</f>
        <v>Cobalt Mean Grade</v>
      </c>
      <c r="F136" s="275">
        <f xml:space="preserve"> InputsTS!F$144</f>
        <v>0.35110000000000002</v>
      </c>
      <c r="G136" s="39" t="str">
        <f xml:space="preserve"> InputsTS!G$144</f>
        <v>% Co</v>
      </c>
      <c r="H136" s="323">
        <f xml:space="preserve"> InputsTS!H$144</f>
        <v>0</v>
      </c>
      <c r="I136" s="98" t="str">
        <f xml:space="preserve"> InputsTS!I$144</f>
        <v>XXVI</v>
      </c>
    </row>
    <row r="137" spans="1:48" s="279" customFormat="1" ht="15" customHeight="1">
      <c r="B137" s="572"/>
      <c r="C137" s="573"/>
      <c r="D137" s="848"/>
      <c r="E137" s="279" t="s">
        <v>644</v>
      </c>
      <c r="F137" s="279">
        <f xml:space="preserve"> F135 / F136</f>
        <v>1481.0595272002276</v>
      </c>
      <c r="G137" s="279" t="s">
        <v>14</v>
      </c>
    </row>
    <row r="138" spans="1:48" s="98" customFormat="1" ht="15" customHeight="1">
      <c r="A138" s="365"/>
      <c r="B138" s="95"/>
      <c r="C138" s="366"/>
      <c r="D138" s="317"/>
      <c r="E138" s="98" t="s">
        <v>650</v>
      </c>
      <c r="F138" s="317" t="str">
        <f xml:space="preserve"> F128</f>
        <v>SOM_Contract</v>
      </c>
      <c r="G138" s="98" t="s">
        <v>14</v>
      </c>
      <c r="K138" s="98" t="e">
        <f>#REF! - $F$137</f>
        <v>#REF!</v>
      </c>
      <c r="L138" s="98">
        <f t="shared" ref="L138:AV138" si="75" xml:space="preserve"> L132 - $F$137</f>
        <v>20065.452842386941</v>
      </c>
      <c r="M138" s="98">
        <f t="shared" si="75"/>
        <v>18435.10296179149</v>
      </c>
      <c r="N138" s="98">
        <f t="shared" si="75"/>
        <v>16343.298452597719</v>
      </c>
      <c r="O138" s="98">
        <f t="shared" si="75"/>
        <v>37601.460159319802</v>
      </c>
      <c r="P138" s="98">
        <f t="shared" si="75"/>
        <v>49556.806301409088</v>
      </c>
      <c r="Q138" s="98">
        <f t="shared" si="75"/>
        <v>21743.283086573399</v>
      </c>
      <c r="R138" s="98">
        <f t="shared" si="75"/>
        <v>20530.389304379318</v>
      </c>
      <c r="S138" s="98">
        <f t="shared" si="75"/>
        <v>34383.803338686936</v>
      </c>
      <c r="T138" s="98">
        <f t="shared" si="75"/>
        <v>43154.243985645619</v>
      </c>
      <c r="U138" s="98">
        <f t="shared" si="75"/>
        <v>22511.469525967339</v>
      </c>
      <c r="V138" s="98">
        <f t="shared" si="75"/>
        <v>16947.719765180082</v>
      </c>
      <c r="W138" s="98">
        <f t="shared" si="75"/>
        <v>26518.940472799772</v>
      </c>
      <c r="X138" s="98">
        <f t="shared" si="75"/>
        <v>26518.940472799772</v>
      </c>
      <c r="Y138" s="98">
        <f t="shared" si="75"/>
        <v>26518.940472799772</v>
      </c>
      <c r="Z138" s="98">
        <f t="shared" si="75"/>
        <v>26518.940472799772</v>
      </c>
      <c r="AA138" s="98">
        <f t="shared" si="75"/>
        <v>26518.940472799772</v>
      </c>
      <c r="AB138" s="98">
        <f t="shared" si="75"/>
        <v>27127.913905113543</v>
      </c>
      <c r="AC138" s="98">
        <f t="shared" si="75"/>
        <v>27700.093373759817</v>
      </c>
      <c r="AD138" s="98">
        <f t="shared" si="75"/>
        <v>28283.716431779016</v>
      </c>
      <c r="AE138" s="98">
        <f t="shared" si="75"/>
        <v>28879.011950958604</v>
      </c>
      <c r="AF138" s="98">
        <f t="shared" si="75"/>
        <v>29486.213380521775</v>
      </c>
      <c r="AG138" s="98">
        <f t="shared" si="75"/>
        <v>30105.558838676214</v>
      </c>
      <c r="AH138" s="98">
        <f t="shared" si="75"/>
        <v>30737.291205993748</v>
      </c>
      <c r="AI138" s="98">
        <f t="shared" si="75"/>
        <v>31381.658220657631</v>
      </c>
      <c r="AJ138" s="98">
        <f t="shared" si="75"/>
        <v>32038.912575614795</v>
      </c>
      <c r="AK138" s="98">
        <f t="shared" si="75"/>
        <v>32709.312017671098</v>
      </c>
      <c r="AL138" s="98">
        <f t="shared" si="75"/>
        <v>33393.119448568519</v>
      </c>
      <c r="AM138" s="98">
        <f t="shared" si="75"/>
        <v>34090.603028083897</v>
      </c>
      <c r="AN138" s="98">
        <f t="shared" si="75"/>
        <v>34802.03627918959</v>
      </c>
      <c r="AO138" s="98">
        <f t="shared" si="75"/>
        <v>35527.698195317382</v>
      </c>
      <c r="AP138" s="98">
        <f t="shared" si="75"/>
        <v>36267.873349767739</v>
      </c>
      <c r="AQ138" s="98">
        <f t="shared" si="75"/>
        <v>37022.852007307098</v>
      </c>
      <c r="AR138" s="98">
        <f t="shared" si="75"/>
        <v>37792.930237997243</v>
      </c>
      <c r="AS138" s="98">
        <f t="shared" si="75"/>
        <v>38578.410033301196</v>
      </c>
      <c r="AT138" s="98">
        <f t="shared" si="75"/>
        <v>39379.599424511231</v>
      </c>
      <c r="AU138" s="98">
        <f t="shared" si="75"/>
        <v>40196.812603545455</v>
      </c>
      <c r="AV138" s="98">
        <f t="shared" si="75"/>
        <v>41030.370046160366</v>
      </c>
    </row>
    <row r="139" spans="1:48" s="266" customFormat="1" ht="15" customHeight="1">
      <c r="A139" s="265"/>
      <c r="B139" s="255"/>
      <c r="C139" s="313"/>
      <c r="D139" s="319"/>
    </row>
    <row r="140" spans="1:48" s="266" customFormat="1" ht="15" customHeight="1">
      <c r="A140" s="265"/>
      <c r="B140" s="255"/>
      <c r="C140" s="313" t="s">
        <v>525</v>
      </c>
      <c r="D140" s="319"/>
    </row>
    <row r="141" spans="1:48" s="266" customFormat="1" ht="15" customHeight="1">
      <c r="A141" s="265"/>
      <c r="B141" s="255"/>
      <c r="C141" s="313"/>
      <c r="D141" s="319"/>
      <c r="E141" s="267" t="str">
        <f xml:space="preserve"> InputsTS!E$156</f>
        <v>Third Party Marketing Charge: Cu &amp; Co</v>
      </c>
      <c r="F141" s="268">
        <f xml:space="preserve"> InputsTS!F$156</f>
        <v>8.0000000000000002E-3</v>
      </c>
      <c r="G141" s="268" t="str">
        <f xml:space="preserve"> InputsTS!G$156</f>
        <v>%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</row>
    <row r="142" spans="1:48" s="266" customFormat="1" ht="15" customHeight="1">
      <c r="A142" s="265"/>
      <c r="B142" s="255"/>
      <c r="C142" s="313"/>
      <c r="D142" s="319"/>
      <c r="E142" s="267" t="str">
        <f xml:space="preserve"> InputsTS!E$158</f>
        <v>Som contract: placeholder assumption of third party sales: Co</v>
      </c>
      <c r="F142" s="268">
        <f xml:space="preserve"> InputsTS!F$158</f>
        <v>0.9</v>
      </c>
      <c r="G142" s="268" t="str">
        <f xml:space="preserve"> InputsTS!G$158</f>
        <v>%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</row>
    <row r="143" spans="1:48" s="263" customFormat="1" ht="15" customHeight="1">
      <c r="B143" s="302"/>
      <c r="C143" s="264"/>
      <c r="D143" s="851"/>
      <c r="E143" s="263" t="s">
        <v>526</v>
      </c>
      <c r="F143" s="206">
        <f xml:space="preserve"> F142 * F141</f>
        <v>7.2000000000000007E-3</v>
      </c>
      <c r="G143" s="206" t="s">
        <v>26</v>
      </c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  <c r="AP143" s="62"/>
      <c r="AQ143" s="62"/>
      <c r="AR143" s="62"/>
      <c r="AS143" s="62"/>
      <c r="AT143" s="62"/>
      <c r="AU143" s="62"/>
      <c r="AV143" s="62"/>
    </row>
    <row r="144" spans="1:48" s="266" customFormat="1" ht="15" customHeight="1">
      <c r="A144" s="265"/>
      <c r="B144" s="255"/>
      <c r="C144" s="313"/>
      <c r="D144" s="319"/>
    </row>
    <row r="145" spans="1:48" s="98" customFormat="1" ht="15" customHeight="1">
      <c r="A145" s="365"/>
      <c r="B145" s="357"/>
      <c r="C145" s="366"/>
      <c r="D145" s="317"/>
      <c r="E145" s="98" t="str">
        <f>"Cobalt realized Price: " &amp; F145</f>
        <v>Cobalt realized Price: SOM_Contract</v>
      </c>
      <c r="F145" s="317" t="str">
        <f xml:space="preserve"> F$128</f>
        <v>SOM_Contract</v>
      </c>
      <c r="G145" s="98" t="s">
        <v>14</v>
      </c>
      <c r="K145" s="98" t="e">
        <f>#REF! * ( 1 - $F$143 ) - $F$144</f>
        <v>#REF!</v>
      </c>
      <c r="L145" s="98">
        <f t="shared" ref="L145:AV145" si="76" xml:space="preserve"> L138 * ( 1 - $F143 )</f>
        <v>19920.981581921755</v>
      </c>
      <c r="M145" s="98">
        <f t="shared" si="76"/>
        <v>18302.370220466593</v>
      </c>
      <c r="N145" s="98">
        <f t="shared" si="76"/>
        <v>16225.626703739015</v>
      </c>
      <c r="O145" s="98">
        <f t="shared" si="76"/>
        <v>37330.729646172702</v>
      </c>
      <c r="P145" s="98">
        <f t="shared" si="76"/>
        <v>49199.997296038942</v>
      </c>
      <c r="Q145" s="98">
        <f t="shared" si="76"/>
        <v>21586.73144835007</v>
      </c>
      <c r="R145" s="98">
        <f t="shared" si="76"/>
        <v>20382.570501387789</v>
      </c>
      <c r="S145" s="98">
        <f t="shared" si="76"/>
        <v>34136.239954648387</v>
      </c>
      <c r="T145" s="98">
        <f t="shared" si="76"/>
        <v>42843.533428948969</v>
      </c>
      <c r="U145" s="98">
        <f t="shared" si="76"/>
        <v>22349.386945380375</v>
      </c>
      <c r="V145" s="98">
        <f t="shared" si="76"/>
        <v>16825.696182870786</v>
      </c>
      <c r="W145" s="98">
        <f t="shared" si="76"/>
        <v>26328.004101395614</v>
      </c>
      <c r="X145" s="98">
        <f t="shared" si="76"/>
        <v>26328.004101395614</v>
      </c>
      <c r="Y145" s="98">
        <f t="shared" si="76"/>
        <v>26328.004101395614</v>
      </c>
      <c r="Z145" s="98">
        <f t="shared" si="76"/>
        <v>26328.004101395614</v>
      </c>
      <c r="AA145" s="98">
        <f t="shared" si="76"/>
        <v>26328.004101395614</v>
      </c>
      <c r="AB145" s="98">
        <f t="shared" si="76"/>
        <v>26932.592924996727</v>
      </c>
      <c r="AC145" s="98">
        <f t="shared" si="76"/>
        <v>27500.652701468745</v>
      </c>
      <c r="AD145" s="98">
        <f t="shared" si="76"/>
        <v>28080.073673470208</v>
      </c>
      <c r="AE145" s="98">
        <f t="shared" si="76"/>
        <v>28671.083064911702</v>
      </c>
      <c r="AF145" s="98">
        <f t="shared" si="76"/>
        <v>29273.912644182019</v>
      </c>
      <c r="AG145" s="98">
        <f t="shared" si="76"/>
        <v>29888.798815037746</v>
      </c>
      <c r="AH145" s="98">
        <f t="shared" si="76"/>
        <v>30515.982709310592</v>
      </c>
      <c r="AI145" s="98">
        <f t="shared" si="76"/>
        <v>31155.710281468895</v>
      </c>
      <c r="AJ145" s="98">
        <f t="shared" si="76"/>
        <v>31808.232405070368</v>
      </c>
      <c r="AK145" s="98">
        <f t="shared" si="76"/>
        <v>32473.804971143865</v>
      </c>
      <c r="AL145" s="98">
        <f t="shared" si="76"/>
        <v>33152.688988538823</v>
      </c>
      <c r="AM145" s="98">
        <f t="shared" si="76"/>
        <v>33845.150686281697</v>
      </c>
      <c r="AN145" s="98">
        <f t="shared" si="76"/>
        <v>34551.461617979425</v>
      </c>
      <c r="AO145" s="98">
        <f t="shared" si="76"/>
        <v>35271.898768311097</v>
      </c>
      <c r="AP145" s="98">
        <f t="shared" si="76"/>
        <v>36006.744661649413</v>
      </c>
      <c r="AQ145" s="98">
        <f t="shared" si="76"/>
        <v>36756.287472854485</v>
      </c>
      <c r="AR145" s="98">
        <f t="shared" si="76"/>
        <v>37520.82114028366</v>
      </c>
      <c r="AS145" s="98">
        <f t="shared" si="76"/>
        <v>38300.64548106143</v>
      </c>
      <c r="AT145" s="98">
        <f t="shared" si="76"/>
        <v>39096.06630865475</v>
      </c>
      <c r="AU145" s="98">
        <f t="shared" si="76"/>
        <v>39907.395552799928</v>
      </c>
      <c r="AV145" s="98">
        <f t="shared" si="76"/>
        <v>40734.95138182801</v>
      </c>
    </row>
    <row r="146" spans="1:48" s="98" customFormat="1" ht="15" customHeight="1">
      <c r="A146" s="365"/>
      <c r="B146" s="357"/>
      <c r="C146" s="366"/>
      <c r="D146" s="317"/>
    </row>
    <row r="147" spans="1:48" s="266" customFormat="1" ht="15" customHeight="1">
      <c r="A147" s="265"/>
      <c r="B147" s="255"/>
      <c r="C147" s="313"/>
      <c r="D147" s="319"/>
      <c r="E147" s="98" t="str">
        <f t="shared" ref="E147:AV147" si="77" xml:space="preserve"> E$103</f>
        <v>Cobalt LME actual &amp; forecast price: IMF_WEO</v>
      </c>
      <c r="F147" s="98">
        <f t="shared" si="77"/>
        <v>0</v>
      </c>
      <c r="G147" s="98" t="str">
        <f t="shared" si="77"/>
        <v>$ / tonne</v>
      </c>
      <c r="H147" s="98">
        <f t="shared" si="77"/>
        <v>0</v>
      </c>
      <c r="I147" s="98">
        <f t="shared" si="77"/>
        <v>0</v>
      </c>
      <c r="J147" s="98">
        <f t="shared" si="77"/>
        <v>0</v>
      </c>
      <c r="K147" s="98" t="e">
        <f t="shared" si="77"/>
        <v>#REF!</v>
      </c>
      <c r="L147" s="98">
        <f t="shared" si="77"/>
        <v>30780.7319565531</v>
      </c>
      <c r="M147" s="98">
        <f t="shared" si="77"/>
        <v>28451.660698559601</v>
      </c>
      <c r="N147" s="98">
        <f t="shared" si="77"/>
        <v>25463.3685425685</v>
      </c>
      <c r="O147" s="98">
        <f t="shared" si="77"/>
        <v>55832.1709807429</v>
      </c>
      <c r="P147" s="98">
        <f t="shared" si="77"/>
        <v>72911.236898013303</v>
      </c>
      <c r="Q147" s="98">
        <f t="shared" si="77"/>
        <v>33177.6323053909</v>
      </c>
      <c r="R147" s="98">
        <f t="shared" si="77"/>
        <v>31444.926902256499</v>
      </c>
      <c r="S147" s="98">
        <f t="shared" si="77"/>
        <v>51235.518379838803</v>
      </c>
      <c r="T147" s="98">
        <f t="shared" si="77"/>
        <v>63764.719304065497</v>
      </c>
      <c r="U147" s="98">
        <f t="shared" si="77"/>
        <v>34275.041504525099</v>
      </c>
      <c r="V147" s="98">
        <f t="shared" si="77"/>
        <v>26326.827560543301</v>
      </c>
      <c r="W147" s="98">
        <f t="shared" si="77"/>
        <v>40000</v>
      </c>
      <c r="X147" s="98">
        <f t="shared" si="77"/>
        <v>40000</v>
      </c>
      <c r="Y147" s="98">
        <f t="shared" si="77"/>
        <v>40000</v>
      </c>
      <c r="Z147" s="98">
        <f t="shared" si="77"/>
        <v>40000</v>
      </c>
      <c r="AA147" s="98">
        <f t="shared" si="77"/>
        <v>40000</v>
      </c>
      <c r="AB147" s="98">
        <f t="shared" si="77"/>
        <v>40869.962046162531</v>
      </c>
      <c r="AC147" s="98">
        <f t="shared" si="77"/>
        <v>41687.361287085783</v>
      </c>
      <c r="AD147" s="98">
        <f t="shared" si="77"/>
        <v>42521.108512827494</v>
      </c>
      <c r="AE147" s="98">
        <f t="shared" si="77"/>
        <v>43371.530683084049</v>
      </c>
      <c r="AF147" s="98">
        <f t="shared" si="77"/>
        <v>44238.961296745721</v>
      </c>
      <c r="AG147" s="98">
        <f t="shared" si="77"/>
        <v>45123.740522680637</v>
      </c>
      <c r="AH147" s="98">
        <f t="shared" si="77"/>
        <v>46026.215333134256</v>
      </c>
      <c r="AI147" s="98">
        <f t="shared" si="77"/>
        <v>46946.739639796942</v>
      </c>
      <c r="AJ147" s="98">
        <f t="shared" si="77"/>
        <v>47885.674432592888</v>
      </c>
      <c r="AK147" s="98">
        <f t="shared" si="77"/>
        <v>48843.38792124475</v>
      </c>
      <c r="AL147" s="98">
        <f t="shared" si="77"/>
        <v>49820.255679669637</v>
      </c>
      <c r="AM147" s="98">
        <f t="shared" si="77"/>
        <v>50816.660793263036</v>
      </c>
      <c r="AN147" s="98">
        <f t="shared" si="77"/>
        <v>51832.994009128306</v>
      </c>
      <c r="AO147" s="98">
        <f t="shared" si="77"/>
        <v>52869.653889310874</v>
      </c>
      <c r="AP147" s="98">
        <f t="shared" si="77"/>
        <v>53927.046967097092</v>
      </c>
      <c r="AQ147" s="98">
        <f t="shared" si="77"/>
        <v>55005.587906439039</v>
      </c>
      <c r="AR147" s="98">
        <f t="shared" si="77"/>
        <v>56105.699664567815</v>
      </c>
      <c r="AS147" s="98">
        <f t="shared" si="77"/>
        <v>57227.813657859173</v>
      </c>
      <c r="AT147" s="98">
        <f t="shared" si="77"/>
        <v>58372.369931016365</v>
      </c>
      <c r="AU147" s="98">
        <f t="shared" si="77"/>
        <v>59539.817329636688</v>
      </c>
      <c r="AV147" s="98">
        <f t="shared" si="77"/>
        <v>60730.613676229419</v>
      </c>
    </row>
    <row r="148" spans="1:48" s="266" customFormat="1" ht="15" customHeight="1">
      <c r="A148" s="265"/>
      <c r="B148" s="255"/>
      <c r="C148" s="313"/>
      <c r="D148" s="319"/>
      <c r="E148" s="266" t="str">
        <f xml:space="preserve"> E$145</f>
        <v>Cobalt realized Price: SOM_Contract</v>
      </c>
      <c r="F148" s="319"/>
      <c r="G148" s="258" t="s">
        <v>621</v>
      </c>
      <c r="L148" s="81">
        <f xml:space="preserve"> L145 / L147</f>
        <v>0.64718998918024928</v>
      </c>
      <c r="M148" s="81">
        <f t="shared" ref="M148:AV148" si="78" xml:space="preserve"> M145 / M147</f>
        <v>0.64327950534687672</v>
      </c>
      <c r="N148" s="81">
        <f t="shared" si="78"/>
        <v>0.637214462674636</v>
      </c>
      <c r="O148" s="81">
        <f t="shared" si="78"/>
        <v>0.66862400280025758</v>
      </c>
      <c r="P148" s="81">
        <f t="shared" si="78"/>
        <v>0.67479306879485335</v>
      </c>
      <c r="Q148" s="81">
        <f t="shared" si="78"/>
        <v>0.65064110813123122</v>
      </c>
      <c r="R148" s="81">
        <f t="shared" si="78"/>
        <v>0.64819901043958628</v>
      </c>
      <c r="S148" s="81">
        <f t="shared" si="78"/>
        <v>0.66626123896271561</v>
      </c>
      <c r="T148" s="81">
        <f t="shared" si="78"/>
        <v>0.67190029057678857</v>
      </c>
      <c r="U148" s="81">
        <f t="shared" si="78"/>
        <v>0.6520600986706242</v>
      </c>
      <c r="V148" s="81">
        <f t="shared" si="78"/>
        <v>0.63910838266316194</v>
      </c>
      <c r="W148" s="81">
        <f t="shared" si="78"/>
        <v>0.65820010253489036</v>
      </c>
      <c r="X148" s="81">
        <f t="shared" si="78"/>
        <v>0.65820010253489036</v>
      </c>
      <c r="Y148" s="81">
        <f t="shared" si="78"/>
        <v>0.65820010253489036</v>
      </c>
      <c r="Z148" s="81">
        <f t="shared" si="78"/>
        <v>0.65820010253489036</v>
      </c>
      <c r="AA148" s="81">
        <f t="shared" si="78"/>
        <v>0.65820010253489036</v>
      </c>
      <c r="AB148" s="81">
        <f t="shared" si="78"/>
        <v>0.65898257734069887</v>
      </c>
      <c r="AC148" s="81">
        <f t="shared" si="78"/>
        <v>0.65968801700068502</v>
      </c>
      <c r="AD148" s="81">
        <f t="shared" si="78"/>
        <v>0.6603796245104756</v>
      </c>
      <c r="AE148" s="81">
        <f t="shared" si="78"/>
        <v>0.6610576710887015</v>
      </c>
      <c r="AF148" s="81">
        <f t="shared" si="78"/>
        <v>0.66172242263598191</v>
      </c>
      <c r="AG148" s="81">
        <f t="shared" si="78"/>
        <v>0.66237413983919791</v>
      </c>
      <c r="AH148" s="81">
        <f t="shared" si="78"/>
        <v>0.66301307827372347</v>
      </c>
      <c r="AI148" s="81">
        <f t="shared" si="78"/>
        <v>0.66363948850365051</v>
      </c>
      <c r="AJ148" s="81">
        <f t="shared" si="78"/>
        <v>0.66425361618004952</v>
      </c>
      <c r="AK148" s="81">
        <f t="shared" si="78"/>
        <v>0.66485570213730349</v>
      </c>
      <c r="AL148" s="81">
        <f t="shared" si="78"/>
        <v>0.66544598248755238</v>
      </c>
      <c r="AM148" s="81">
        <f t="shared" si="78"/>
        <v>0.66602468871328679</v>
      </c>
      <c r="AN148" s="81">
        <f t="shared" si="78"/>
        <v>0.66659204775812431</v>
      </c>
      <c r="AO148" s="81">
        <f t="shared" si="78"/>
        <v>0.66714828211580801</v>
      </c>
      <c r="AP148" s="81">
        <f t="shared" si="78"/>
        <v>0.66769360991745896</v>
      </c>
      <c r="AQ148" s="81">
        <f t="shared" si="78"/>
        <v>0.66822824501711642</v>
      </c>
      <c r="AR148" s="81">
        <f t="shared" si="78"/>
        <v>0.66875239707560441</v>
      </c>
      <c r="AS148" s="81">
        <f t="shared" si="78"/>
        <v>0.66926627164274954</v>
      </c>
      <c r="AT148" s="81">
        <f t="shared" si="78"/>
        <v>0.66977007023798973</v>
      </c>
      <c r="AU148" s="81">
        <f t="shared" si="78"/>
        <v>0.67026399042940166</v>
      </c>
      <c r="AV148" s="81">
        <f t="shared" si="78"/>
        <v>0.67074822591117811</v>
      </c>
    </row>
    <row r="149" spans="1:48" s="266" customFormat="1" ht="15" customHeight="1">
      <c r="A149" s="265"/>
      <c r="B149" s="262"/>
      <c r="C149" s="313"/>
      <c r="D149" s="319"/>
    </row>
    <row r="150" spans="1:48" s="266" customFormat="1" ht="15" customHeight="1">
      <c r="A150" s="265"/>
      <c r="B150" s="262" t="s">
        <v>689</v>
      </c>
      <c r="C150" s="313"/>
      <c r="D150" s="319"/>
    </row>
    <row r="151" spans="1:48" s="354" customFormat="1" ht="15" customHeight="1">
      <c r="A151" s="353"/>
      <c r="B151" s="358"/>
      <c r="C151" s="355"/>
      <c r="D151" s="849"/>
      <c r="F151" s="354" t="s">
        <v>610</v>
      </c>
    </row>
    <row r="152" spans="1:48" s="3" customFormat="1" ht="15" customHeight="1">
      <c r="C152" s="434"/>
      <c r="D152" s="850"/>
      <c r="E152" s="3" t="str">
        <f t="shared" ref="E152:AV152" si="79" xml:space="preserve"> E$118</f>
        <v>Cobalt realized price: %LME(actual)</v>
      </c>
      <c r="F152" s="3" t="str">
        <f t="shared" si="79"/>
        <v>%LME(actual)</v>
      </c>
      <c r="G152" s="3" t="str">
        <f t="shared" si="79"/>
        <v>$ / tonne</v>
      </c>
      <c r="H152" s="3">
        <f t="shared" si="79"/>
        <v>0</v>
      </c>
      <c r="I152" s="3">
        <f t="shared" si="79"/>
        <v>0</v>
      </c>
      <c r="J152" s="3">
        <f t="shared" si="79"/>
        <v>0</v>
      </c>
      <c r="K152" s="3" t="e">
        <f t="shared" si="79"/>
        <v>#REF!</v>
      </c>
      <c r="L152" s="3">
        <f t="shared" si="79"/>
        <v>20475.63876198027</v>
      </c>
      <c r="M152" s="3">
        <f t="shared" si="79"/>
        <v>18926.318174123589</v>
      </c>
      <c r="N152" s="3">
        <f t="shared" si="79"/>
        <v>16938.477508485794</v>
      </c>
      <c r="O152" s="3">
        <f t="shared" si="79"/>
        <v>37140.096795372876</v>
      </c>
      <c r="P152" s="3">
        <f t="shared" si="79"/>
        <v>37837.342671559352</v>
      </c>
      <c r="Q152" s="3">
        <f t="shared" si="79"/>
        <v>23569.529749616766</v>
      </c>
      <c r="R152" s="3">
        <f t="shared" si="79"/>
        <v>22218.616284913183</v>
      </c>
      <c r="S152" s="3">
        <f t="shared" si="79"/>
        <v>37140.38136559639</v>
      </c>
      <c r="T152" s="3">
        <f t="shared" si="79"/>
        <v>42416.904187723609</v>
      </c>
      <c r="U152" s="3">
        <f t="shared" si="79"/>
        <v>22800.087060604335</v>
      </c>
      <c r="V152" s="3">
        <f t="shared" si="79"/>
        <v>17512.858746813115</v>
      </c>
      <c r="W152" s="3">
        <f t="shared" si="79"/>
        <v>26608.384480111217</v>
      </c>
      <c r="X152" s="3">
        <f t="shared" si="79"/>
        <v>26608.384480111217</v>
      </c>
      <c r="Y152" s="3">
        <f t="shared" si="79"/>
        <v>26608.384480111217</v>
      </c>
      <c r="Z152" s="3">
        <f t="shared" si="79"/>
        <v>26608.384480111217</v>
      </c>
      <c r="AA152" s="3">
        <f t="shared" si="79"/>
        <v>26608.384480111217</v>
      </c>
      <c r="AB152" s="3">
        <f t="shared" si="79"/>
        <v>27187.091595296137</v>
      </c>
      <c r="AC152" s="3">
        <f t="shared" si="79"/>
        <v>27730.833427202062</v>
      </c>
      <c r="AD152" s="3">
        <f t="shared" si="79"/>
        <v>28285.450095746099</v>
      </c>
      <c r="AE152" s="3">
        <f t="shared" si="79"/>
        <v>28851.159097661024</v>
      </c>
      <c r="AF152" s="3">
        <f t="shared" si="79"/>
        <v>29428.182279614241</v>
      </c>
      <c r="AG152" s="3">
        <f t="shared" si="79"/>
        <v>30016.745925206524</v>
      </c>
      <c r="AH152" s="3">
        <f t="shared" si="79"/>
        <v>30617.080843710661</v>
      </c>
      <c r="AI152" s="3">
        <f t="shared" si="79"/>
        <v>31229.422460584876</v>
      </c>
      <c r="AJ152" s="3">
        <f t="shared" si="79"/>
        <v>31854.010909796576</v>
      </c>
      <c r="AK152" s="3">
        <f t="shared" si="79"/>
        <v>32491.091127992509</v>
      </c>
      <c r="AL152" s="3">
        <f t="shared" si="79"/>
        <v>33140.912950552352</v>
      </c>
      <c r="AM152" s="3">
        <f t="shared" si="79"/>
        <v>33803.731209563404</v>
      </c>
      <c r="AN152" s="3">
        <f t="shared" si="79"/>
        <v>34479.805833754683</v>
      </c>
      <c r="AO152" s="3">
        <f t="shared" si="79"/>
        <v>35169.401950429776</v>
      </c>
      <c r="AP152" s="3">
        <f t="shared" si="79"/>
        <v>35872.789989438374</v>
      </c>
      <c r="AQ152" s="3">
        <f t="shared" si="79"/>
        <v>36590.245789227141</v>
      </c>
      <c r="AR152" s="3">
        <f t="shared" si="79"/>
        <v>37322.050705011679</v>
      </c>
      <c r="AS152" s="3">
        <f t="shared" si="79"/>
        <v>38068.491719111917</v>
      </c>
      <c r="AT152" s="3">
        <f t="shared" si="79"/>
        <v>38829.861553494164</v>
      </c>
      <c r="AU152" s="3">
        <f t="shared" si="79"/>
        <v>39606.458784564042</v>
      </c>
      <c r="AV152" s="3">
        <f t="shared" si="79"/>
        <v>40398.587960255318</v>
      </c>
    </row>
    <row r="153" spans="1:48" s="98" customFormat="1" ht="15" customHeight="1">
      <c r="A153" s="365"/>
      <c r="B153" s="357"/>
      <c r="C153" s="366"/>
      <c r="D153" s="317"/>
      <c r="E153" s="98" t="str">
        <f t="shared" ref="E153:AV153" si="80">E$125</f>
        <v>Cobalt realized price: %LME(assumed)</v>
      </c>
      <c r="F153" s="98" t="str">
        <f t="shared" si="80"/>
        <v>%LME(assumed)</v>
      </c>
      <c r="G153" s="98" t="str">
        <f t="shared" si="80"/>
        <v>$ / tonne</v>
      </c>
      <c r="H153" s="98">
        <f t="shared" si="80"/>
        <v>0</v>
      </c>
      <c r="I153" s="98">
        <f t="shared" si="80"/>
        <v>0</v>
      </c>
      <c r="J153" s="98">
        <f t="shared" si="80"/>
        <v>0</v>
      </c>
      <c r="K153" s="98" t="e">
        <f t="shared" si="80"/>
        <v>#REF!</v>
      </c>
      <c r="L153" s="98">
        <f t="shared" si="80"/>
        <v>21546.51236958717</v>
      </c>
      <c r="M153" s="98">
        <f t="shared" si="80"/>
        <v>19916.162488991718</v>
      </c>
      <c r="N153" s="98">
        <f t="shared" si="80"/>
        <v>17824.357979797947</v>
      </c>
      <c r="O153" s="98">
        <f t="shared" si="80"/>
        <v>39082.519686520027</v>
      </c>
      <c r="P153" s="98">
        <f t="shared" si="80"/>
        <v>51037.865828609312</v>
      </c>
      <c r="Q153" s="98">
        <f t="shared" si="80"/>
        <v>23224.342613773628</v>
      </c>
      <c r="R153" s="98">
        <f t="shared" si="80"/>
        <v>22011.448831579546</v>
      </c>
      <c r="S153" s="98">
        <f t="shared" si="80"/>
        <v>35864.86286588716</v>
      </c>
      <c r="T153" s="98">
        <f t="shared" si="80"/>
        <v>44635.303512845843</v>
      </c>
      <c r="U153" s="98">
        <f t="shared" si="80"/>
        <v>23992.529053167567</v>
      </c>
      <c r="V153" s="98">
        <f t="shared" si="80"/>
        <v>18428.77929238031</v>
      </c>
      <c r="W153" s="98">
        <f t="shared" si="80"/>
        <v>28000</v>
      </c>
      <c r="X153" s="98">
        <f t="shared" si="80"/>
        <v>28000</v>
      </c>
      <c r="Y153" s="98">
        <f t="shared" si="80"/>
        <v>28000</v>
      </c>
      <c r="Z153" s="98">
        <f t="shared" si="80"/>
        <v>28000</v>
      </c>
      <c r="AA153" s="98">
        <f t="shared" si="80"/>
        <v>28000</v>
      </c>
      <c r="AB153" s="98">
        <f t="shared" si="80"/>
        <v>28608.973432313771</v>
      </c>
      <c r="AC153" s="98">
        <f t="shared" si="80"/>
        <v>29181.152900960045</v>
      </c>
      <c r="AD153" s="98">
        <f t="shared" si="80"/>
        <v>29764.775958979244</v>
      </c>
      <c r="AE153" s="98">
        <f t="shared" si="80"/>
        <v>30360.071478158832</v>
      </c>
      <c r="AF153" s="98">
        <f t="shared" si="80"/>
        <v>30967.272907722003</v>
      </c>
      <c r="AG153" s="98">
        <f t="shared" si="80"/>
        <v>31586.618365876442</v>
      </c>
      <c r="AH153" s="98">
        <f t="shared" si="80"/>
        <v>32218.350733193976</v>
      </c>
      <c r="AI153" s="98">
        <f t="shared" si="80"/>
        <v>32862.71774785786</v>
      </c>
      <c r="AJ153" s="98">
        <f t="shared" si="80"/>
        <v>33519.972102815023</v>
      </c>
      <c r="AK153" s="98">
        <f t="shared" si="80"/>
        <v>34190.371544871326</v>
      </c>
      <c r="AL153" s="98">
        <f t="shared" si="80"/>
        <v>34874.178975768744</v>
      </c>
      <c r="AM153" s="98">
        <f t="shared" si="80"/>
        <v>35571.662555284121</v>
      </c>
      <c r="AN153" s="98">
        <f t="shared" si="80"/>
        <v>36283.095806389814</v>
      </c>
      <c r="AO153" s="98">
        <f t="shared" si="80"/>
        <v>37008.757722517606</v>
      </c>
      <c r="AP153" s="98">
        <f t="shared" si="80"/>
        <v>37748.932876967963</v>
      </c>
      <c r="AQ153" s="98">
        <f t="shared" si="80"/>
        <v>38503.911534507322</v>
      </c>
      <c r="AR153" s="98">
        <f t="shared" si="80"/>
        <v>39273.989765197468</v>
      </c>
      <c r="AS153" s="98">
        <f t="shared" si="80"/>
        <v>40059.46956050142</v>
      </c>
      <c r="AT153" s="98">
        <f t="shared" si="80"/>
        <v>40860.658951711455</v>
      </c>
      <c r="AU153" s="98">
        <f t="shared" si="80"/>
        <v>41677.87213074568</v>
      </c>
      <c r="AV153" s="98">
        <f t="shared" si="80"/>
        <v>42511.42957336059</v>
      </c>
    </row>
    <row r="154" spans="1:48" s="98" customFormat="1" ht="15" customHeight="1">
      <c r="A154" s="365"/>
      <c r="B154" s="357"/>
      <c r="C154" s="366"/>
      <c r="D154" s="317"/>
      <c r="E154" s="98" t="str">
        <f t="shared" ref="E154:AV154" si="81" xml:space="preserve"> E$145</f>
        <v>Cobalt realized Price: SOM_Contract</v>
      </c>
      <c r="F154" s="98" t="str">
        <f t="shared" si="81"/>
        <v>SOM_Contract</v>
      </c>
      <c r="G154" s="98" t="str">
        <f t="shared" si="81"/>
        <v>$ / tonne</v>
      </c>
      <c r="H154" s="98">
        <f t="shared" si="81"/>
        <v>0</v>
      </c>
      <c r="I154" s="98">
        <f t="shared" si="81"/>
        <v>0</v>
      </c>
      <c r="J154" s="98">
        <f t="shared" si="81"/>
        <v>0</v>
      </c>
      <c r="K154" s="98" t="e">
        <f t="shared" si="81"/>
        <v>#REF!</v>
      </c>
      <c r="L154" s="98">
        <f t="shared" si="81"/>
        <v>19920.981581921755</v>
      </c>
      <c r="M154" s="98">
        <f t="shared" si="81"/>
        <v>18302.370220466593</v>
      </c>
      <c r="N154" s="98">
        <f t="shared" si="81"/>
        <v>16225.626703739015</v>
      </c>
      <c r="O154" s="98">
        <f t="shared" si="81"/>
        <v>37330.729646172702</v>
      </c>
      <c r="P154" s="98">
        <f t="shared" si="81"/>
        <v>49199.997296038942</v>
      </c>
      <c r="Q154" s="98">
        <f t="shared" si="81"/>
        <v>21586.73144835007</v>
      </c>
      <c r="R154" s="98">
        <f t="shared" si="81"/>
        <v>20382.570501387789</v>
      </c>
      <c r="S154" s="98">
        <f t="shared" si="81"/>
        <v>34136.239954648387</v>
      </c>
      <c r="T154" s="98">
        <f t="shared" si="81"/>
        <v>42843.533428948969</v>
      </c>
      <c r="U154" s="98">
        <f t="shared" si="81"/>
        <v>22349.386945380375</v>
      </c>
      <c r="V154" s="98">
        <f t="shared" si="81"/>
        <v>16825.696182870786</v>
      </c>
      <c r="W154" s="98">
        <f t="shared" si="81"/>
        <v>26328.004101395614</v>
      </c>
      <c r="X154" s="98">
        <f t="shared" si="81"/>
        <v>26328.004101395614</v>
      </c>
      <c r="Y154" s="98">
        <f t="shared" si="81"/>
        <v>26328.004101395614</v>
      </c>
      <c r="Z154" s="98">
        <f t="shared" si="81"/>
        <v>26328.004101395614</v>
      </c>
      <c r="AA154" s="98">
        <f t="shared" si="81"/>
        <v>26328.004101395614</v>
      </c>
      <c r="AB154" s="98">
        <f t="shared" si="81"/>
        <v>26932.592924996727</v>
      </c>
      <c r="AC154" s="98">
        <f t="shared" si="81"/>
        <v>27500.652701468745</v>
      </c>
      <c r="AD154" s="98">
        <f t="shared" si="81"/>
        <v>28080.073673470208</v>
      </c>
      <c r="AE154" s="98">
        <f t="shared" si="81"/>
        <v>28671.083064911702</v>
      </c>
      <c r="AF154" s="98">
        <f t="shared" si="81"/>
        <v>29273.912644182019</v>
      </c>
      <c r="AG154" s="98">
        <f t="shared" si="81"/>
        <v>29888.798815037746</v>
      </c>
      <c r="AH154" s="98">
        <f t="shared" si="81"/>
        <v>30515.982709310592</v>
      </c>
      <c r="AI154" s="98">
        <f t="shared" si="81"/>
        <v>31155.710281468895</v>
      </c>
      <c r="AJ154" s="98">
        <f t="shared" si="81"/>
        <v>31808.232405070368</v>
      </c>
      <c r="AK154" s="98">
        <f t="shared" si="81"/>
        <v>32473.804971143865</v>
      </c>
      <c r="AL154" s="98">
        <f t="shared" si="81"/>
        <v>33152.688988538823</v>
      </c>
      <c r="AM154" s="98">
        <f t="shared" si="81"/>
        <v>33845.150686281697</v>
      </c>
      <c r="AN154" s="98">
        <f t="shared" si="81"/>
        <v>34551.461617979425</v>
      </c>
      <c r="AO154" s="98">
        <f t="shared" si="81"/>
        <v>35271.898768311097</v>
      </c>
      <c r="AP154" s="98">
        <f t="shared" si="81"/>
        <v>36006.744661649413</v>
      </c>
      <c r="AQ154" s="98">
        <f t="shared" si="81"/>
        <v>36756.287472854485</v>
      </c>
      <c r="AR154" s="98">
        <f t="shared" si="81"/>
        <v>37520.82114028366</v>
      </c>
      <c r="AS154" s="98">
        <f t="shared" si="81"/>
        <v>38300.64548106143</v>
      </c>
      <c r="AT154" s="98">
        <f t="shared" si="81"/>
        <v>39096.06630865475</v>
      </c>
      <c r="AU154" s="98">
        <f t="shared" si="81"/>
        <v>39907.395552799928</v>
      </c>
      <c r="AV154" s="98">
        <f t="shared" si="81"/>
        <v>40734.95138182801</v>
      </c>
    </row>
    <row r="155" spans="1:48" s="354" customFormat="1" ht="15" customHeight="1">
      <c r="A155" s="353"/>
      <c r="B155" s="358"/>
      <c r="C155" s="355"/>
      <c r="D155" s="849"/>
      <c r="F155" s="354" t="s">
        <v>611</v>
      </c>
    </row>
    <row r="156" spans="1:48" s="266" customFormat="1" ht="15" customHeight="1">
      <c r="A156" s="265"/>
      <c r="B156" s="262"/>
      <c r="C156" s="313"/>
      <c r="D156" s="319"/>
    </row>
    <row r="157" spans="1:48" s="266" customFormat="1" ht="15" customHeight="1">
      <c r="A157" s="265"/>
      <c r="B157" s="262"/>
      <c r="C157" s="313"/>
      <c r="D157" s="319"/>
      <c r="E157" s="267" t="str">
        <f xml:space="preserve"> InputsCon!E$42</f>
        <v>Co realized price method</v>
      </c>
      <c r="F157" s="525" t="str">
        <f xml:space="preserve"> InputsCon!F$42</f>
        <v>SOM_Contract</v>
      </c>
      <c r="G157" s="267" t="str">
        <f xml:space="preserve"> InputsCon!G$42</f>
        <v>selected</v>
      </c>
    </row>
    <row r="158" spans="1:48" s="266" customFormat="1" ht="15" customHeight="1">
      <c r="A158" s="265"/>
      <c r="B158" s="262"/>
      <c r="C158" s="313"/>
      <c r="D158" s="319"/>
    </row>
    <row r="159" spans="1:48" s="279" customFormat="1" ht="15" customHeight="1">
      <c r="B159" s="572"/>
      <c r="C159" s="573"/>
      <c r="D159" s="848"/>
      <c r="E159" s="279" t="str">
        <f xml:space="preserve"> INDEX(E151:E155, MATCH($F157, $F151:$F155, 0))</f>
        <v>Cobalt realized Price: SOM_Contract</v>
      </c>
      <c r="G159" s="279" t="str">
        <f t="shared" ref="G159:AV159" si="82" xml:space="preserve"> INDEX(G151:G155, MATCH($F157, $F151:$F155, 0))</f>
        <v>$ / tonne</v>
      </c>
      <c r="H159" s="279">
        <f t="shared" si="82"/>
        <v>0</v>
      </c>
      <c r="I159" s="279">
        <f t="shared" si="82"/>
        <v>0</v>
      </c>
      <c r="J159" s="279">
        <f t="shared" si="82"/>
        <v>0</v>
      </c>
      <c r="K159" s="279" t="e">
        <f t="shared" si="82"/>
        <v>#REF!</v>
      </c>
      <c r="L159" s="279">
        <f t="shared" si="82"/>
        <v>19920.981581921755</v>
      </c>
      <c r="M159" s="279">
        <f t="shared" si="82"/>
        <v>18302.370220466593</v>
      </c>
      <c r="N159" s="279">
        <f t="shared" si="82"/>
        <v>16225.626703739015</v>
      </c>
      <c r="O159" s="279">
        <f t="shared" si="82"/>
        <v>37330.729646172702</v>
      </c>
      <c r="P159" s="279">
        <f t="shared" si="82"/>
        <v>49199.997296038942</v>
      </c>
      <c r="Q159" s="279">
        <f t="shared" si="82"/>
        <v>21586.73144835007</v>
      </c>
      <c r="R159" s="279">
        <f t="shared" si="82"/>
        <v>20382.570501387789</v>
      </c>
      <c r="S159" s="279">
        <f t="shared" si="82"/>
        <v>34136.239954648387</v>
      </c>
      <c r="T159" s="279">
        <f t="shared" si="82"/>
        <v>42843.533428948969</v>
      </c>
      <c r="U159" s="279">
        <f t="shared" si="82"/>
        <v>22349.386945380375</v>
      </c>
      <c r="V159" s="279">
        <f t="shared" si="82"/>
        <v>16825.696182870786</v>
      </c>
      <c r="W159" s="279">
        <f t="shared" si="82"/>
        <v>26328.004101395614</v>
      </c>
      <c r="X159" s="279">
        <f t="shared" si="82"/>
        <v>26328.004101395614</v>
      </c>
      <c r="Y159" s="279">
        <f t="shared" si="82"/>
        <v>26328.004101395614</v>
      </c>
      <c r="Z159" s="279">
        <f t="shared" si="82"/>
        <v>26328.004101395614</v>
      </c>
      <c r="AA159" s="279">
        <f t="shared" si="82"/>
        <v>26328.004101395614</v>
      </c>
      <c r="AB159" s="279">
        <f t="shared" si="82"/>
        <v>26932.592924996727</v>
      </c>
      <c r="AC159" s="279">
        <f t="shared" si="82"/>
        <v>27500.652701468745</v>
      </c>
      <c r="AD159" s="279">
        <f t="shared" si="82"/>
        <v>28080.073673470208</v>
      </c>
      <c r="AE159" s="279">
        <f t="shared" si="82"/>
        <v>28671.083064911702</v>
      </c>
      <c r="AF159" s="279">
        <f t="shared" si="82"/>
        <v>29273.912644182019</v>
      </c>
      <c r="AG159" s="279">
        <f t="shared" si="82"/>
        <v>29888.798815037746</v>
      </c>
      <c r="AH159" s="279">
        <f t="shared" si="82"/>
        <v>30515.982709310592</v>
      </c>
      <c r="AI159" s="279">
        <f t="shared" si="82"/>
        <v>31155.710281468895</v>
      </c>
      <c r="AJ159" s="279">
        <f t="shared" si="82"/>
        <v>31808.232405070368</v>
      </c>
      <c r="AK159" s="279">
        <f t="shared" si="82"/>
        <v>32473.804971143865</v>
      </c>
      <c r="AL159" s="279">
        <f t="shared" si="82"/>
        <v>33152.688988538823</v>
      </c>
      <c r="AM159" s="279">
        <f t="shared" si="82"/>
        <v>33845.150686281697</v>
      </c>
      <c r="AN159" s="279">
        <f t="shared" si="82"/>
        <v>34551.461617979425</v>
      </c>
      <c r="AO159" s="279">
        <f t="shared" si="82"/>
        <v>35271.898768311097</v>
      </c>
      <c r="AP159" s="279">
        <f t="shared" si="82"/>
        <v>36006.744661649413</v>
      </c>
      <c r="AQ159" s="279">
        <f t="shared" si="82"/>
        <v>36756.287472854485</v>
      </c>
      <c r="AR159" s="279">
        <f t="shared" si="82"/>
        <v>37520.82114028366</v>
      </c>
      <c r="AS159" s="279">
        <f t="shared" si="82"/>
        <v>38300.64548106143</v>
      </c>
      <c r="AT159" s="279">
        <f t="shared" si="82"/>
        <v>39096.06630865475</v>
      </c>
      <c r="AU159" s="279">
        <f t="shared" si="82"/>
        <v>39907.395552799928</v>
      </c>
      <c r="AV159" s="279">
        <f t="shared" si="82"/>
        <v>40734.95138182801</v>
      </c>
    </row>
    <row r="160" spans="1:48" s="266" customFormat="1" ht="15" customHeight="1">
      <c r="A160" s="265"/>
      <c r="B160" s="262"/>
      <c r="C160" s="313"/>
      <c r="D160" s="319"/>
    </row>
    <row r="161" spans="1:48" s="258" customFormat="1" ht="15" customHeight="1">
      <c r="A161" s="249" t="s">
        <v>648</v>
      </c>
      <c r="B161" s="250"/>
      <c r="C161" s="306"/>
      <c r="D161" s="840"/>
      <c r="E161" s="250"/>
      <c r="F161" s="250"/>
      <c r="G161" s="250"/>
      <c r="H161" s="250"/>
      <c r="I161" s="250"/>
      <c r="J161" s="250"/>
      <c r="K161" s="250"/>
      <c r="L161" s="250"/>
      <c r="M161" s="250"/>
      <c r="N161" s="250"/>
      <c r="O161" s="250"/>
      <c r="P161" s="250"/>
      <c r="Q161" s="250"/>
      <c r="R161" s="250"/>
      <c r="S161" s="250"/>
      <c r="T161" s="250"/>
      <c r="U161" s="250"/>
      <c r="V161" s="250"/>
      <c r="W161" s="250"/>
      <c r="X161" s="250"/>
      <c r="Y161" s="250"/>
      <c r="Z161" s="250"/>
      <c r="AA161" s="250"/>
      <c r="AB161" s="250"/>
      <c r="AC161" s="250"/>
      <c r="AD161" s="250"/>
      <c r="AE161" s="250"/>
      <c r="AF161" s="250"/>
      <c r="AG161" s="250"/>
      <c r="AH161" s="250"/>
      <c r="AI161" s="250"/>
      <c r="AJ161" s="250"/>
      <c r="AK161" s="250"/>
      <c r="AL161" s="250"/>
      <c r="AM161" s="250"/>
      <c r="AN161" s="250"/>
      <c r="AO161" s="250"/>
      <c r="AP161" s="250"/>
      <c r="AQ161" s="250"/>
      <c r="AR161" s="250"/>
      <c r="AS161" s="250"/>
      <c r="AT161" s="250"/>
      <c r="AU161" s="250"/>
      <c r="AV161" s="250"/>
    </row>
    <row r="162" spans="1:48" s="3" customFormat="1" ht="15" customHeight="1">
      <c r="B162" s="241"/>
      <c r="C162" s="434"/>
      <c r="D162" s="850"/>
    </row>
    <row r="163" spans="1:48" s="3" customFormat="1" ht="15" customHeight="1">
      <c r="B163" s="241" t="s">
        <v>11</v>
      </c>
      <c r="C163" s="434"/>
      <c r="D163" s="850"/>
    </row>
    <row r="164" spans="1:48" s="3" customFormat="1" ht="15" customHeight="1">
      <c r="B164" s="241"/>
      <c r="C164" s="434"/>
      <c r="D164" s="850"/>
      <c r="E164" s="591" t="str">
        <f xml:space="preserve"> 'T&amp;E'!E$9</f>
        <v>Model calendar year</v>
      </c>
      <c r="F164" s="591">
        <f xml:space="preserve"> 'T&amp;E'!F$9</f>
        <v>0</v>
      </c>
      <c r="G164" s="591" t="str">
        <f xml:space="preserve"> 'T&amp;E'!G$9</f>
        <v>year</v>
      </c>
      <c r="H164" s="591">
        <f xml:space="preserve"> 'T&amp;E'!H$9</f>
        <v>0</v>
      </c>
      <c r="I164" s="591">
        <f xml:space="preserve"> 'T&amp;E'!I$9</f>
        <v>0</v>
      </c>
      <c r="J164" s="591">
        <f xml:space="preserve"> 'T&amp;E'!J$9</f>
        <v>0</v>
      </c>
      <c r="K164" s="591">
        <f xml:space="preserve"> 'T&amp;E'!K$9</f>
        <v>0</v>
      </c>
      <c r="L164" s="591">
        <f xml:space="preserve"> 'T&amp;E'!L$9</f>
        <v>2014</v>
      </c>
      <c r="M164" s="591">
        <f xml:space="preserve"> 'T&amp;E'!M$9</f>
        <v>2015</v>
      </c>
      <c r="N164" s="591">
        <f xml:space="preserve"> 'T&amp;E'!N$9</f>
        <v>2016</v>
      </c>
      <c r="O164" s="591">
        <f xml:space="preserve"> 'T&amp;E'!O$9</f>
        <v>2017</v>
      </c>
      <c r="P164" s="591">
        <f xml:space="preserve"> 'T&amp;E'!P$9</f>
        <v>2018</v>
      </c>
      <c r="Q164" s="591">
        <f xml:space="preserve"> 'T&amp;E'!Q$9</f>
        <v>2019</v>
      </c>
      <c r="R164" s="591">
        <f xml:space="preserve"> 'T&amp;E'!R$9</f>
        <v>2020</v>
      </c>
      <c r="S164" s="591">
        <f xml:space="preserve"> 'T&amp;E'!S$9</f>
        <v>2021</v>
      </c>
      <c r="T164" s="591">
        <f xml:space="preserve"> 'T&amp;E'!T$9</f>
        <v>2022</v>
      </c>
      <c r="U164" s="591">
        <f xml:space="preserve"> 'T&amp;E'!U$9</f>
        <v>2023</v>
      </c>
      <c r="V164" s="591">
        <f xml:space="preserve"> 'T&amp;E'!V$9</f>
        <v>2024</v>
      </c>
      <c r="W164" s="591">
        <f xml:space="preserve"> 'T&amp;E'!W$9</f>
        <v>2025</v>
      </c>
      <c r="X164" s="591">
        <f xml:space="preserve"> 'T&amp;E'!X$9</f>
        <v>2026</v>
      </c>
      <c r="Y164" s="591">
        <f xml:space="preserve"> 'T&amp;E'!Y$9</f>
        <v>2027</v>
      </c>
      <c r="Z164" s="591">
        <f xml:space="preserve"> 'T&amp;E'!Z$9</f>
        <v>2028</v>
      </c>
      <c r="AA164" s="591">
        <f xml:space="preserve"> 'T&amp;E'!AA$9</f>
        <v>2029</v>
      </c>
      <c r="AB164" s="591">
        <f xml:space="preserve"> 'T&amp;E'!AB$9</f>
        <v>2030</v>
      </c>
      <c r="AC164" s="591">
        <f xml:space="preserve"> 'T&amp;E'!AC$9</f>
        <v>2031</v>
      </c>
      <c r="AD164" s="591">
        <f xml:space="preserve"> 'T&amp;E'!AD$9</f>
        <v>2032</v>
      </c>
      <c r="AE164" s="591">
        <f xml:space="preserve"> 'T&amp;E'!AE$9</f>
        <v>2033</v>
      </c>
      <c r="AF164" s="591">
        <f xml:space="preserve"> 'T&amp;E'!AF$9</f>
        <v>2034</v>
      </c>
      <c r="AG164" s="591">
        <f xml:space="preserve"> 'T&amp;E'!AG$9</f>
        <v>2035</v>
      </c>
      <c r="AH164" s="591">
        <f xml:space="preserve"> 'T&amp;E'!AH$9</f>
        <v>2036</v>
      </c>
      <c r="AI164" s="591">
        <f xml:space="preserve"> 'T&amp;E'!AI$9</f>
        <v>2037</v>
      </c>
      <c r="AJ164" s="591">
        <f xml:space="preserve"> 'T&amp;E'!AJ$9</f>
        <v>2038</v>
      </c>
      <c r="AK164" s="591">
        <f xml:space="preserve"> 'T&amp;E'!AK$9</f>
        <v>2039</v>
      </c>
      <c r="AL164" s="591">
        <f xml:space="preserve"> 'T&amp;E'!AL$9</f>
        <v>2040</v>
      </c>
      <c r="AM164" s="591">
        <f xml:space="preserve"> 'T&amp;E'!AM$9</f>
        <v>2041</v>
      </c>
      <c r="AN164" s="591">
        <f xml:space="preserve"> 'T&amp;E'!AN$9</f>
        <v>2042</v>
      </c>
      <c r="AO164" s="591">
        <f xml:space="preserve"> 'T&amp;E'!AO$9</f>
        <v>2043</v>
      </c>
      <c r="AP164" s="591">
        <f xml:space="preserve"> 'T&amp;E'!AP$9</f>
        <v>2044</v>
      </c>
      <c r="AQ164" s="591">
        <f xml:space="preserve"> 'T&amp;E'!AQ$9</f>
        <v>2045</v>
      </c>
      <c r="AR164" s="591">
        <f xml:space="preserve"> 'T&amp;E'!AR$9</f>
        <v>2046</v>
      </c>
      <c r="AS164" s="591">
        <f xml:space="preserve"> 'T&amp;E'!AS$9</f>
        <v>2047</v>
      </c>
      <c r="AT164" s="591">
        <f xml:space="preserve"> 'T&amp;E'!AT$9</f>
        <v>2048</v>
      </c>
      <c r="AU164" s="591">
        <f xml:space="preserve"> 'T&amp;E'!AU$9</f>
        <v>2049</v>
      </c>
      <c r="AV164" s="591">
        <f xml:space="preserve"> 'T&amp;E'!AV$9</f>
        <v>2050</v>
      </c>
    </row>
    <row r="165" spans="1:48" s="320" customFormat="1" ht="15" customHeight="1">
      <c r="A165" s="351"/>
      <c r="B165" s="134"/>
      <c r="C165" s="322"/>
      <c r="D165" s="724"/>
      <c r="E165" s="308" t="str">
        <f t="shared" ref="E165:AV165" si="83" xml:space="preserve"> E$16</f>
        <v>Copper production 2022Fs + actuals</v>
      </c>
      <c r="F165" s="308">
        <f t="shared" si="83"/>
        <v>0</v>
      </c>
      <c r="G165" s="308" t="str">
        <f t="shared" si="83"/>
        <v>KT Cu</v>
      </c>
      <c r="H165" s="308">
        <f t="shared" si="83"/>
        <v>0</v>
      </c>
      <c r="I165" s="308">
        <f t="shared" si="83"/>
        <v>0</v>
      </c>
      <c r="J165" s="308">
        <f t="shared" si="83"/>
        <v>1421.0743320093752</v>
      </c>
      <c r="K165" s="308">
        <f t="shared" si="83"/>
        <v>0</v>
      </c>
      <c r="L165" s="308">
        <f t="shared" si="83"/>
        <v>0</v>
      </c>
      <c r="M165" s="308">
        <f t="shared" si="83"/>
        <v>0</v>
      </c>
      <c r="N165" s="308">
        <f t="shared" si="83"/>
        <v>0</v>
      </c>
      <c r="O165" s="308">
        <f t="shared" si="83"/>
        <v>0</v>
      </c>
      <c r="P165" s="308">
        <f t="shared" si="83"/>
        <v>9.2255633513999982</v>
      </c>
      <c r="Q165" s="308">
        <f t="shared" si="83"/>
        <v>95.205768657975369</v>
      </c>
      <c r="R165" s="308">
        <f t="shared" si="83"/>
        <v>80.311999999999998</v>
      </c>
      <c r="S165" s="308">
        <f t="shared" si="83"/>
        <v>94.807000000000002</v>
      </c>
      <c r="T165" s="308">
        <f t="shared" si="83"/>
        <v>97.94</v>
      </c>
      <c r="U165" s="308">
        <f t="shared" si="83"/>
        <v>102.006</v>
      </c>
      <c r="V165" s="308">
        <f t="shared" si="83"/>
        <v>104.669</v>
      </c>
      <c r="W165" s="308">
        <f t="shared" si="83"/>
        <v>105.101</v>
      </c>
      <c r="X165" s="308">
        <f t="shared" si="83"/>
        <v>105.002</v>
      </c>
      <c r="Y165" s="308">
        <f t="shared" si="83"/>
        <v>105.956</v>
      </c>
      <c r="Z165" s="308">
        <f t="shared" si="83"/>
        <v>105.003</v>
      </c>
      <c r="AA165" s="308">
        <f t="shared" si="83"/>
        <v>104.33199999999999</v>
      </c>
      <c r="AB165" s="308">
        <f t="shared" si="83"/>
        <v>105.002</v>
      </c>
      <c r="AC165" s="308">
        <f t="shared" si="83"/>
        <v>104.504</v>
      </c>
      <c r="AD165" s="308">
        <f t="shared" si="83"/>
        <v>102.009</v>
      </c>
      <c r="AE165" s="308">
        <f t="shared" si="83"/>
        <v>0</v>
      </c>
      <c r="AF165" s="308">
        <f t="shared" si="83"/>
        <v>0</v>
      </c>
      <c r="AG165" s="308">
        <f t="shared" si="83"/>
        <v>0</v>
      </c>
      <c r="AH165" s="308">
        <f t="shared" si="83"/>
        <v>0</v>
      </c>
      <c r="AI165" s="308">
        <f t="shared" si="83"/>
        <v>0</v>
      </c>
      <c r="AJ165" s="308">
        <f t="shared" si="83"/>
        <v>0</v>
      </c>
      <c r="AK165" s="308">
        <f t="shared" si="83"/>
        <v>0</v>
      </c>
      <c r="AL165" s="308">
        <f t="shared" si="83"/>
        <v>0</v>
      </c>
      <c r="AM165" s="308">
        <f t="shared" si="83"/>
        <v>0</v>
      </c>
      <c r="AN165" s="308">
        <f t="shared" si="83"/>
        <v>0</v>
      </c>
      <c r="AO165" s="308">
        <f t="shared" si="83"/>
        <v>0</v>
      </c>
      <c r="AP165" s="308">
        <f t="shared" si="83"/>
        <v>0</v>
      </c>
      <c r="AQ165" s="308">
        <f t="shared" si="83"/>
        <v>0</v>
      </c>
      <c r="AR165" s="308">
        <f t="shared" si="83"/>
        <v>0</v>
      </c>
      <c r="AS165" s="308">
        <f t="shared" si="83"/>
        <v>0</v>
      </c>
      <c r="AT165" s="308">
        <f t="shared" si="83"/>
        <v>0</v>
      </c>
      <c r="AU165" s="308">
        <f t="shared" si="83"/>
        <v>0</v>
      </c>
      <c r="AV165" s="308">
        <f t="shared" si="83"/>
        <v>0</v>
      </c>
    </row>
    <row r="166" spans="1:48" s="320" customFormat="1" ht="15" customHeight="1">
      <c r="A166" s="351"/>
      <c r="B166" s="134"/>
      <c r="C166" s="322"/>
      <c r="D166" s="724"/>
      <c r="E166" s="308" t="str">
        <f xml:space="preserve"> E165</f>
        <v>Copper production 2022Fs + actuals</v>
      </c>
      <c r="F166" s="308">
        <f xml:space="preserve"> SUM(L165:AV165)</f>
        <v>1421.0743320093752</v>
      </c>
      <c r="G166" s="308" t="str">
        <f xml:space="preserve"> G165</f>
        <v>KT Cu</v>
      </c>
      <c r="H166" s="308"/>
      <c r="I166" s="308"/>
      <c r="J166" s="308"/>
      <c r="K166" s="308"/>
      <c r="L166" s="308"/>
      <c r="M166" s="308"/>
      <c r="N166" s="308"/>
      <c r="O166" s="308"/>
      <c r="P166" s="308"/>
      <c r="Q166" s="308"/>
      <c r="R166" s="308"/>
      <c r="S166" s="308"/>
      <c r="T166" s="308"/>
      <c r="U166" s="308"/>
      <c r="V166" s="308"/>
      <c r="W166" s="308"/>
      <c r="X166" s="308"/>
      <c r="Y166" s="308"/>
      <c r="Z166" s="308"/>
      <c r="AA166" s="308"/>
      <c r="AB166" s="308"/>
      <c r="AC166" s="308"/>
      <c r="AD166" s="308"/>
      <c r="AE166" s="308"/>
      <c r="AF166" s="308"/>
      <c r="AG166" s="308"/>
      <c r="AH166" s="308"/>
      <c r="AI166" s="308"/>
      <c r="AJ166" s="308"/>
      <c r="AK166" s="308"/>
      <c r="AL166" s="308"/>
      <c r="AM166" s="308"/>
      <c r="AN166" s="308"/>
      <c r="AO166" s="308"/>
      <c r="AP166" s="308"/>
      <c r="AQ166" s="308"/>
      <c r="AR166" s="308"/>
      <c r="AS166" s="308"/>
      <c r="AT166" s="308"/>
      <c r="AU166" s="308"/>
      <c r="AV166" s="308"/>
    </row>
    <row r="167" spans="1:48" s="320" customFormat="1" ht="15" customHeight="1">
      <c r="A167" s="351"/>
      <c r="B167" s="134"/>
      <c r="C167" s="322"/>
      <c r="D167" s="724"/>
      <c r="E167" s="308" t="s">
        <v>658</v>
      </c>
      <c r="F167" s="308"/>
      <c r="G167" s="308" t="s">
        <v>23</v>
      </c>
      <c r="H167" s="308"/>
      <c r="I167" s="308"/>
      <c r="J167" s="308"/>
      <c r="K167" s="308"/>
      <c r="L167" s="308">
        <f xml:space="preserve"> (L165 &gt; 0) * 1</f>
        <v>0</v>
      </c>
      <c r="M167" s="308">
        <f t="shared" ref="M167:AV167" si="84" xml:space="preserve"> (M165 &gt; 0) * 1</f>
        <v>0</v>
      </c>
      <c r="N167" s="308">
        <f xml:space="preserve"> (N165 &gt; 0) * 1</f>
        <v>0</v>
      </c>
      <c r="O167" s="308">
        <f t="shared" si="84"/>
        <v>0</v>
      </c>
      <c r="P167" s="308">
        <f t="shared" si="84"/>
        <v>1</v>
      </c>
      <c r="Q167" s="308">
        <f t="shared" si="84"/>
        <v>1</v>
      </c>
      <c r="R167" s="308">
        <f t="shared" si="84"/>
        <v>1</v>
      </c>
      <c r="S167" s="308">
        <f t="shared" si="84"/>
        <v>1</v>
      </c>
      <c r="T167" s="308">
        <f t="shared" si="84"/>
        <v>1</v>
      </c>
      <c r="U167" s="308">
        <f t="shared" si="84"/>
        <v>1</v>
      </c>
      <c r="V167" s="308">
        <f xml:space="preserve"> (V165 &gt; 0) * 1</f>
        <v>1</v>
      </c>
      <c r="W167" s="308">
        <f t="shared" si="84"/>
        <v>1</v>
      </c>
      <c r="X167" s="308">
        <f t="shared" si="84"/>
        <v>1</v>
      </c>
      <c r="Y167" s="308">
        <f t="shared" si="84"/>
        <v>1</v>
      </c>
      <c r="Z167" s="308">
        <f t="shared" si="84"/>
        <v>1</v>
      </c>
      <c r="AA167" s="308">
        <f t="shared" si="84"/>
        <v>1</v>
      </c>
      <c r="AB167" s="308">
        <f t="shared" si="84"/>
        <v>1</v>
      </c>
      <c r="AC167" s="308">
        <f t="shared" si="84"/>
        <v>1</v>
      </c>
      <c r="AD167" s="308">
        <f t="shared" si="84"/>
        <v>1</v>
      </c>
      <c r="AE167" s="308">
        <f t="shared" si="84"/>
        <v>0</v>
      </c>
      <c r="AF167" s="308">
        <f t="shared" si="84"/>
        <v>0</v>
      </c>
      <c r="AG167" s="308">
        <f t="shared" si="84"/>
        <v>0</v>
      </c>
      <c r="AH167" s="308">
        <f t="shared" si="84"/>
        <v>0</v>
      </c>
      <c r="AI167" s="308">
        <f t="shared" si="84"/>
        <v>0</v>
      </c>
      <c r="AJ167" s="308">
        <f t="shared" si="84"/>
        <v>0</v>
      </c>
      <c r="AK167" s="308">
        <f t="shared" si="84"/>
        <v>0</v>
      </c>
      <c r="AL167" s="308">
        <f t="shared" si="84"/>
        <v>0</v>
      </c>
      <c r="AM167" s="308">
        <f t="shared" si="84"/>
        <v>0</v>
      </c>
      <c r="AN167" s="308">
        <f t="shared" si="84"/>
        <v>0</v>
      </c>
      <c r="AO167" s="308">
        <f t="shared" si="84"/>
        <v>0</v>
      </c>
      <c r="AP167" s="308">
        <f t="shared" si="84"/>
        <v>0</v>
      </c>
      <c r="AQ167" s="308">
        <f t="shared" si="84"/>
        <v>0</v>
      </c>
      <c r="AR167" s="308">
        <f t="shared" si="84"/>
        <v>0</v>
      </c>
      <c r="AS167" s="308">
        <f t="shared" si="84"/>
        <v>0</v>
      </c>
      <c r="AT167" s="308">
        <f t="shared" si="84"/>
        <v>0</v>
      </c>
      <c r="AU167" s="308">
        <f t="shared" si="84"/>
        <v>0</v>
      </c>
      <c r="AV167" s="308">
        <f t="shared" si="84"/>
        <v>0</v>
      </c>
    </row>
    <row r="168" spans="1:48" s="320" customFormat="1" ht="15" customHeight="1">
      <c r="A168" s="351"/>
      <c r="B168" s="134"/>
      <c r="C168" s="322"/>
      <c r="D168" s="724"/>
      <c r="E168" s="308" t="str">
        <f xml:space="preserve"> E167 &amp; " Cum"</f>
        <v>Production year Cum</v>
      </c>
      <c r="F168" s="308"/>
      <c r="G168" s="308" t="s">
        <v>146</v>
      </c>
      <c r="H168" s="308"/>
      <c r="I168" s="308"/>
      <c r="J168" s="308"/>
      <c r="K168" s="338"/>
      <c r="L168" s="308">
        <f t="shared" ref="L168:AV168" si="85" xml:space="preserve"> K168 + L167</f>
        <v>0</v>
      </c>
      <c r="M168" s="308">
        <f t="shared" si="85"/>
        <v>0</v>
      </c>
      <c r="N168" s="308">
        <f t="shared" si="85"/>
        <v>0</v>
      </c>
      <c r="O168" s="308">
        <f t="shared" si="85"/>
        <v>0</v>
      </c>
      <c r="P168" s="308">
        <f t="shared" si="85"/>
        <v>1</v>
      </c>
      <c r="Q168" s="308">
        <f t="shared" si="85"/>
        <v>2</v>
      </c>
      <c r="R168" s="308">
        <f t="shared" si="85"/>
        <v>3</v>
      </c>
      <c r="S168" s="308">
        <f t="shared" si="85"/>
        <v>4</v>
      </c>
      <c r="T168" s="308">
        <f t="shared" si="85"/>
        <v>5</v>
      </c>
      <c r="U168" s="308">
        <f t="shared" si="85"/>
        <v>6</v>
      </c>
      <c r="V168" s="308">
        <f t="shared" si="85"/>
        <v>7</v>
      </c>
      <c r="W168" s="308">
        <f t="shared" si="85"/>
        <v>8</v>
      </c>
      <c r="X168" s="308">
        <f t="shared" si="85"/>
        <v>9</v>
      </c>
      <c r="Y168" s="308">
        <f t="shared" si="85"/>
        <v>10</v>
      </c>
      <c r="Z168" s="308">
        <f t="shared" si="85"/>
        <v>11</v>
      </c>
      <c r="AA168" s="308">
        <f t="shared" si="85"/>
        <v>12</v>
      </c>
      <c r="AB168" s="308">
        <f t="shared" si="85"/>
        <v>13</v>
      </c>
      <c r="AC168" s="308">
        <f t="shared" si="85"/>
        <v>14</v>
      </c>
      <c r="AD168" s="308">
        <f t="shared" si="85"/>
        <v>15</v>
      </c>
      <c r="AE168" s="308">
        <f t="shared" si="85"/>
        <v>15</v>
      </c>
      <c r="AF168" s="308">
        <f t="shared" si="85"/>
        <v>15</v>
      </c>
      <c r="AG168" s="308">
        <f t="shared" si="85"/>
        <v>15</v>
      </c>
      <c r="AH168" s="308">
        <f t="shared" si="85"/>
        <v>15</v>
      </c>
      <c r="AI168" s="308">
        <f t="shared" si="85"/>
        <v>15</v>
      </c>
      <c r="AJ168" s="308">
        <f t="shared" si="85"/>
        <v>15</v>
      </c>
      <c r="AK168" s="308">
        <f t="shared" si="85"/>
        <v>15</v>
      </c>
      <c r="AL168" s="308">
        <f t="shared" si="85"/>
        <v>15</v>
      </c>
      <c r="AM168" s="308">
        <f t="shared" si="85"/>
        <v>15</v>
      </c>
      <c r="AN168" s="308">
        <f t="shared" si="85"/>
        <v>15</v>
      </c>
      <c r="AO168" s="308">
        <f t="shared" si="85"/>
        <v>15</v>
      </c>
      <c r="AP168" s="308">
        <f t="shared" si="85"/>
        <v>15</v>
      </c>
      <c r="AQ168" s="308">
        <f t="shared" si="85"/>
        <v>15</v>
      </c>
      <c r="AR168" s="308">
        <f t="shared" si="85"/>
        <v>15</v>
      </c>
      <c r="AS168" s="308">
        <f t="shared" si="85"/>
        <v>15</v>
      </c>
      <c r="AT168" s="308">
        <f t="shared" si="85"/>
        <v>15</v>
      </c>
      <c r="AU168" s="308">
        <f t="shared" si="85"/>
        <v>15</v>
      </c>
      <c r="AV168" s="308">
        <f t="shared" si="85"/>
        <v>15</v>
      </c>
    </row>
    <row r="169" spans="1:48" s="183" customFormat="1" ht="15" customHeight="1">
      <c r="A169" s="348"/>
      <c r="B169" s="92"/>
      <c r="C169" s="197"/>
      <c r="D169" s="852"/>
      <c r="E169" s="183" t="s">
        <v>22</v>
      </c>
      <c r="G169" s="183" t="s">
        <v>23</v>
      </c>
      <c r="I169" s="323"/>
      <c r="J169" s="183">
        <f xml:space="preserve"> SUM(L169:AV169)</f>
        <v>19</v>
      </c>
      <c r="L169" s="183">
        <f xml:space="preserve"> (SUM(L165:$AV165) &gt; 0) * 1</f>
        <v>1</v>
      </c>
      <c r="M169" s="183">
        <f xml:space="preserve"> (SUM(M165:$AV165) &gt; 0) * 1</f>
        <v>1</v>
      </c>
      <c r="N169" s="183">
        <f xml:space="preserve"> (SUM(N165:$AV165) &gt; 0) * 1</f>
        <v>1</v>
      </c>
      <c r="O169" s="183">
        <f xml:space="preserve"> (SUM(O165:$AV165) &gt; 0) * 1</f>
        <v>1</v>
      </c>
      <c r="P169" s="183">
        <f xml:space="preserve"> (SUM(P165:$AV165) &gt; 0) * 1</f>
        <v>1</v>
      </c>
      <c r="Q169" s="183">
        <f xml:space="preserve"> (SUM(Q165:$AV165) &gt; 0) * 1</f>
        <v>1</v>
      </c>
      <c r="R169" s="183">
        <f xml:space="preserve"> (SUM(R165:$AV165) &gt; 0) * 1</f>
        <v>1</v>
      </c>
      <c r="S169" s="183">
        <f xml:space="preserve"> (SUM(S165:$AV165) &gt; 0) * 1</f>
        <v>1</v>
      </c>
      <c r="T169" s="183">
        <f xml:space="preserve"> (SUM(T165:$AV165) &gt; 0) * 1</f>
        <v>1</v>
      </c>
      <c r="U169" s="183">
        <f xml:space="preserve"> (SUM(U165:$AV165) &gt; 0) * 1</f>
        <v>1</v>
      </c>
      <c r="V169" s="183">
        <f xml:space="preserve"> (SUM(V165:$AV165) &gt; 0) * 1</f>
        <v>1</v>
      </c>
      <c r="W169" s="183">
        <f xml:space="preserve"> (SUM(W165:$AV165) &gt; 0) * 1</f>
        <v>1</v>
      </c>
      <c r="X169" s="183">
        <f xml:space="preserve"> (SUM(X165:$AV165) &gt; 0) * 1</f>
        <v>1</v>
      </c>
      <c r="Y169" s="183">
        <f xml:space="preserve"> (SUM(Y165:$AV165) &gt; 0) * 1</f>
        <v>1</v>
      </c>
      <c r="Z169" s="183">
        <f xml:space="preserve"> (SUM(Z165:$AV165) &gt; 0) * 1</f>
        <v>1</v>
      </c>
      <c r="AA169" s="183">
        <f xml:space="preserve"> (SUM(AA165:$AV165) &gt; 0) * 1</f>
        <v>1</v>
      </c>
      <c r="AB169" s="183">
        <f xml:space="preserve"> (SUM(AB165:$AV165) &gt; 0) * 1</f>
        <v>1</v>
      </c>
      <c r="AC169" s="183">
        <f xml:space="preserve"> (SUM(AC165:$AV165) &gt; 0) * 1</f>
        <v>1</v>
      </c>
      <c r="AD169" s="183">
        <f xml:space="preserve"> (SUM(AD165:$AV165) &gt; 0) * 1</f>
        <v>1</v>
      </c>
      <c r="AE169" s="183">
        <f xml:space="preserve"> (SUM(AE165:$AV165) &gt; 0) * 1</f>
        <v>0</v>
      </c>
      <c r="AF169" s="183">
        <f xml:space="preserve"> (SUM(AF165:$AV165) &gt; 0) * 1</f>
        <v>0</v>
      </c>
      <c r="AG169" s="183">
        <f xml:space="preserve"> (SUM(AG165:$AV165) &gt; 0) * 1</f>
        <v>0</v>
      </c>
      <c r="AH169" s="183">
        <f xml:space="preserve"> (SUM(AH165:$AV165) &gt; 0) * 1</f>
        <v>0</v>
      </c>
      <c r="AI169" s="183">
        <f xml:space="preserve"> (SUM(AI165:$AV165) &gt; 0) * 1</f>
        <v>0</v>
      </c>
      <c r="AJ169" s="183">
        <f xml:space="preserve"> (SUM(AJ165:$AV165) &gt; 0) * 1</f>
        <v>0</v>
      </c>
      <c r="AK169" s="183">
        <f xml:space="preserve"> (SUM(AK165:$AV165) &gt; 0) * 1</f>
        <v>0</v>
      </c>
      <c r="AL169" s="183">
        <f xml:space="preserve"> (SUM(AL165:$AV165) &gt; 0) * 1</f>
        <v>0</v>
      </c>
      <c r="AM169" s="183">
        <f xml:space="preserve"> (SUM(AM165:$AV165) &gt; 0) * 1</f>
        <v>0</v>
      </c>
      <c r="AN169" s="183">
        <f xml:space="preserve"> (SUM(AN165:$AV165) &gt; 0) * 1</f>
        <v>0</v>
      </c>
      <c r="AO169" s="183">
        <f xml:space="preserve"> (SUM(AO165:$AV165) &gt; 0) * 1</f>
        <v>0</v>
      </c>
      <c r="AP169" s="183">
        <f xml:space="preserve"> (SUM(AP165:$AV165) &gt; 0) * 1</f>
        <v>0</v>
      </c>
      <c r="AQ169" s="183">
        <f xml:space="preserve"> (SUM(AQ165:$AV165) &gt; 0) * 1</f>
        <v>0</v>
      </c>
      <c r="AR169" s="183">
        <f xml:space="preserve"> (SUM(AR165:$AV165) &gt; 0) * 1</f>
        <v>0</v>
      </c>
      <c r="AS169" s="183">
        <f xml:space="preserve"> (SUM(AS165:$AV165) &gt; 0) * 1</f>
        <v>0</v>
      </c>
      <c r="AT169" s="183">
        <f xml:space="preserve"> (SUM(AT165:$AV165) &gt; 0) * 1</f>
        <v>0</v>
      </c>
      <c r="AU169" s="183">
        <f xml:space="preserve"> (SUM(AU165:$AV165) &gt; 0) * 1</f>
        <v>0</v>
      </c>
      <c r="AV169" s="183">
        <f xml:space="preserve"> (SUM(AV165:$AV165) &gt; 0) * 1</f>
        <v>0</v>
      </c>
    </row>
    <row r="170" spans="1:48" s="535" customFormat="1" ht="15" customHeight="1">
      <c r="A170" s="793"/>
      <c r="B170" s="793"/>
      <c r="C170" s="794"/>
      <c r="D170" s="853"/>
      <c r="E170" s="535" t="s">
        <v>858</v>
      </c>
      <c r="F170" s="535">
        <f xml:space="preserve"> SUM(L170:AV170)</f>
        <v>2032</v>
      </c>
      <c r="G170" s="535" t="s">
        <v>62</v>
      </c>
      <c r="I170" s="532"/>
      <c r="L170" s="535">
        <f t="shared" ref="L170:AV170" si="86" xml:space="preserve"> AND(L169 = 1, M169 = 0) * L164</f>
        <v>0</v>
      </c>
      <c r="M170" s="535">
        <f t="shared" si="86"/>
        <v>0</v>
      </c>
      <c r="N170" s="535">
        <f t="shared" si="86"/>
        <v>0</v>
      </c>
      <c r="O170" s="535">
        <f t="shared" si="86"/>
        <v>0</v>
      </c>
      <c r="P170" s="535">
        <f t="shared" si="86"/>
        <v>0</v>
      </c>
      <c r="Q170" s="535">
        <f t="shared" si="86"/>
        <v>0</v>
      </c>
      <c r="R170" s="535">
        <f t="shared" si="86"/>
        <v>0</v>
      </c>
      <c r="S170" s="535">
        <f t="shared" si="86"/>
        <v>0</v>
      </c>
      <c r="T170" s="535">
        <f t="shared" si="86"/>
        <v>0</v>
      </c>
      <c r="U170" s="535">
        <f t="shared" si="86"/>
        <v>0</v>
      </c>
      <c r="V170" s="535">
        <f t="shared" si="86"/>
        <v>0</v>
      </c>
      <c r="W170" s="535">
        <f t="shared" si="86"/>
        <v>0</v>
      </c>
      <c r="X170" s="535">
        <f t="shared" si="86"/>
        <v>0</v>
      </c>
      <c r="Y170" s="535">
        <f t="shared" si="86"/>
        <v>0</v>
      </c>
      <c r="Z170" s="535">
        <f t="shared" si="86"/>
        <v>0</v>
      </c>
      <c r="AA170" s="535">
        <f t="shared" si="86"/>
        <v>0</v>
      </c>
      <c r="AB170" s="535">
        <f t="shared" si="86"/>
        <v>0</v>
      </c>
      <c r="AC170" s="535">
        <f t="shared" si="86"/>
        <v>0</v>
      </c>
      <c r="AD170" s="535">
        <f t="shared" si="86"/>
        <v>2032</v>
      </c>
      <c r="AE170" s="535">
        <f t="shared" si="86"/>
        <v>0</v>
      </c>
      <c r="AF170" s="535">
        <f t="shared" si="86"/>
        <v>0</v>
      </c>
      <c r="AG170" s="535">
        <f t="shared" si="86"/>
        <v>0</v>
      </c>
      <c r="AH170" s="535">
        <f t="shared" si="86"/>
        <v>0</v>
      </c>
      <c r="AI170" s="535">
        <f t="shared" si="86"/>
        <v>0</v>
      </c>
      <c r="AJ170" s="535">
        <f t="shared" si="86"/>
        <v>0</v>
      </c>
      <c r="AK170" s="535">
        <f t="shared" si="86"/>
        <v>0</v>
      </c>
      <c r="AL170" s="535">
        <f t="shared" si="86"/>
        <v>0</v>
      </c>
      <c r="AM170" s="535">
        <f t="shared" si="86"/>
        <v>0</v>
      </c>
      <c r="AN170" s="535">
        <f t="shared" si="86"/>
        <v>0</v>
      </c>
      <c r="AO170" s="535">
        <f t="shared" si="86"/>
        <v>0</v>
      </c>
      <c r="AP170" s="535">
        <f t="shared" si="86"/>
        <v>0</v>
      </c>
      <c r="AQ170" s="535">
        <f t="shared" si="86"/>
        <v>0</v>
      </c>
      <c r="AR170" s="535">
        <f t="shared" si="86"/>
        <v>0</v>
      </c>
      <c r="AS170" s="535">
        <f t="shared" si="86"/>
        <v>0</v>
      </c>
      <c r="AT170" s="535">
        <f t="shared" si="86"/>
        <v>0</v>
      </c>
      <c r="AU170" s="535">
        <f t="shared" si="86"/>
        <v>0</v>
      </c>
      <c r="AV170" s="535">
        <f t="shared" si="86"/>
        <v>0</v>
      </c>
    </row>
    <row r="171" spans="1:48" s="183" customFormat="1" ht="15" customHeight="1">
      <c r="A171" s="348"/>
      <c r="B171" s="92"/>
      <c r="C171" s="197"/>
      <c r="D171" s="852"/>
      <c r="I171" s="323"/>
    </row>
    <row r="172" spans="1:48" ht="15" customHeight="1">
      <c r="E172" s="6" t="str">
        <f t="shared" ref="E172:AV172" si="87" xml:space="preserve"> E$91</f>
        <v>Copper realized price: SOM_Contract</v>
      </c>
      <c r="F172" s="6">
        <f t="shared" si="87"/>
        <v>0</v>
      </c>
      <c r="G172" s="6" t="str">
        <f t="shared" si="87"/>
        <v>$ / tonne</v>
      </c>
      <c r="H172" s="6">
        <f t="shared" si="87"/>
        <v>0</v>
      </c>
      <c r="I172" s="6">
        <f t="shared" si="87"/>
        <v>0</v>
      </c>
      <c r="J172" s="6">
        <f t="shared" si="87"/>
        <v>0</v>
      </c>
      <c r="K172" s="6">
        <f t="shared" si="87"/>
        <v>0</v>
      </c>
      <c r="L172" s="6">
        <f t="shared" si="87"/>
        <v>6496.9805415999999</v>
      </c>
      <c r="M172" s="6">
        <f t="shared" si="87"/>
        <v>5153.7817096000008</v>
      </c>
      <c r="N172" s="6">
        <f t="shared" si="87"/>
        <v>4515.8481416000004</v>
      </c>
      <c r="O172" s="6">
        <f t="shared" si="87"/>
        <v>5808.5164319999994</v>
      </c>
      <c r="P172" s="6">
        <f t="shared" si="87"/>
        <v>6165.7834543999998</v>
      </c>
      <c r="Q172" s="6">
        <f t="shared" si="87"/>
        <v>5649.8719560000009</v>
      </c>
      <c r="R172" s="6">
        <f t="shared" si="87"/>
        <v>5813.1011823999997</v>
      </c>
      <c r="S172" s="6">
        <f t="shared" si="87"/>
        <v>8933.3236551999998</v>
      </c>
      <c r="T172" s="6">
        <f t="shared" si="87"/>
        <v>8448.3487975999997</v>
      </c>
      <c r="U172" s="6">
        <f t="shared" si="87"/>
        <v>8112.6285136000006</v>
      </c>
      <c r="V172" s="6">
        <f t="shared" si="87"/>
        <v>8172.1577944000001</v>
      </c>
      <c r="W172" s="6">
        <f t="shared" si="87"/>
        <v>8281.8681512000003</v>
      </c>
      <c r="X172" s="6">
        <f t="shared" si="87"/>
        <v>8296.8226975999987</v>
      </c>
      <c r="Y172" s="6">
        <f t="shared" si="87"/>
        <v>8288.342200000001</v>
      </c>
      <c r="Z172" s="6">
        <f t="shared" si="87"/>
        <v>8276.3045000000002</v>
      </c>
      <c r="AA172" s="6">
        <f t="shared" si="87"/>
        <v>8289.0868000000009</v>
      </c>
      <c r="AB172" s="6">
        <f t="shared" si="87"/>
        <v>8476.261022049508</v>
      </c>
      <c r="AC172" s="6">
        <f t="shared" si="87"/>
        <v>8652.126242490498</v>
      </c>
      <c r="AD172" s="6">
        <f t="shared" si="87"/>
        <v>8831.5087673403086</v>
      </c>
      <c r="AE172" s="6">
        <f t="shared" si="87"/>
        <v>9014.4789426871157</v>
      </c>
      <c r="AF172" s="6">
        <f t="shared" si="87"/>
        <v>9201.1085215408566</v>
      </c>
      <c r="AG172" s="6">
        <f t="shared" si="87"/>
        <v>9391.4706919716737</v>
      </c>
      <c r="AH172" s="6">
        <f t="shared" si="87"/>
        <v>9585.6401058111078</v>
      </c>
      <c r="AI172" s="6">
        <f t="shared" si="87"/>
        <v>9783.6929079273305</v>
      </c>
      <c r="AJ172" s="6">
        <f t="shared" si="87"/>
        <v>9985.7067660858793</v>
      </c>
      <c r="AK172" s="6">
        <f t="shared" si="87"/>
        <v>10191.760901407597</v>
      </c>
      <c r="AL172" s="6">
        <f t="shared" si="87"/>
        <v>10401.936119435748</v>
      </c>
      <c r="AM172" s="6">
        <f t="shared" si="87"/>
        <v>10616.314841824464</v>
      </c>
      <c r="AN172" s="6">
        <f t="shared" si="87"/>
        <v>10834.981138660954</v>
      </c>
      <c r="AO172" s="6">
        <f t="shared" si="87"/>
        <v>11058.020761434174</v>
      </c>
      <c r="AP172" s="6">
        <f t="shared" si="87"/>
        <v>11285.521176662856</v>
      </c>
      <c r="AQ172" s="6">
        <f t="shared" si="87"/>
        <v>11517.571600196114</v>
      </c>
      <c r="AR172" s="6">
        <f t="shared" si="87"/>
        <v>11754.263032200037</v>
      </c>
      <c r="AS172" s="6">
        <f t="shared" si="87"/>
        <v>11995.688292844037</v>
      </c>
      <c r="AT172" s="6">
        <f t="shared" si="87"/>
        <v>12241.942058700921</v>
      </c>
      <c r="AU172" s="6">
        <f t="shared" si="87"/>
        <v>12493.120899874939</v>
      </c>
      <c r="AV172" s="6">
        <f t="shared" si="87"/>
        <v>12749.323317872437</v>
      </c>
    </row>
    <row r="173" spans="1:48" ht="15" customHeight="1"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</row>
    <row r="174" spans="1:48" s="150" customFormat="1" ht="15" customHeight="1">
      <c r="A174" s="189"/>
      <c r="B174" s="189"/>
      <c r="C174" s="151"/>
      <c r="D174" s="854"/>
      <c r="E174" s="150" t="s">
        <v>694</v>
      </c>
      <c r="G174" s="150" t="s">
        <v>29</v>
      </c>
      <c r="I174" s="200"/>
      <c r="J174" s="150">
        <f xml:space="preserve"> SUM(L174:AV174)</f>
        <v>11467.694807333486</v>
      </c>
      <c r="L174" s="150">
        <f t="shared" ref="L174:AV174" si="88" xml:space="preserve"> L165 * L172 / 10^3</f>
        <v>0</v>
      </c>
      <c r="M174" s="150">
        <f t="shared" si="88"/>
        <v>0</v>
      </c>
      <c r="N174" s="150">
        <f t="shared" si="88"/>
        <v>0</v>
      </c>
      <c r="O174" s="150">
        <f t="shared" si="88"/>
        <v>0</v>
      </c>
      <c r="P174" s="150">
        <f t="shared" si="88"/>
        <v>56.882825869581119</v>
      </c>
      <c r="Q174" s="150">
        <f t="shared" si="88"/>
        <v>537.90040239011887</v>
      </c>
      <c r="R174" s="150">
        <f t="shared" si="88"/>
        <v>466.86178216090872</v>
      </c>
      <c r="S174" s="150">
        <f t="shared" si="88"/>
        <v>846.94161577854641</v>
      </c>
      <c r="T174" s="150">
        <f t="shared" si="88"/>
        <v>827.43128123694396</v>
      </c>
      <c r="U174" s="150">
        <f t="shared" si="88"/>
        <v>827.53678415828165</v>
      </c>
      <c r="V174" s="150">
        <f t="shared" si="88"/>
        <v>855.37158418205354</v>
      </c>
      <c r="W174" s="150">
        <f t="shared" si="88"/>
        <v>870.43262455927129</v>
      </c>
      <c r="X174" s="150">
        <f t="shared" si="88"/>
        <v>871.18297689339511</v>
      </c>
      <c r="Y174" s="150">
        <f t="shared" si="88"/>
        <v>878.19958614320012</v>
      </c>
      <c r="Z174" s="150">
        <f t="shared" si="88"/>
        <v>869.03680141350003</v>
      </c>
      <c r="AA174" s="150">
        <f t="shared" si="88"/>
        <v>864.81700401760008</v>
      </c>
      <c r="AB174" s="150">
        <f t="shared" si="88"/>
        <v>890.0243598372424</v>
      </c>
      <c r="AC174" s="150">
        <f t="shared" si="88"/>
        <v>904.18180084522714</v>
      </c>
      <c r="AD174" s="150">
        <f t="shared" si="88"/>
        <v>900.89337784761744</v>
      </c>
      <c r="AE174" s="150">
        <f t="shared" si="88"/>
        <v>0</v>
      </c>
      <c r="AF174" s="150">
        <f t="shared" si="88"/>
        <v>0</v>
      </c>
      <c r="AG174" s="150">
        <f t="shared" si="88"/>
        <v>0</v>
      </c>
      <c r="AH174" s="150">
        <f t="shared" si="88"/>
        <v>0</v>
      </c>
      <c r="AI174" s="150">
        <f t="shared" si="88"/>
        <v>0</v>
      </c>
      <c r="AJ174" s="150">
        <f t="shared" si="88"/>
        <v>0</v>
      </c>
      <c r="AK174" s="150">
        <f t="shared" si="88"/>
        <v>0</v>
      </c>
      <c r="AL174" s="150">
        <f t="shared" si="88"/>
        <v>0</v>
      </c>
      <c r="AM174" s="150">
        <f t="shared" si="88"/>
        <v>0</v>
      </c>
      <c r="AN174" s="150">
        <f t="shared" si="88"/>
        <v>0</v>
      </c>
      <c r="AO174" s="150">
        <f t="shared" si="88"/>
        <v>0</v>
      </c>
      <c r="AP174" s="150">
        <f t="shared" si="88"/>
        <v>0</v>
      </c>
      <c r="AQ174" s="150">
        <f t="shared" si="88"/>
        <v>0</v>
      </c>
      <c r="AR174" s="150">
        <f t="shared" si="88"/>
        <v>0</v>
      </c>
      <c r="AS174" s="150">
        <f t="shared" si="88"/>
        <v>0</v>
      </c>
      <c r="AT174" s="150">
        <f t="shared" si="88"/>
        <v>0</v>
      </c>
      <c r="AU174" s="150">
        <f t="shared" si="88"/>
        <v>0</v>
      </c>
      <c r="AV174" s="150">
        <f t="shared" si="88"/>
        <v>0</v>
      </c>
    </row>
    <row r="175" spans="1:48" ht="15" customHeight="1"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</row>
    <row r="176" spans="1:48" ht="15" customHeight="1">
      <c r="E176" s="81" t="s">
        <v>30</v>
      </c>
      <c r="F176" s="81">
        <f xml:space="preserve"> F180 / F166</f>
        <v>0.19761464971037651</v>
      </c>
      <c r="G176" s="81" t="str">
        <f xml:space="preserve"> InputsTS!G$381</f>
        <v>%</v>
      </c>
      <c r="H176" s="81"/>
      <c r="I176" s="81"/>
    </row>
    <row r="178" spans="1:48" ht="15" customHeight="1">
      <c r="B178" s="241" t="s">
        <v>15</v>
      </c>
    </row>
    <row r="179" spans="1:48" s="6" customFormat="1" ht="15" customHeight="1">
      <c r="A179" s="347"/>
      <c r="B179" s="95"/>
      <c r="C179" s="96"/>
      <c r="D179" s="369"/>
      <c r="E179" s="98" t="str">
        <f t="shared" ref="E179:K179" si="89" xml:space="preserve"> E$26</f>
        <v xml:space="preserve">Cobalt production 2022FS + actuals </v>
      </c>
      <c r="F179" s="98">
        <f t="shared" si="89"/>
        <v>0</v>
      </c>
      <c r="G179" s="98" t="str">
        <f t="shared" si="89"/>
        <v>KT</v>
      </c>
      <c r="H179" s="98">
        <f t="shared" si="89"/>
        <v>0</v>
      </c>
      <c r="I179" s="98">
        <f t="shared" si="89"/>
        <v>0</v>
      </c>
      <c r="J179" s="98">
        <f t="shared" si="89"/>
        <v>280.82510633243999</v>
      </c>
      <c r="K179" s="98">
        <f t="shared" si="89"/>
        <v>0</v>
      </c>
      <c r="L179" s="98">
        <f t="shared" ref="L179:AV179" si="90" xml:space="preserve"> L$26</f>
        <v>0</v>
      </c>
      <c r="M179" s="98">
        <f t="shared" si="90"/>
        <v>0</v>
      </c>
      <c r="N179" s="98">
        <f t="shared" si="90"/>
        <v>0</v>
      </c>
      <c r="O179" s="98">
        <f t="shared" si="90"/>
        <v>0</v>
      </c>
      <c r="P179" s="98">
        <f t="shared" si="90"/>
        <v>0.20840302079999998</v>
      </c>
      <c r="Q179" s="98">
        <f t="shared" si="90"/>
        <v>18.932703311639997</v>
      </c>
      <c r="R179" s="98">
        <f t="shared" si="90"/>
        <v>16.391999999999999</v>
      </c>
      <c r="S179" s="98">
        <f t="shared" si="90"/>
        <v>20.74</v>
      </c>
      <c r="T179" s="98">
        <f t="shared" si="90"/>
        <v>22.472999999999999</v>
      </c>
      <c r="U179" s="98">
        <f t="shared" si="90"/>
        <v>20.558</v>
      </c>
      <c r="V179" s="98">
        <f t="shared" si="90"/>
        <v>20.343</v>
      </c>
      <c r="W179" s="98">
        <f t="shared" si="90"/>
        <v>20.257000000000001</v>
      </c>
      <c r="X179" s="98">
        <f t="shared" si="90"/>
        <v>19.748999999999999</v>
      </c>
      <c r="Y179" s="98">
        <f t="shared" si="90"/>
        <v>18.649999999999999</v>
      </c>
      <c r="Z179" s="98">
        <f t="shared" si="90"/>
        <v>20.103999999999999</v>
      </c>
      <c r="AA179" s="98">
        <f t="shared" si="90"/>
        <v>20.074999999999999</v>
      </c>
      <c r="AB179" s="98">
        <f t="shared" si="90"/>
        <v>18.96</v>
      </c>
      <c r="AC179" s="98">
        <f t="shared" si="90"/>
        <v>21.318999999999999</v>
      </c>
      <c r="AD179" s="98">
        <f t="shared" si="90"/>
        <v>22.064</v>
      </c>
      <c r="AE179" s="98">
        <f t="shared" si="90"/>
        <v>0</v>
      </c>
      <c r="AF179" s="98">
        <f t="shared" si="90"/>
        <v>0</v>
      </c>
      <c r="AG179" s="98">
        <f t="shared" si="90"/>
        <v>0</v>
      </c>
      <c r="AH179" s="98">
        <f t="shared" si="90"/>
        <v>0</v>
      </c>
      <c r="AI179" s="98">
        <f t="shared" si="90"/>
        <v>0</v>
      </c>
      <c r="AJ179" s="98">
        <f t="shared" si="90"/>
        <v>0</v>
      </c>
      <c r="AK179" s="98">
        <f t="shared" si="90"/>
        <v>0</v>
      </c>
      <c r="AL179" s="98">
        <f t="shared" si="90"/>
        <v>0</v>
      </c>
      <c r="AM179" s="98">
        <f t="shared" si="90"/>
        <v>0</v>
      </c>
      <c r="AN179" s="98">
        <f t="shared" si="90"/>
        <v>0</v>
      </c>
      <c r="AO179" s="98">
        <f t="shared" si="90"/>
        <v>0</v>
      </c>
      <c r="AP179" s="98">
        <f t="shared" si="90"/>
        <v>0</v>
      </c>
      <c r="AQ179" s="98">
        <f t="shared" si="90"/>
        <v>0</v>
      </c>
      <c r="AR179" s="98">
        <f t="shared" si="90"/>
        <v>0</v>
      </c>
      <c r="AS179" s="98">
        <f t="shared" si="90"/>
        <v>0</v>
      </c>
      <c r="AT179" s="98">
        <f t="shared" si="90"/>
        <v>0</v>
      </c>
      <c r="AU179" s="98">
        <f t="shared" si="90"/>
        <v>0</v>
      </c>
      <c r="AV179" s="98">
        <f t="shared" si="90"/>
        <v>0</v>
      </c>
    </row>
    <row r="180" spans="1:48" s="6" customFormat="1" ht="15" customHeight="1">
      <c r="A180" s="347"/>
      <c r="B180" s="95"/>
      <c r="C180" s="96"/>
      <c r="D180" s="369"/>
      <c r="E180" s="98" t="str">
        <f xml:space="preserve"> E179</f>
        <v xml:space="preserve">Cobalt production 2022FS + actuals </v>
      </c>
      <c r="F180" s="98">
        <f xml:space="preserve"> SUM(L179:AV179)</f>
        <v>280.82510633243999</v>
      </c>
      <c r="G180" s="98" t="str">
        <f xml:space="preserve"> G179</f>
        <v>KT</v>
      </c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</row>
    <row r="181" spans="1:48" s="6" customFormat="1" ht="15" customHeight="1">
      <c r="A181" s="347"/>
      <c r="B181" s="95"/>
      <c r="C181" s="96"/>
      <c r="D181" s="369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/>
    </row>
    <row r="182" spans="1:48" s="6" customFormat="1" ht="15" customHeight="1">
      <c r="A182" s="347"/>
      <c r="B182" s="95"/>
      <c r="C182" s="96"/>
      <c r="D182" s="369"/>
      <c r="E182" s="98" t="str">
        <f t="shared" ref="E182:AV182" si="91" xml:space="preserve"> E$159</f>
        <v>Cobalt realized Price: SOM_Contract</v>
      </c>
      <c r="F182" s="98">
        <f t="shared" si="91"/>
        <v>0</v>
      </c>
      <c r="G182" s="98" t="str">
        <f t="shared" si="91"/>
        <v>$ / tonne</v>
      </c>
      <c r="H182" s="98">
        <f t="shared" si="91"/>
        <v>0</v>
      </c>
      <c r="I182" s="98">
        <f t="shared" si="91"/>
        <v>0</v>
      </c>
      <c r="J182" s="98">
        <f t="shared" si="91"/>
        <v>0</v>
      </c>
      <c r="K182" s="98" t="e">
        <f t="shared" si="91"/>
        <v>#REF!</v>
      </c>
      <c r="L182" s="98">
        <f t="shared" si="91"/>
        <v>19920.981581921755</v>
      </c>
      <c r="M182" s="98">
        <f t="shared" si="91"/>
        <v>18302.370220466593</v>
      </c>
      <c r="N182" s="98">
        <f t="shared" si="91"/>
        <v>16225.626703739015</v>
      </c>
      <c r="O182" s="98">
        <f t="shared" si="91"/>
        <v>37330.729646172702</v>
      </c>
      <c r="P182" s="98">
        <f t="shared" si="91"/>
        <v>49199.997296038942</v>
      </c>
      <c r="Q182" s="98">
        <f t="shared" si="91"/>
        <v>21586.73144835007</v>
      </c>
      <c r="R182" s="98">
        <f t="shared" si="91"/>
        <v>20382.570501387789</v>
      </c>
      <c r="S182" s="98">
        <f t="shared" si="91"/>
        <v>34136.239954648387</v>
      </c>
      <c r="T182" s="98">
        <f t="shared" si="91"/>
        <v>42843.533428948969</v>
      </c>
      <c r="U182" s="98">
        <f t="shared" si="91"/>
        <v>22349.386945380375</v>
      </c>
      <c r="V182" s="98">
        <f t="shared" si="91"/>
        <v>16825.696182870786</v>
      </c>
      <c r="W182" s="98">
        <f t="shared" si="91"/>
        <v>26328.004101395614</v>
      </c>
      <c r="X182" s="98">
        <f t="shared" si="91"/>
        <v>26328.004101395614</v>
      </c>
      <c r="Y182" s="98">
        <f t="shared" si="91"/>
        <v>26328.004101395614</v>
      </c>
      <c r="Z182" s="98">
        <f t="shared" si="91"/>
        <v>26328.004101395614</v>
      </c>
      <c r="AA182" s="98">
        <f t="shared" si="91"/>
        <v>26328.004101395614</v>
      </c>
      <c r="AB182" s="98">
        <f t="shared" si="91"/>
        <v>26932.592924996727</v>
      </c>
      <c r="AC182" s="98">
        <f t="shared" si="91"/>
        <v>27500.652701468745</v>
      </c>
      <c r="AD182" s="98">
        <f t="shared" si="91"/>
        <v>28080.073673470208</v>
      </c>
      <c r="AE182" s="98">
        <f t="shared" si="91"/>
        <v>28671.083064911702</v>
      </c>
      <c r="AF182" s="98">
        <f t="shared" si="91"/>
        <v>29273.912644182019</v>
      </c>
      <c r="AG182" s="98">
        <f t="shared" si="91"/>
        <v>29888.798815037746</v>
      </c>
      <c r="AH182" s="98">
        <f t="shared" si="91"/>
        <v>30515.982709310592</v>
      </c>
      <c r="AI182" s="98">
        <f t="shared" si="91"/>
        <v>31155.710281468895</v>
      </c>
      <c r="AJ182" s="98">
        <f t="shared" si="91"/>
        <v>31808.232405070368</v>
      </c>
      <c r="AK182" s="98">
        <f t="shared" si="91"/>
        <v>32473.804971143865</v>
      </c>
      <c r="AL182" s="98">
        <f t="shared" si="91"/>
        <v>33152.688988538823</v>
      </c>
      <c r="AM182" s="98">
        <f t="shared" si="91"/>
        <v>33845.150686281697</v>
      </c>
      <c r="AN182" s="98">
        <f t="shared" si="91"/>
        <v>34551.461617979425</v>
      </c>
      <c r="AO182" s="98">
        <f t="shared" si="91"/>
        <v>35271.898768311097</v>
      </c>
      <c r="AP182" s="98">
        <f t="shared" si="91"/>
        <v>36006.744661649413</v>
      </c>
      <c r="AQ182" s="98">
        <f t="shared" si="91"/>
        <v>36756.287472854485</v>
      </c>
      <c r="AR182" s="98">
        <f t="shared" si="91"/>
        <v>37520.82114028366</v>
      </c>
      <c r="AS182" s="98">
        <f t="shared" si="91"/>
        <v>38300.64548106143</v>
      </c>
      <c r="AT182" s="98">
        <f t="shared" si="91"/>
        <v>39096.06630865475</v>
      </c>
      <c r="AU182" s="98">
        <f t="shared" si="91"/>
        <v>39907.395552799928</v>
      </c>
      <c r="AV182" s="98">
        <f t="shared" si="91"/>
        <v>40734.95138182801</v>
      </c>
    </row>
    <row r="183" spans="1:48" s="6" customFormat="1" ht="15" customHeight="1">
      <c r="A183" s="347"/>
      <c r="B183" s="95"/>
      <c r="C183" s="96"/>
      <c r="D183" s="369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</row>
    <row r="184" spans="1:48" s="320" customFormat="1" ht="15" customHeight="1">
      <c r="A184" s="351"/>
      <c r="B184" s="134"/>
      <c r="C184" s="322"/>
      <c r="D184" s="724"/>
      <c r="E184" s="320" t="s">
        <v>695</v>
      </c>
      <c r="G184" s="320" t="s">
        <v>29</v>
      </c>
      <c r="I184" s="308"/>
      <c r="J184" s="320">
        <f xml:space="preserve"> SUM(L184:AV184)</f>
        <v>7544.2272910711363</v>
      </c>
      <c r="L184" s="320">
        <f t="shared" ref="L184:AV184" si="92" xml:space="preserve"> L179 * L182 / 10^3</f>
        <v>0</v>
      </c>
      <c r="M184" s="320">
        <f t="shared" si="92"/>
        <v>0</v>
      </c>
      <c r="N184" s="320">
        <f t="shared" si="92"/>
        <v>0</v>
      </c>
      <c r="O184" s="320">
        <f t="shared" si="92"/>
        <v>0</v>
      </c>
      <c r="P184" s="320">
        <f t="shared" si="92"/>
        <v>10.253428059846346</v>
      </c>
      <c r="Q184" s="320">
        <f t="shared" si="92"/>
        <v>408.69518197966062</v>
      </c>
      <c r="R184" s="320">
        <f t="shared" si="92"/>
        <v>334.11109565874864</v>
      </c>
      <c r="S184" s="320">
        <f t="shared" si="92"/>
        <v>707.98561665940747</v>
      </c>
      <c r="T184" s="320">
        <f t="shared" si="92"/>
        <v>962.82272674877015</v>
      </c>
      <c r="U184" s="320">
        <f t="shared" si="92"/>
        <v>459.45869682312974</v>
      </c>
      <c r="V184" s="320">
        <f t="shared" si="92"/>
        <v>342.2851374481404</v>
      </c>
      <c r="W184" s="320">
        <f t="shared" si="92"/>
        <v>533.32637908197103</v>
      </c>
      <c r="X184" s="320">
        <f t="shared" si="92"/>
        <v>519.95175299846198</v>
      </c>
      <c r="Y184" s="320">
        <f t="shared" si="92"/>
        <v>491.01727649102816</v>
      </c>
      <c r="Z184" s="320">
        <f t="shared" si="92"/>
        <v>529.29819445445742</v>
      </c>
      <c r="AA184" s="320">
        <f t="shared" si="92"/>
        <v>528.53468233551689</v>
      </c>
      <c r="AB184" s="320">
        <f t="shared" si="92"/>
        <v>510.64196185793799</v>
      </c>
      <c r="AC184" s="320">
        <f t="shared" si="92"/>
        <v>586.28641494261217</v>
      </c>
      <c r="AD184" s="320">
        <f t="shared" si="92"/>
        <v>619.55874553144668</v>
      </c>
      <c r="AE184" s="320">
        <f t="shared" si="92"/>
        <v>0</v>
      </c>
      <c r="AF184" s="320">
        <f t="shared" si="92"/>
        <v>0</v>
      </c>
      <c r="AG184" s="320">
        <f t="shared" si="92"/>
        <v>0</v>
      </c>
      <c r="AH184" s="320">
        <f t="shared" si="92"/>
        <v>0</v>
      </c>
      <c r="AI184" s="320">
        <f t="shared" si="92"/>
        <v>0</v>
      </c>
      <c r="AJ184" s="320">
        <f t="shared" si="92"/>
        <v>0</v>
      </c>
      <c r="AK184" s="320">
        <f t="shared" si="92"/>
        <v>0</v>
      </c>
      <c r="AL184" s="320">
        <f t="shared" si="92"/>
        <v>0</v>
      </c>
      <c r="AM184" s="320">
        <f t="shared" si="92"/>
        <v>0</v>
      </c>
      <c r="AN184" s="320">
        <f t="shared" si="92"/>
        <v>0</v>
      </c>
      <c r="AO184" s="320">
        <f t="shared" si="92"/>
        <v>0</v>
      </c>
      <c r="AP184" s="320">
        <f t="shared" si="92"/>
        <v>0</v>
      </c>
      <c r="AQ184" s="320">
        <f t="shared" si="92"/>
        <v>0</v>
      </c>
      <c r="AR184" s="320">
        <f t="shared" si="92"/>
        <v>0</v>
      </c>
      <c r="AS184" s="320">
        <f t="shared" si="92"/>
        <v>0</v>
      </c>
      <c r="AT184" s="320">
        <f t="shared" si="92"/>
        <v>0</v>
      </c>
      <c r="AU184" s="320">
        <f t="shared" si="92"/>
        <v>0</v>
      </c>
      <c r="AV184" s="320">
        <f t="shared" si="92"/>
        <v>0</v>
      </c>
    </row>
    <row r="186" spans="1:48" ht="15" customHeight="1">
      <c r="C186" s="303" t="s">
        <v>36</v>
      </c>
    </row>
    <row r="187" spans="1:48" s="6" customFormat="1" ht="15" customHeight="1">
      <c r="A187" s="347"/>
      <c r="B187" s="95"/>
      <c r="C187" s="96"/>
      <c r="D187" s="369"/>
      <c r="E187" s="6" t="str">
        <f t="shared" ref="E187:AV187" si="93" xml:space="preserve"> E$174</f>
        <v>Copper gross revenue (at realized prices)</v>
      </c>
      <c r="F187" s="6">
        <f t="shared" si="93"/>
        <v>0</v>
      </c>
      <c r="G187" s="6" t="str">
        <f t="shared" si="93"/>
        <v>$ mn</v>
      </c>
      <c r="H187" s="6">
        <f t="shared" si="93"/>
        <v>0</v>
      </c>
      <c r="I187" s="6">
        <f t="shared" si="93"/>
        <v>0</v>
      </c>
      <c r="J187" s="6">
        <f t="shared" si="93"/>
        <v>11467.694807333486</v>
      </c>
      <c r="K187" s="6">
        <f t="shared" si="93"/>
        <v>0</v>
      </c>
      <c r="L187" s="6">
        <f t="shared" si="93"/>
        <v>0</v>
      </c>
      <c r="M187" s="6">
        <f t="shared" si="93"/>
        <v>0</v>
      </c>
      <c r="N187" s="6">
        <f t="shared" si="93"/>
        <v>0</v>
      </c>
      <c r="O187" s="6">
        <f t="shared" si="93"/>
        <v>0</v>
      </c>
      <c r="P187" s="6">
        <f t="shared" si="93"/>
        <v>56.882825869581119</v>
      </c>
      <c r="Q187" s="6">
        <f t="shared" si="93"/>
        <v>537.90040239011887</v>
      </c>
      <c r="R187" s="6">
        <f t="shared" si="93"/>
        <v>466.86178216090872</v>
      </c>
      <c r="S187" s="6">
        <f t="shared" si="93"/>
        <v>846.94161577854641</v>
      </c>
      <c r="T187" s="6">
        <f t="shared" si="93"/>
        <v>827.43128123694396</v>
      </c>
      <c r="U187" s="6">
        <f t="shared" si="93"/>
        <v>827.53678415828165</v>
      </c>
      <c r="V187" s="6">
        <f t="shared" si="93"/>
        <v>855.37158418205354</v>
      </c>
      <c r="W187" s="6">
        <f t="shared" si="93"/>
        <v>870.43262455927129</v>
      </c>
      <c r="X187" s="6">
        <f t="shared" si="93"/>
        <v>871.18297689339511</v>
      </c>
      <c r="Y187" s="6">
        <f t="shared" si="93"/>
        <v>878.19958614320012</v>
      </c>
      <c r="Z187" s="6">
        <f t="shared" si="93"/>
        <v>869.03680141350003</v>
      </c>
      <c r="AA187" s="6">
        <f t="shared" si="93"/>
        <v>864.81700401760008</v>
      </c>
      <c r="AB187" s="6">
        <f t="shared" si="93"/>
        <v>890.0243598372424</v>
      </c>
      <c r="AC187" s="6">
        <f t="shared" si="93"/>
        <v>904.18180084522714</v>
      </c>
      <c r="AD187" s="6">
        <f t="shared" si="93"/>
        <v>900.89337784761744</v>
      </c>
      <c r="AE187" s="6">
        <f t="shared" si="93"/>
        <v>0</v>
      </c>
      <c r="AF187" s="6">
        <f t="shared" si="93"/>
        <v>0</v>
      </c>
      <c r="AG187" s="6">
        <f t="shared" si="93"/>
        <v>0</v>
      </c>
      <c r="AH187" s="6">
        <f t="shared" si="93"/>
        <v>0</v>
      </c>
      <c r="AI187" s="6">
        <f t="shared" si="93"/>
        <v>0</v>
      </c>
      <c r="AJ187" s="6">
        <f t="shared" si="93"/>
        <v>0</v>
      </c>
      <c r="AK187" s="6">
        <f t="shared" si="93"/>
        <v>0</v>
      </c>
      <c r="AL187" s="6">
        <f t="shared" si="93"/>
        <v>0</v>
      </c>
      <c r="AM187" s="6">
        <f t="shared" si="93"/>
        <v>0</v>
      </c>
      <c r="AN187" s="6">
        <f t="shared" si="93"/>
        <v>0</v>
      </c>
      <c r="AO187" s="6">
        <f t="shared" si="93"/>
        <v>0</v>
      </c>
      <c r="AP187" s="6">
        <f t="shared" si="93"/>
        <v>0</v>
      </c>
      <c r="AQ187" s="6">
        <f t="shared" si="93"/>
        <v>0</v>
      </c>
      <c r="AR187" s="6">
        <f t="shared" si="93"/>
        <v>0</v>
      </c>
      <c r="AS187" s="6">
        <f t="shared" si="93"/>
        <v>0</v>
      </c>
      <c r="AT187" s="6">
        <f t="shared" si="93"/>
        <v>0</v>
      </c>
      <c r="AU187" s="6">
        <f t="shared" si="93"/>
        <v>0</v>
      </c>
      <c r="AV187" s="6">
        <f t="shared" si="93"/>
        <v>0</v>
      </c>
    </row>
    <row r="188" spans="1:48" s="6" customFormat="1" ht="15" customHeight="1">
      <c r="A188" s="347"/>
      <c r="B188" s="95"/>
      <c r="C188" s="96"/>
      <c r="D188" s="369"/>
      <c r="E188" s="6" t="str">
        <f t="shared" ref="E188:AV188" si="94" xml:space="preserve"> E$184</f>
        <v>Cobalt gross revenue (at realized prices)</v>
      </c>
      <c r="F188" s="6">
        <f t="shared" si="94"/>
        <v>0</v>
      </c>
      <c r="G188" s="6" t="str">
        <f t="shared" si="94"/>
        <v>$ mn</v>
      </c>
      <c r="H188" s="6">
        <f t="shared" si="94"/>
        <v>0</v>
      </c>
      <c r="I188" s="6">
        <f t="shared" si="94"/>
        <v>0</v>
      </c>
      <c r="J188" s="6">
        <f t="shared" si="94"/>
        <v>7544.2272910711363</v>
      </c>
      <c r="K188" s="6">
        <f t="shared" si="94"/>
        <v>0</v>
      </c>
      <c r="L188" s="6">
        <f t="shared" si="94"/>
        <v>0</v>
      </c>
      <c r="M188" s="6">
        <f t="shared" si="94"/>
        <v>0</v>
      </c>
      <c r="N188" s="6">
        <f t="shared" si="94"/>
        <v>0</v>
      </c>
      <c r="O188" s="6">
        <f t="shared" si="94"/>
        <v>0</v>
      </c>
      <c r="P188" s="6">
        <f t="shared" si="94"/>
        <v>10.253428059846346</v>
      </c>
      <c r="Q188" s="6">
        <f t="shared" si="94"/>
        <v>408.69518197966062</v>
      </c>
      <c r="R188" s="6">
        <f t="shared" si="94"/>
        <v>334.11109565874864</v>
      </c>
      <c r="S188" s="6">
        <f t="shared" si="94"/>
        <v>707.98561665940747</v>
      </c>
      <c r="T188" s="6">
        <f t="shared" si="94"/>
        <v>962.82272674877015</v>
      </c>
      <c r="U188" s="6">
        <f t="shared" si="94"/>
        <v>459.45869682312974</v>
      </c>
      <c r="V188" s="6">
        <f t="shared" si="94"/>
        <v>342.2851374481404</v>
      </c>
      <c r="W188" s="6">
        <f t="shared" si="94"/>
        <v>533.32637908197103</v>
      </c>
      <c r="X188" s="6">
        <f t="shared" si="94"/>
        <v>519.95175299846198</v>
      </c>
      <c r="Y188" s="6">
        <f t="shared" si="94"/>
        <v>491.01727649102816</v>
      </c>
      <c r="Z188" s="6">
        <f t="shared" si="94"/>
        <v>529.29819445445742</v>
      </c>
      <c r="AA188" s="6">
        <f t="shared" si="94"/>
        <v>528.53468233551689</v>
      </c>
      <c r="AB188" s="6">
        <f t="shared" si="94"/>
        <v>510.64196185793799</v>
      </c>
      <c r="AC188" s="6">
        <f t="shared" si="94"/>
        <v>586.28641494261217</v>
      </c>
      <c r="AD188" s="6">
        <f t="shared" si="94"/>
        <v>619.55874553144668</v>
      </c>
      <c r="AE188" s="6">
        <f t="shared" si="94"/>
        <v>0</v>
      </c>
      <c r="AF188" s="6">
        <f t="shared" si="94"/>
        <v>0</v>
      </c>
      <c r="AG188" s="6">
        <f t="shared" si="94"/>
        <v>0</v>
      </c>
      <c r="AH188" s="6">
        <f t="shared" si="94"/>
        <v>0</v>
      </c>
      <c r="AI188" s="6">
        <f t="shared" si="94"/>
        <v>0</v>
      </c>
      <c r="AJ188" s="6">
        <f t="shared" si="94"/>
        <v>0</v>
      </c>
      <c r="AK188" s="6">
        <f t="shared" si="94"/>
        <v>0</v>
      </c>
      <c r="AL188" s="6">
        <f t="shared" si="94"/>
        <v>0</v>
      </c>
      <c r="AM188" s="6">
        <f t="shared" si="94"/>
        <v>0</v>
      </c>
      <c r="AN188" s="6">
        <f t="shared" si="94"/>
        <v>0</v>
      </c>
      <c r="AO188" s="6">
        <f t="shared" si="94"/>
        <v>0</v>
      </c>
      <c r="AP188" s="6">
        <f t="shared" si="94"/>
        <v>0</v>
      </c>
      <c r="AQ188" s="6">
        <f t="shared" si="94"/>
        <v>0</v>
      </c>
      <c r="AR188" s="6">
        <f t="shared" si="94"/>
        <v>0</v>
      </c>
      <c r="AS188" s="6">
        <f t="shared" si="94"/>
        <v>0</v>
      </c>
      <c r="AT188" s="6">
        <f t="shared" si="94"/>
        <v>0</v>
      </c>
      <c r="AU188" s="6">
        <f t="shared" si="94"/>
        <v>0</v>
      </c>
      <c r="AV188" s="6">
        <f t="shared" si="94"/>
        <v>0</v>
      </c>
    </row>
    <row r="189" spans="1:48" s="6" customFormat="1" ht="15" customHeight="1">
      <c r="A189" s="347"/>
      <c r="B189" s="95"/>
      <c r="C189" s="96"/>
      <c r="D189" s="369"/>
      <c r="E189" s="310" t="s">
        <v>37</v>
      </c>
      <c r="F189" s="310"/>
      <c r="G189" s="310" t="s">
        <v>29</v>
      </c>
      <c r="H189" s="310"/>
      <c r="I189" s="339"/>
      <c r="J189" s="310">
        <f xml:space="preserve"> SUM(L189:AV189)</f>
        <v>19011.922098404622</v>
      </c>
      <c r="K189" s="310"/>
      <c r="L189" s="310">
        <f t="shared" ref="L189:AV189" si="95">SUM(L187:L188)</f>
        <v>0</v>
      </c>
      <c r="M189" s="310">
        <f t="shared" si="95"/>
        <v>0</v>
      </c>
      <c r="N189" s="310">
        <f t="shared" si="95"/>
        <v>0</v>
      </c>
      <c r="O189" s="310">
        <f t="shared" si="95"/>
        <v>0</v>
      </c>
      <c r="P189" s="310">
        <f t="shared" si="95"/>
        <v>67.136253929427468</v>
      </c>
      <c r="Q189" s="310">
        <f t="shared" si="95"/>
        <v>946.59558436977954</v>
      </c>
      <c r="R189" s="310">
        <f t="shared" si="95"/>
        <v>800.97287781965736</v>
      </c>
      <c r="S189" s="310">
        <f t="shared" si="95"/>
        <v>1554.927232437954</v>
      </c>
      <c r="T189" s="310">
        <f t="shared" si="95"/>
        <v>1790.254007985714</v>
      </c>
      <c r="U189" s="310">
        <f t="shared" si="95"/>
        <v>1286.9954809814114</v>
      </c>
      <c r="V189" s="310">
        <f t="shared" si="95"/>
        <v>1197.6567216301939</v>
      </c>
      <c r="W189" s="310">
        <f t="shared" si="95"/>
        <v>1403.7590036412423</v>
      </c>
      <c r="X189" s="310">
        <f t="shared" si="95"/>
        <v>1391.1347298918572</v>
      </c>
      <c r="Y189" s="310">
        <f t="shared" si="95"/>
        <v>1369.2168626342282</v>
      </c>
      <c r="Z189" s="310">
        <f t="shared" si="95"/>
        <v>1398.3349958679573</v>
      </c>
      <c r="AA189" s="310">
        <f t="shared" si="95"/>
        <v>1393.351686353117</v>
      </c>
      <c r="AB189" s="310">
        <f t="shared" si="95"/>
        <v>1400.6663216951804</v>
      </c>
      <c r="AC189" s="310">
        <f t="shared" si="95"/>
        <v>1490.4682157878392</v>
      </c>
      <c r="AD189" s="310">
        <f t="shared" si="95"/>
        <v>1520.4521233790642</v>
      </c>
      <c r="AE189" s="310">
        <f t="shared" si="95"/>
        <v>0</v>
      </c>
      <c r="AF189" s="310">
        <f t="shared" si="95"/>
        <v>0</v>
      </c>
      <c r="AG189" s="310">
        <f t="shared" si="95"/>
        <v>0</v>
      </c>
      <c r="AH189" s="310">
        <f t="shared" si="95"/>
        <v>0</v>
      </c>
      <c r="AI189" s="310">
        <f t="shared" si="95"/>
        <v>0</v>
      </c>
      <c r="AJ189" s="310">
        <f t="shared" si="95"/>
        <v>0</v>
      </c>
      <c r="AK189" s="310">
        <f t="shared" si="95"/>
        <v>0</v>
      </c>
      <c r="AL189" s="310">
        <f t="shared" si="95"/>
        <v>0</v>
      </c>
      <c r="AM189" s="310">
        <f t="shared" si="95"/>
        <v>0</v>
      </c>
      <c r="AN189" s="310">
        <f t="shared" si="95"/>
        <v>0</v>
      </c>
      <c r="AO189" s="310">
        <f t="shared" si="95"/>
        <v>0</v>
      </c>
      <c r="AP189" s="310">
        <f t="shared" si="95"/>
        <v>0</v>
      </c>
      <c r="AQ189" s="310">
        <f t="shared" si="95"/>
        <v>0</v>
      </c>
      <c r="AR189" s="310">
        <f t="shared" si="95"/>
        <v>0</v>
      </c>
      <c r="AS189" s="310">
        <f t="shared" si="95"/>
        <v>0</v>
      </c>
      <c r="AT189" s="310">
        <f t="shared" si="95"/>
        <v>0</v>
      </c>
      <c r="AU189" s="310">
        <f t="shared" si="95"/>
        <v>0</v>
      </c>
      <c r="AV189" s="310">
        <f t="shared" si="95"/>
        <v>0</v>
      </c>
    </row>
    <row r="190" spans="1:48" s="6" customFormat="1" ht="15" customHeight="1">
      <c r="A190" s="347"/>
      <c r="B190" s="95"/>
      <c r="C190" s="96"/>
      <c r="D190" s="369"/>
      <c r="E190" s="433" t="str">
        <f xml:space="preserve"> E187</f>
        <v>Copper gross revenue (at realized prices)</v>
      </c>
      <c r="F190" s="433">
        <f xml:space="preserve"> SUM(L187:AV187)</f>
        <v>11467.694807333486</v>
      </c>
      <c r="G190" s="433" t="str">
        <f xml:space="preserve"> G187</f>
        <v>$ mn</v>
      </c>
      <c r="H190" s="433"/>
      <c r="I190" s="175"/>
      <c r="J190" s="433"/>
      <c r="K190" s="433"/>
      <c r="L190" s="433"/>
      <c r="M190" s="433"/>
      <c r="N190" s="433"/>
      <c r="O190" s="433"/>
      <c r="P190" s="433"/>
      <c r="Q190" s="433"/>
      <c r="R190" s="433"/>
      <c r="S190" s="433"/>
      <c r="T190" s="433"/>
      <c r="U190" s="433"/>
      <c r="V190" s="433"/>
      <c r="W190" s="433"/>
      <c r="X190" s="433"/>
      <c r="Y190" s="433"/>
      <c r="Z190" s="433"/>
      <c r="AA190" s="433"/>
      <c r="AB190" s="433"/>
      <c r="AC190" s="433"/>
      <c r="AD190" s="433"/>
      <c r="AE190" s="433"/>
      <c r="AF190" s="433"/>
      <c r="AG190" s="433"/>
      <c r="AH190" s="433"/>
      <c r="AI190" s="433"/>
      <c r="AJ190" s="433"/>
      <c r="AK190" s="433"/>
      <c r="AL190" s="433"/>
      <c r="AM190" s="433"/>
      <c r="AN190" s="433"/>
      <c r="AO190" s="433"/>
      <c r="AP190" s="433"/>
      <c r="AQ190" s="433"/>
      <c r="AR190" s="433"/>
      <c r="AS190" s="433"/>
      <c r="AT190" s="433"/>
      <c r="AU190" s="433"/>
      <c r="AV190" s="433"/>
    </row>
    <row r="191" spans="1:48" s="6" customFormat="1" ht="15" customHeight="1">
      <c r="A191" s="347"/>
      <c r="B191" s="95"/>
      <c r="C191" s="96"/>
      <c r="D191" s="369"/>
      <c r="E191" s="433" t="str">
        <f xml:space="preserve"> E188</f>
        <v>Cobalt gross revenue (at realized prices)</v>
      </c>
      <c r="F191" s="433">
        <f xml:space="preserve"> SUM(L188:AV188)</f>
        <v>7544.2272910711363</v>
      </c>
      <c r="G191" s="433" t="str">
        <f xml:space="preserve"> G188</f>
        <v>$ mn</v>
      </c>
      <c r="H191" s="433"/>
      <c r="I191" s="175"/>
      <c r="J191" s="433"/>
      <c r="K191" s="433"/>
      <c r="L191" s="433"/>
      <c r="M191" s="433"/>
      <c r="N191" s="433"/>
      <c r="O191" s="433"/>
      <c r="P191" s="433"/>
      <c r="Q191" s="433"/>
      <c r="R191" s="433"/>
      <c r="S191" s="433"/>
      <c r="T191" s="433"/>
      <c r="U191" s="433"/>
      <c r="V191" s="433"/>
      <c r="W191" s="433"/>
      <c r="X191" s="433"/>
      <c r="Y191" s="433"/>
      <c r="Z191" s="433"/>
      <c r="AA191" s="433"/>
      <c r="AB191" s="433"/>
      <c r="AC191" s="433"/>
      <c r="AD191" s="433"/>
      <c r="AE191" s="433"/>
      <c r="AF191" s="433"/>
      <c r="AG191" s="433"/>
      <c r="AH191" s="433"/>
      <c r="AI191" s="433"/>
      <c r="AJ191" s="433"/>
      <c r="AK191" s="433"/>
      <c r="AL191" s="433"/>
      <c r="AM191" s="433"/>
      <c r="AN191" s="433"/>
      <c r="AO191" s="433"/>
      <c r="AP191" s="433"/>
      <c r="AQ191" s="433"/>
      <c r="AR191" s="433"/>
      <c r="AS191" s="433"/>
      <c r="AT191" s="433"/>
      <c r="AU191" s="433"/>
      <c r="AV191" s="433"/>
    </row>
    <row r="192" spans="1:48" s="6" customFormat="1" ht="15" customHeight="1">
      <c r="A192" s="349"/>
      <c r="B192" s="95"/>
      <c r="C192" s="96"/>
      <c r="D192" s="369"/>
    </row>
    <row r="193" spans="1:48" s="6" customFormat="1" ht="15" customHeight="1">
      <c r="A193" s="349"/>
      <c r="B193" s="95"/>
      <c r="C193" s="96"/>
      <c r="D193" s="369"/>
      <c r="Y193"/>
    </row>
    <row r="194" spans="1:48" s="160" customFormat="1" ht="15" customHeight="1">
      <c r="A194" s="164" t="s">
        <v>669</v>
      </c>
      <c r="B194" s="162"/>
      <c r="C194" s="315"/>
      <c r="D194" s="386"/>
      <c r="E194" s="162"/>
      <c r="F194" s="162"/>
      <c r="G194" s="162"/>
      <c r="H194" s="162"/>
    </row>
    <row r="195" spans="1:48" s="229" customFormat="1" ht="15" customHeight="1">
      <c r="A195" s="225"/>
      <c r="B195" s="226"/>
      <c r="C195" s="325"/>
      <c r="D195" s="387"/>
      <c r="E195" s="226"/>
      <c r="F195" s="226"/>
      <c r="G195" s="226"/>
      <c r="H195" s="226"/>
    </row>
    <row r="196" spans="1:48" s="187" customFormat="1" ht="15" customHeight="1">
      <c r="A196" s="473"/>
      <c r="B196" s="473"/>
      <c r="C196" s="474" t="s">
        <v>39</v>
      </c>
      <c r="D196" s="839"/>
      <c r="I196" s="210"/>
      <c r="K196" s="136"/>
      <c r="Q196" s="760"/>
      <c r="R196" s="760"/>
      <c r="S196" s="760"/>
      <c r="T196" s="760"/>
      <c r="U196" s="760"/>
      <c r="V196" s="760"/>
      <c r="W196" s="760"/>
      <c r="X196" s="760"/>
    </row>
    <row r="197" spans="1:48" ht="15" customHeight="1">
      <c r="E197" s="112" t="str">
        <f xml:space="preserve"> Kamoto_2011TR!E$57</f>
        <v>Freight, Insurance &amp; Sales 2011TR</v>
      </c>
      <c r="F197" s="112">
        <f xml:space="preserve"> Kamoto_2011TR!F$57</f>
        <v>775.09834364919732</v>
      </c>
      <c r="G197" s="112" t="str">
        <f xml:space="preserve"> Kamoto_2011TR!G$57</f>
        <v>$ / t Cu/Co</v>
      </c>
      <c r="Q197" s="81"/>
      <c r="R197" s="81"/>
      <c r="S197" s="81"/>
      <c r="T197" s="81"/>
      <c r="U197" s="81"/>
      <c r="V197" s="81"/>
      <c r="W197" s="81"/>
      <c r="X197" s="81"/>
    </row>
    <row r="198" spans="1:48" ht="15" customHeight="1">
      <c r="E198" s="523" t="str">
        <f xml:space="preserve"> InputsCon!E$44</f>
        <v>Apply freight, insurance &amp; sales costs 2019TR</v>
      </c>
      <c r="F198" s="524" t="str">
        <f xml:space="preserve"> InputsCon!F$44</f>
        <v>no</v>
      </c>
      <c r="G198" s="523" t="str">
        <f xml:space="preserve"> InputsCon!G$44</f>
        <v>selected</v>
      </c>
      <c r="Q198" s="81"/>
      <c r="R198" s="81"/>
      <c r="S198" s="81"/>
      <c r="T198" s="81"/>
      <c r="U198" s="81"/>
      <c r="V198" s="81"/>
      <c r="W198" s="81"/>
      <c r="X198" s="81"/>
    </row>
    <row r="199" spans="1:48" ht="15" customHeight="1">
      <c r="E199" s="112"/>
      <c r="F199" s="375" t="s">
        <v>654</v>
      </c>
      <c r="G199" s="112" t="s">
        <v>60</v>
      </c>
      <c r="Q199" s="81"/>
      <c r="R199" s="81"/>
      <c r="S199" s="81"/>
      <c r="T199" s="81"/>
      <c r="U199" s="81"/>
      <c r="V199" s="81"/>
      <c r="W199" s="81"/>
      <c r="X199" s="81"/>
    </row>
    <row r="200" spans="1:48" ht="15" customHeight="1">
      <c r="E200" s="112"/>
      <c r="F200" s="375" t="s">
        <v>655</v>
      </c>
      <c r="G200" s="112" t="s">
        <v>60</v>
      </c>
      <c r="Q200" s="81"/>
      <c r="R200" s="81"/>
      <c r="S200" s="81"/>
      <c r="T200" s="81"/>
      <c r="U200" s="81"/>
      <c r="V200" s="81"/>
      <c r="W200" s="81"/>
      <c r="X200" s="81"/>
    </row>
    <row r="201" spans="1:48" ht="15" customHeight="1">
      <c r="E201" s="112"/>
      <c r="F201" s="112"/>
      <c r="G201" s="112"/>
      <c r="Q201" s="81"/>
      <c r="R201" s="81"/>
      <c r="S201" s="81"/>
      <c r="T201" s="81"/>
      <c r="U201" s="81"/>
      <c r="V201" s="81"/>
      <c r="W201" s="81"/>
      <c r="X201" s="81"/>
    </row>
    <row r="202" spans="1:48" ht="15" customHeight="1">
      <c r="E202" s="376" t="s">
        <v>349</v>
      </c>
      <c r="F202" s="377">
        <f xml:space="preserve"> IF(F198 = F199, F197, 0)</f>
        <v>0</v>
      </c>
      <c r="G202" s="376" t="s">
        <v>180</v>
      </c>
      <c r="I202" s="121"/>
      <c r="Q202" s="81"/>
      <c r="R202" s="81"/>
      <c r="S202" s="81"/>
      <c r="T202" s="81"/>
      <c r="U202" s="81"/>
      <c r="V202" s="81"/>
      <c r="W202" s="81"/>
      <c r="X202" s="81"/>
    </row>
    <row r="203" spans="1:48" ht="15" customHeight="1">
      <c r="E203" s="112"/>
      <c r="F203" s="112"/>
      <c r="G203" s="112"/>
      <c r="Q203" s="81"/>
      <c r="R203" s="81"/>
      <c r="S203" s="81"/>
      <c r="T203" s="81"/>
      <c r="U203" s="81"/>
      <c r="V203" s="81"/>
      <c r="W203" s="81"/>
      <c r="X203" s="81"/>
    </row>
    <row r="204" spans="1:48" ht="15" customHeight="1">
      <c r="E204" s="6" t="str">
        <f t="shared" ref="E204:AV204" si="96" xml:space="preserve"> E$165</f>
        <v>Copper production 2022Fs + actuals</v>
      </c>
      <c r="F204" s="6">
        <f t="shared" si="96"/>
        <v>0</v>
      </c>
      <c r="G204" s="6" t="str">
        <f t="shared" si="96"/>
        <v>KT Cu</v>
      </c>
      <c r="H204" s="6">
        <f t="shared" si="96"/>
        <v>0</v>
      </c>
      <c r="I204" s="6">
        <f t="shared" si="96"/>
        <v>0</v>
      </c>
      <c r="J204" s="6">
        <f t="shared" si="96"/>
        <v>1421.0743320093752</v>
      </c>
      <c r="K204" s="6">
        <f t="shared" si="96"/>
        <v>0</v>
      </c>
      <c r="L204" s="6">
        <f t="shared" si="96"/>
        <v>0</v>
      </c>
      <c r="M204" s="6">
        <f t="shared" si="96"/>
        <v>0</v>
      </c>
      <c r="N204" s="6">
        <f t="shared" si="96"/>
        <v>0</v>
      </c>
      <c r="O204" s="6">
        <f t="shared" si="96"/>
        <v>0</v>
      </c>
      <c r="P204" s="6">
        <f t="shared" si="96"/>
        <v>9.2255633513999982</v>
      </c>
      <c r="Q204" s="6">
        <f t="shared" si="96"/>
        <v>95.205768657975369</v>
      </c>
      <c r="R204" s="6">
        <f t="shared" si="96"/>
        <v>80.311999999999998</v>
      </c>
      <c r="S204" s="6">
        <f t="shared" si="96"/>
        <v>94.807000000000002</v>
      </c>
      <c r="T204" s="6">
        <f t="shared" si="96"/>
        <v>97.94</v>
      </c>
      <c r="U204" s="6">
        <f t="shared" si="96"/>
        <v>102.006</v>
      </c>
      <c r="V204" s="6">
        <f t="shared" si="96"/>
        <v>104.669</v>
      </c>
      <c r="W204" s="6">
        <f t="shared" si="96"/>
        <v>105.101</v>
      </c>
      <c r="X204" s="6">
        <f t="shared" si="96"/>
        <v>105.002</v>
      </c>
      <c r="Y204" s="6">
        <f t="shared" si="96"/>
        <v>105.956</v>
      </c>
      <c r="Z204" s="6">
        <f t="shared" si="96"/>
        <v>105.003</v>
      </c>
      <c r="AA204" s="6">
        <f t="shared" si="96"/>
        <v>104.33199999999999</v>
      </c>
      <c r="AB204" s="6">
        <f t="shared" si="96"/>
        <v>105.002</v>
      </c>
      <c r="AC204" s="6">
        <f t="shared" si="96"/>
        <v>104.504</v>
      </c>
      <c r="AD204" s="6">
        <f t="shared" si="96"/>
        <v>102.009</v>
      </c>
      <c r="AE204" s="6">
        <f t="shared" si="96"/>
        <v>0</v>
      </c>
      <c r="AF204" s="6">
        <f t="shared" si="96"/>
        <v>0</v>
      </c>
      <c r="AG204" s="6">
        <f t="shared" si="96"/>
        <v>0</v>
      </c>
      <c r="AH204" s="6">
        <f t="shared" si="96"/>
        <v>0</v>
      </c>
      <c r="AI204" s="6">
        <f t="shared" si="96"/>
        <v>0</v>
      </c>
      <c r="AJ204" s="6">
        <f t="shared" si="96"/>
        <v>0</v>
      </c>
      <c r="AK204" s="6">
        <f t="shared" si="96"/>
        <v>0</v>
      </c>
      <c r="AL204" s="6">
        <f t="shared" si="96"/>
        <v>0</v>
      </c>
      <c r="AM204" s="6">
        <f t="shared" si="96"/>
        <v>0</v>
      </c>
      <c r="AN204" s="6">
        <f t="shared" si="96"/>
        <v>0</v>
      </c>
      <c r="AO204" s="6">
        <f t="shared" si="96"/>
        <v>0</v>
      </c>
      <c r="AP204" s="6">
        <f t="shared" si="96"/>
        <v>0</v>
      </c>
      <c r="AQ204" s="6">
        <f t="shared" si="96"/>
        <v>0</v>
      </c>
      <c r="AR204" s="6">
        <f t="shared" si="96"/>
        <v>0</v>
      </c>
      <c r="AS204" s="6">
        <f t="shared" si="96"/>
        <v>0</v>
      </c>
      <c r="AT204" s="6">
        <f t="shared" si="96"/>
        <v>0</v>
      </c>
      <c r="AU204" s="6">
        <f t="shared" si="96"/>
        <v>0</v>
      </c>
      <c r="AV204" s="6">
        <f t="shared" si="96"/>
        <v>0</v>
      </c>
    </row>
    <row r="205" spans="1:48" s="320" customFormat="1" ht="15" customHeight="1">
      <c r="A205" s="351"/>
      <c r="B205" s="134"/>
      <c r="C205" s="322"/>
      <c r="D205" s="724"/>
      <c r="E205" s="308" t="s">
        <v>42</v>
      </c>
      <c r="F205" s="308"/>
      <c r="G205" s="308" t="s">
        <v>29</v>
      </c>
      <c r="H205" s="308"/>
      <c r="I205" s="308"/>
      <c r="J205" s="308">
        <f xml:space="preserve"> SUM(L205:AV205)</f>
        <v>0</v>
      </c>
      <c r="K205" s="308">
        <f xml:space="preserve"> InputsTS!K$412</f>
        <v>0</v>
      </c>
      <c r="L205" s="308">
        <f t="shared" ref="L205:AV205" si="97" xml:space="preserve"> L204 * $F202 / 10^3</f>
        <v>0</v>
      </c>
      <c r="M205" s="308">
        <f t="shared" si="97"/>
        <v>0</v>
      </c>
      <c r="N205" s="308">
        <f t="shared" si="97"/>
        <v>0</v>
      </c>
      <c r="O205" s="308">
        <f t="shared" si="97"/>
        <v>0</v>
      </c>
      <c r="P205" s="308">
        <f t="shared" si="97"/>
        <v>0</v>
      </c>
      <c r="Q205" s="308">
        <f t="shared" si="97"/>
        <v>0</v>
      </c>
      <c r="R205" s="308">
        <f t="shared" si="97"/>
        <v>0</v>
      </c>
      <c r="S205" s="308">
        <f t="shared" si="97"/>
        <v>0</v>
      </c>
      <c r="T205" s="308">
        <f t="shared" si="97"/>
        <v>0</v>
      </c>
      <c r="U205" s="308">
        <f t="shared" si="97"/>
        <v>0</v>
      </c>
      <c r="V205" s="308">
        <f t="shared" si="97"/>
        <v>0</v>
      </c>
      <c r="W205" s="308">
        <f t="shared" si="97"/>
        <v>0</v>
      </c>
      <c r="X205" s="308">
        <f t="shared" si="97"/>
        <v>0</v>
      </c>
      <c r="Y205" s="308">
        <f t="shared" si="97"/>
        <v>0</v>
      </c>
      <c r="Z205" s="308">
        <f t="shared" si="97"/>
        <v>0</v>
      </c>
      <c r="AA205" s="308">
        <f t="shared" si="97"/>
        <v>0</v>
      </c>
      <c r="AB205" s="308">
        <f t="shared" si="97"/>
        <v>0</v>
      </c>
      <c r="AC205" s="308">
        <f t="shared" si="97"/>
        <v>0</v>
      </c>
      <c r="AD205" s="308">
        <f t="shared" si="97"/>
        <v>0</v>
      </c>
      <c r="AE205" s="308">
        <f t="shared" si="97"/>
        <v>0</v>
      </c>
      <c r="AF205" s="308">
        <f t="shared" si="97"/>
        <v>0</v>
      </c>
      <c r="AG205" s="308">
        <f t="shared" si="97"/>
        <v>0</v>
      </c>
      <c r="AH205" s="308">
        <f t="shared" si="97"/>
        <v>0</v>
      </c>
      <c r="AI205" s="308">
        <f t="shared" si="97"/>
        <v>0</v>
      </c>
      <c r="AJ205" s="308">
        <f t="shared" si="97"/>
        <v>0</v>
      </c>
      <c r="AK205" s="308">
        <f t="shared" si="97"/>
        <v>0</v>
      </c>
      <c r="AL205" s="308">
        <f t="shared" si="97"/>
        <v>0</v>
      </c>
      <c r="AM205" s="308">
        <f t="shared" si="97"/>
        <v>0</v>
      </c>
      <c r="AN205" s="308">
        <f t="shared" si="97"/>
        <v>0</v>
      </c>
      <c r="AO205" s="308">
        <f t="shared" si="97"/>
        <v>0</v>
      </c>
      <c r="AP205" s="308">
        <f t="shared" si="97"/>
        <v>0</v>
      </c>
      <c r="AQ205" s="308">
        <f t="shared" si="97"/>
        <v>0</v>
      </c>
      <c r="AR205" s="308">
        <f t="shared" si="97"/>
        <v>0</v>
      </c>
      <c r="AS205" s="308">
        <f t="shared" si="97"/>
        <v>0</v>
      </c>
      <c r="AT205" s="308">
        <f t="shared" si="97"/>
        <v>0</v>
      </c>
      <c r="AU205" s="308">
        <f t="shared" si="97"/>
        <v>0</v>
      </c>
      <c r="AV205" s="308">
        <f t="shared" si="97"/>
        <v>0</v>
      </c>
    </row>
    <row r="206" spans="1:48" s="320" customFormat="1" ht="15" customHeight="1">
      <c r="A206" s="351"/>
      <c r="B206" s="134"/>
      <c r="C206" s="322"/>
      <c r="D206" s="724"/>
      <c r="E206" s="308"/>
      <c r="F206" s="308"/>
      <c r="G206" s="308"/>
      <c r="H206" s="308"/>
      <c r="I206" s="308"/>
      <c r="J206" s="308"/>
      <c r="K206" s="308"/>
      <c r="L206" s="308"/>
      <c r="M206" s="308"/>
      <c r="N206" s="308"/>
      <c r="O206" s="308"/>
      <c r="P206" s="308"/>
      <c r="Q206" s="308"/>
      <c r="R206" s="308"/>
      <c r="S206" s="308"/>
      <c r="T206" s="308"/>
      <c r="U206" s="308"/>
      <c r="V206" s="308"/>
      <c r="W206" s="308"/>
      <c r="X206" s="308"/>
      <c r="Y206" s="308"/>
      <c r="Z206" s="308"/>
      <c r="AA206" s="308"/>
      <c r="AB206" s="308"/>
      <c r="AC206" s="308"/>
      <c r="AD206" s="308"/>
      <c r="AE206" s="308"/>
      <c r="AF206" s="308"/>
      <c r="AG206" s="308"/>
      <c r="AH206" s="308"/>
      <c r="AI206" s="308"/>
      <c r="AJ206" s="308"/>
      <c r="AK206" s="308"/>
      <c r="AL206" s="308"/>
      <c r="AM206" s="308"/>
      <c r="AN206" s="308"/>
      <c r="AO206" s="308"/>
      <c r="AP206" s="308"/>
      <c r="AQ206" s="308"/>
      <c r="AR206" s="308"/>
      <c r="AS206" s="308"/>
      <c r="AT206" s="308"/>
      <c r="AU206" s="308"/>
      <c r="AV206" s="308"/>
    </row>
    <row r="207" spans="1:48" s="320" customFormat="1" ht="15" customHeight="1">
      <c r="A207" s="351"/>
      <c r="B207" s="134"/>
      <c r="C207" s="322"/>
      <c r="D207" s="724"/>
      <c r="E207" s="308" t="str">
        <f t="shared" ref="E207:AV207" si="98" xml:space="preserve"> E$179</f>
        <v xml:space="preserve">Cobalt production 2022FS + actuals </v>
      </c>
      <c r="F207" s="308">
        <f t="shared" si="98"/>
        <v>0</v>
      </c>
      <c r="G207" s="308" t="str">
        <f t="shared" si="98"/>
        <v>KT</v>
      </c>
      <c r="H207" s="308">
        <f t="shared" si="98"/>
        <v>0</v>
      </c>
      <c r="I207" s="308">
        <f t="shared" si="98"/>
        <v>0</v>
      </c>
      <c r="J207" s="308">
        <f t="shared" si="98"/>
        <v>280.82510633243999</v>
      </c>
      <c r="K207" s="308">
        <f t="shared" si="98"/>
        <v>0</v>
      </c>
      <c r="L207" s="308">
        <f t="shared" si="98"/>
        <v>0</v>
      </c>
      <c r="M207" s="308">
        <f t="shared" si="98"/>
        <v>0</v>
      </c>
      <c r="N207" s="308">
        <f t="shared" si="98"/>
        <v>0</v>
      </c>
      <c r="O207" s="308">
        <f t="shared" si="98"/>
        <v>0</v>
      </c>
      <c r="P207" s="308">
        <f t="shared" si="98"/>
        <v>0.20840302079999998</v>
      </c>
      <c r="Q207" s="308">
        <f t="shared" si="98"/>
        <v>18.932703311639997</v>
      </c>
      <c r="R207" s="308">
        <f t="shared" si="98"/>
        <v>16.391999999999999</v>
      </c>
      <c r="S207" s="308">
        <f t="shared" si="98"/>
        <v>20.74</v>
      </c>
      <c r="T207" s="308">
        <f t="shared" si="98"/>
        <v>22.472999999999999</v>
      </c>
      <c r="U207" s="308">
        <f t="shared" si="98"/>
        <v>20.558</v>
      </c>
      <c r="V207" s="308">
        <f t="shared" si="98"/>
        <v>20.343</v>
      </c>
      <c r="W207" s="308">
        <f t="shared" si="98"/>
        <v>20.257000000000001</v>
      </c>
      <c r="X207" s="308">
        <f t="shared" si="98"/>
        <v>19.748999999999999</v>
      </c>
      <c r="Y207" s="308">
        <f t="shared" si="98"/>
        <v>18.649999999999999</v>
      </c>
      <c r="Z207" s="308">
        <f t="shared" si="98"/>
        <v>20.103999999999999</v>
      </c>
      <c r="AA207" s="308">
        <f t="shared" si="98"/>
        <v>20.074999999999999</v>
      </c>
      <c r="AB207" s="308">
        <f t="shared" si="98"/>
        <v>18.96</v>
      </c>
      <c r="AC207" s="308">
        <f t="shared" si="98"/>
        <v>21.318999999999999</v>
      </c>
      <c r="AD207" s="308">
        <f t="shared" si="98"/>
        <v>22.064</v>
      </c>
      <c r="AE207" s="308">
        <f t="shared" si="98"/>
        <v>0</v>
      </c>
      <c r="AF207" s="308">
        <f t="shared" si="98"/>
        <v>0</v>
      </c>
      <c r="AG207" s="308">
        <f t="shared" si="98"/>
        <v>0</v>
      </c>
      <c r="AH207" s="308">
        <f t="shared" si="98"/>
        <v>0</v>
      </c>
      <c r="AI207" s="308">
        <f t="shared" si="98"/>
        <v>0</v>
      </c>
      <c r="AJ207" s="308">
        <f t="shared" si="98"/>
        <v>0</v>
      </c>
      <c r="AK207" s="308">
        <f t="shared" si="98"/>
        <v>0</v>
      </c>
      <c r="AL207" s="308">
        <f t="shared" si="98"/>
        <v>0</v>
      </c>
      <c r="AM207" s="308">
        <f t="shared" si="98"/>
        <v>0</v>
      </c>
      <c r="AN207" s="308">
        <f t="shared" si="98"/>
        <v>0</v>
      </c>
      <c r="AO207" s="308">
        <f t="shared" si="98"/>
        <v>0</v>
      </c>
      <c r="AP207" s="308">
        <f t="shared" si="98"/>
        <v>0</v>
      </c>
      <c r="AQ207" s="308">
        <f t="shared" si="98"/>
        <v>0</v>
      </c>
      <c r="AR207" s="308">
        <f t="shared" si="98"/>
        <v>0</v>
      </c>
      <c r="AS207" s="308">
        <f t="shared" si="98"/>
        <v>0</v>
      </c>
      <c r="AT207" s="308">
        <f t="shared" si="98"/>
        <v>0</v>
      </c>
      <c r="AU207" s="308">
        <f t="shared" si="98"/>
        <v>0</v>
      </c>
      <c r="AV207" s="308">
        <f t="shared" si="98"/>
        <v>0</v>
      </c>
    </row>
    <row r="208" spans="1:48" s="320" customFormat="1" ht="15" customHeight="1">
      <c r="A208" s="351"/>
      <c r="B208" s="134"/>
      <c r="C208" s="322"/>
      <c r="D208" s="724"/>
      <c r="E208" s="678" t="str">
        <f xml:space="preserve"> 'T&amp;E'!E$36</f>
        <v>USD CPI Inflation (incl forecast) from 2025</v>
      </c>
      <c r="F208" s="678">
        <f xml:space="preserve"> 'T&amp;E'!F$36</f>
        <v>0</v>
      </c>
      <c r="G208" s="678" t="str">
        <f xml:space="preserve"> 'T&amp;E'!G$36</f>
        <v>index</v>
      </c>
      <c r="H208" s="678">
        <f xml:space="preserve"> 'T&amp;E'!H$36</f>
        <v>0</v>
      </c>
      <c r="I208" s="678">
        <f xml:space="preserve"> 'T&amp;E'!I$36</f>
        <v>0</v>
      </c>
      <c r="J208" s="678">
        <f xml:space="preserve"> 'T&amp;E'!J$36</f>
        <v>0</v>
      </c>
      <c r="K208" s="678">
        <f xml:space="preserve"> 'T&amp;E'!K$36</f>
        <v>0</v>
      </c>
      <c r="L208" s="678">
        <f xml:space="preserve"> 'T&amp;E'!L$36</f>
        <v>1</v>
      </c>
      <c r="M208" s="678">
        <f xml:space="preserve"> 'T&amp;E'!M$36</f>
        <v>1</v>
      </c>
      <c r="N208" s="678">
        <f xml:space="preserve"> 'T&amp;E'!N$36</f>
        <v>1</v>
      </c>
      <c r="O208" s="678">
        <f xml:space="preserve"> 'T&amp;E'!O$36</f>
        <v>1</v>
      </c>
      <c r="P208" s="678">
        <f xml:space="preserve"> 'T&amp;E'!P$36</f>
        <v>1</v>
      </c>
      <c r="Q208" s="678">
        <f xml:space="preserve"> 'T&amp;E'!Q$36</f>
        <v>1</v>
      </c>
      <c r="R208" s="678">
        <f xml:space="preserve"> 'T&amp;E'!R$36</f>
        <v>1</v>
      </c>
      <c r="S208" s="678">
        <f xml:space="preserve"> 'T&amp;E'!S$36</f>
        <v>1</v>
      </c>
      <c r="T208" s="678">
        <f xml:space="preserve"> 'T&amp;E'!T$36</f>
        <v>1</v>
      </c>
      <c r="U208" s="678">
        <f xml:space="preserve"> 'T&amp;E'!U$36</f>
        <v>1</v>
      </c>
      <c r="V208" s="678">
        <f xml:space="preserve"> 'T&amp;E'!V$36</f>
        <v>1</v>
      </c>
      <c r="W208" s="678">
        <f xml:space="preserve"> 'T&amp;E'!W$36</f>
        <v>1</v>
      </c>
      <c r="X208" s="678">
        <f xml:space="preserve"> 'T&amp;E'!X$36</f>
        <v>1.0246540997307085</v>
      </c>
      <c r="Y208" s="678">
        <f xml:space="preserve"> 'T&amp;E'!Y$36</f>
        <v>1.0462778964311141</v>
      </c>
      <c r="Z208" s="678">
        <f xml:space="preserve"> 'T&amp;E'!Z$36</f>
        <v>1.0688302844584765</v>
      </c>
      <c r="AA208" s="678">
        <f xml:space="preserve"> 'T&amp;E'!AA$36</f>
        <v>1.0920141145881699</v>
      </c>
      <c r="AB208" s="678">
        <f xml:space="preserve"> 'T&amp;E'!AB$36</f>
        <v>1.1157643854273069</v>
      </c>
      <c r="AC208" s="678">
        <f xml:space="preserve"> 'T&amp;E'!AC$36</f>
        <v>1.1380796731358531</v>
      </c>
      <c r="AD208" s="678">
        <f xml:space="preserve"> 'T&amp;E'!AD$36</f>
        <v>1.1608412665985701</v>
      </c>
      <c r="AE208" s="678">
        <f xml:space="preserve"> 'T&amp;E'!AE$36</f>
        <v>1.1840580919305417</v>
      </c>
      <c r="AF208" s="678">
        <f xml:space="preserve"> 'T&amp;E'!AF$36</f>
        <v>1.2077392537691523</v>
      </c>
      <c r="AG208" s="678">
        <f xml:space="preserve"> 'T&amp;E'!AG$36</f>
        <v>1.2318940388445354</v>
      </c>
      <c r="AH208" s="678">
        <f xml:space="preserve"> 'T&amp;E'!AH$36</f>
        <v>1.2565319196214262</v>
      </c>
      <c r="AI208" s="678">
        <f xml:space="preserve"> 'T&amp;E'!AI$36</f>
        <v>1.2816625580138548</v>
      </c>
      <c r="AJ208" s="678">
        <f xml:space="preserve"> 'T&amp;E'!AJ$36</f>
        <v>1.307295809174132</v>
      </c>
      <c r="AK208" s="678">
        <f xml:space="preserve"> 'T&amp;E'!AK$36</f>
        <v>1.3334417253576147</v>
      </c>
      <c r="AL208" s="678">
        <f xml:space="preserve"> 'T&amp;E'!AL$36</f>
        <v>1.3601105598647669</v>
      </c>
      <c r="AM208" s="678">
        <f xml:space="preserve"> 'T&amp;E'!AM$36</f>
        <v>1.3873127710620623</v>
      </c>
      <c r="AN208" s="678">
        <f xml:space="preserve"> 'T&amp;E'!AN$36</f>
        <v>1.4150590264833036</v>
      </c>
      <c r="AO208" s="678">
        <f xml:space="preserve"> 'T&amp;E'!AO$36</f>
        <v>1.4433602070129699</v>
      </c>
      <c r="AP208" s="678">
        <f xml:space="preserve"> 'T&amp;E'!AP$36</f>
        <v>1.4722274111532292</v>
      </c>
      <c r="AQ208" s="678">
        <f xml:space="preserve"> 'T&amp;E'!AQ$36</f>
        <v>1.5016719593762937</v>
      </c>
      <c r="AR208" s="678">
        <f xml:space="preserve"> 'T&amp;E'!AR$36</f>
        <v>1.5317053985638196</v>
      </c>
      <c r="AS208" s="678">
        <f xml:space="preserve"> 'T&amp;E'!AS$36</f>
        <v>1.562339506535096</v>
      </c>
      <c r="AT208" s="678">
        <f xml:space="preserve"> 'T&amp;E'!AT$36</f>
        <v>1.5935862966657983</v>
      </c>
      <c r="AU208" s="678">
        <f xml:space="preserve"> 'T&amp;E'!AU$36</f>
        <v>1.6254580225991142</v>
      </c>
      <c r="AV208" s="678">
        <f xml:space="preserve"> 'T&amp;E'!AV$36</f>
        <v>1.6579671830510965</v>
      </c>
    </row>
    <row r="209" spans="1:48" s="320" customFormat="1" ht="15" customHeight="1">
      <c r="A209" s="351"/>
      <c r="B209" s="134"/>
      <c r="C209" s="322"/>
      <c r="D209" s="724"/>
      <c r="E209" s="308" t="s">
        <v>43</v>
      </c>
      <c r="F209" s="308"/>
      <c r="G209" s="308" t="s">
        <v>29</v>
      </c>
      <c r="H209" s="308"/>
      <c r="I209" s="308"/>
      <c r="J209" s="308">
        <f xml:space="preserve"> SUM(L209:AV209)</f>
        <v>0</v>
      </c>
      <c r="K209" s="308"/>
      <c r="L209" s="308">
        <f t="shared" ref="L209:AV209" si="99" xml:space="preserve"> L207 * $F202 / 10^3 * L208</f>
        <v>0</v>
      </c>
      <c r="M209" s="308">
        <f t="shared" si="99"/>
        <v>0</v>
      </c>
      <c r="N209" s="308">
        <f t="shared" si="99"/>
        <v>0</v>
      </c>
      <c r="O209" s="308">
        <f t="shared" si="99"/>
        <v>0</v>
      </c>
      <c r="P209" s="308">
        <f t="shared" si="99"/>
        <v>0</v>
      </c>
      <c r="Q209" s="308">
        <f t="shared" si="99"/>
        <v>0</v>
      </c>
      <c r="R209" s="308">
        <f t="shared" si="99"/>
        <v>0</v>
      </c>
      <c r="S209" s="308">
        <f t="shared" si="99"/>
        <v>0</v>
      </c>
      <c r="T209" s="308">
        <f t="shared" si="99"/>
        <v>0</v>
      </c>
      <c r="U209" s="308">
        <f t="shared" si="99"/>
        <v>0</v>
      </c>
      <c r="V209" s="308">
        <f t="shared" si="99"/>
        <v>0</v>
      </c>
      <c r="W209" s="308">
        <f t="shared" si="99"/>
        <v>0</v>
      </c>
      <c r="X209" s="308">
        <f t="shared" si="99"/>
        <v>0</v>
      </c>
      <c r="Y209" s="308">
        <f t="shared" si="99"/>
        <v>0</v>
      </c>
      <c r="Z209" s="308">
        <f t="shared" si="99"/>
        <v>0</v>
      </c>
      <c r="AA209" s="308">
        <f t="shared" si="99"/>
        <v>0</v>
      </c>
      <c r="AB209" s="308">
        <f t="shared" si="99"/>
        <v>0</v>
      </c>
      <c r="AC209" s="308">
        <f t="shared" si="99"/>
        <v>0</v>
      </c>
      <c r="AD209" s="308">
        <f t="shared" si="99"/>
        <v>0</v>
      </c>
      <c r="AE209" s="308">
        <f t="shared" si="99"/>
        <v>0</v>
      </c>
      <c r="AF209" s="308">
        <f t="shared" si="99"/>
        <v>0</v>
      </c>
      <c r="AG209" s="308">
        <f t="shared" si="99"/>
        <v>0</v>
      </c>
      <c r="AH209" s="308">
        <f t="shared" si="99"/>
        <v>0</v>
      </c>
      <c r="AI209" s="308">
        <f t="shared" si="99"/>
        <v>0</v>
      </c>
      <c r="AJ209" s="308">
        <f t="shared" si="99"/>
        <v>0</v>
      </c>
      <c r="AK209" s="308">
        <f t="shared" si="99"/>
        <v>0</v>
      </c>
      <c r="AL209" s="308">
        <f t="shared" si="99"/>
        <v>0</v>
      </c>
      <c r="AM209" s="308">
        <f t="shared" si="99"/>
        <v>0</v>
      </c>
      <c r="AN209" s="308">
        <f t="shared" si="99"/>
        <v>0</v>
      </c>
      <c r="AO209" s="308">
        <f t="shared" si="99"/>
        <v>0</v>
      </c>
      <c r="AP209" s="308">
        <f t="shared" si="99"/>
        <v>0</v>
      </c>
      <c r="AQ209" s="308">
        <f t="shared" si="99"/>
        <v>0</v>
      </c>
      <c r="AR209" s="308">
        <f t="shared" si="99"/>
        <v>0</v>
      </c>
      <c r="AS209" s="308">
        <f t="shared" si="99"/>
        <v>0</v>
      </c>
      <c r="AT209" s="308">
        <f t="shared" si="99"/>
        <v>0</v>
      </c>
      <c r="AU209" s="308">
        <f t="shared" si="99"/>
        <v>0</v>
      </c>
      <c r="AV209" s="308">
        <f t="shared" si="99"/>
        <v>0</v>
      </c>
    </row>
    <row r="210" spans="1:48" s="320" customFormat="1" ht="15" customHeight="1">
      <c r="A210" s="351"/>
      <c r="B210" s="134"/>
      <c r="C210" s="322"/>
      <c r="D210" s="724"/>
      <c r="E210" s="308"/>
      <c r="F210" s="308"/>
      <c r="G210" s="308"/>
      <c r="H210" s="308"/>
      <c r="I210" s="308"/>
      <c r="J210" s="308"/>
      <c r="K210" s="308"/>
      <c r="L210" s="308"/>
      <c r="M210" s="308"/>
      <c r="N210" s="308"/>
      <c r="O210" s="308"/>
      <c r="P210" s="308"/>
      <c r="Q210" s="308"/>
      <c r="R210" s="308"/>
      <c r="S210" s="308"/>
      <c r="T210" s="308"/>
      <c r="U210" s="308"/>
      <c r="V210" s="308"/>
      <c r="W210" s="308"/>
      <c r="X210" s="308"/>
      <c r="Y210" s="308"/>
      <c r="Z210" s="308"/>
      <c r="AA210" s="308"/>
      <c r="AB210" s="308"/>
      <c r="AC210" s="308"/>
      <c r="AD210" s="308"/>
      <c r="AE210" s="308"/>
      <c r="AF210" s="308"/>
      <c r="AG210" s="308"/>
      <c r="AH210" s="308"/>
      <c r="AI210" s="308"/>
      <c r="AJ210" s="308"/>
      <c r="AK210" s="308"/>
      <c r="AL210" s="308"/>
      <c r="AM210" s="308"/>
      <c r="AN210" s="308"/>
      <c r="AO210" s="308"/>
      <c r="AP210" s="308"/>
      <c r="AQ210" s="308"/>
      <c r="AR210" s="308"/>
      <c r="AS210" s="308"/>
      <c r="AT210" s="308"/>
      <c r="AU210" s="308"/>
      <c r="AV210" s="308"/>
    </row>
    <row r="211" spans="1:48" s="320" customFormat="1" ht="15" customHeight="1">
      <c r="A211" s="351"/>
      <c r="B211" s="134"/>
      <c r="C211" s="322"/>
      <c r="D211" s="724"/>
      <c r="E211" s="308" t="s">
        <v>663</v>
      </c>
      <c r="F211" s="308"/>
      <c r="G211" s="308" t="str">
        <f xml:space="preserve"> G205</f>
        <v>$ mn</v>
      </c>
      <c r="H211" s="308"/>
      <c r="I211" s="308"/>
      <c r="J211" s="308">
        <f xml:space="preserve"> SUM(L211:AV211)</f>
        <v>0</v>
      </c>
      <c r="K211" s="308"/>
      <c r="L211" s="308">
        <f t="shared" ref="L211:AV211" si="100" xml:space="preserve"> L205 + L209</f>
        <v>0</v>
      </c>
      <c r="M211" s="308">
        <f t="shared" si="100"/>
        <v>0</v>
      </c>
      <c r="N211" s="308">
        <f t="shared" si="100"/>
        <v>0</v>
      </c>
      <c r="O211" s="308">
        <f t="shared" si="100"/>
        <v>0</v>
      </c>
      <c r="P211" s="308">
        <f t="shared" si="100"/>
        <v>0</v>
      </c>
      <c r="Q211" s="308">
        <f t="shared" si="100"/>
        <v>0</v>
      </c>
      <c r="R211" s="308">
        <f t="shared" si="100"/>
        <v>0</v>
      </c>
      <c r="S211" s="308">
        <f t="shared" si="100"/>
        <v>0</v>
      </c>
      <c r="T211" s="308">
        <f t="shared" si="100"/>
        <v>0</v>
      </c>
      <c r="U211" s="308">
        <f t="shared" si="100"/>
        <v>0</v>
      </c>
      <c r="V211" s="308">
        <f t="shared" si="100"/>
        <v>0</v>
      </c>
      <c r="W211" s="308">
        <f t="shared" si="100"/>
        <v>0</v>
      </c>
      <c r="X211" s="308">
        <f t="shared" si="100"/>
        <v>0</v>
      </c>
      <c r="Y211" s="308">
        <f t="shared" si="100"/>
        <v>0</v>
      </c>
      <c r="Z211" s="308">
        <f t="shared" si="100"/>
        <v>0</v>
      </c>
      <c r="AA211" s="308">
        <f t="shared" si="100"/>
        <v>0</v>
      </c>
      <c r="AB211" s="308">
        <f t="shared" si="100"/>
        <v>0</v>
      </c>
      <c r="AC211" s="308">
        <f t="shared" si="100"/>
        <v>0</v>
      </c>
      <c r="AD211" s="308">
        <f t="shared" si="100"/>
        <v>0</v>
      </c>
      <c r="AE211" s="308">
        <f t="shared" si="100"/>
        <v>0</v>
      </c>
      <c r="AF211" s="308">
        <f t="shared" si="100"/>
        <v>0</v>
      </c>
      <c r="AG211" s="308">
        <f t="shared" si="100"/>
        <v>0</v>
      </c>
      <c r="AH211" s="308">
        <f t="shared" si="100"/>
        <v>0</v>
      </c>
      <c r="AI211" s="308">
        <f t="shared" si="100"/>
        <v>0</v>
      </c>
      <c r="AJ211" s="308">
        <f t="shared" si="100"/>
        <v>0</v>
      </c>
      <c r="AK211" s="308">
        <f t="shared" si="100"/>
        <v>0</v>
      </c>
      <c r="AL211" s="308">
        <f t="shared" si="100"/>
        <v>0</v>
      </c>
      <c r="AM211" s="308">
        <f t="shared" si="100"/>
        <v>0</v>
      </c>
      <c r="AN211" s="308">
        <f t="shared" si="100"/>
        <v>0</v>
      </c>
      <c r="AO211" s="308">
        <f t="shared" si="100"/>
        <v>0</v>
      </c>
      <c r="AP211" s="308">
        <f t="shared" si="100"/>
        <v>0</v>
      </c>
      <c r="AQ211" s="308">
        <f t="shared" si="100"/>
        <v>0</v>
      </c>
      <c r="AR211" s="308">
        <f t="shared" si="100"/>
        <v>0</v>
      </c>
      <c r="AS211" s="308">
        <f t="shared" si="100"/>
        <v>0</v>
      </c>
      <c r="AT211" s="308">
        <f t="shared" si="100"/>
        <v>0</v>
      </c>
      <c r="AU211" s="308">
        <f t="shared" si="100"/>
        <v>0</v>
      </c>
      <c r="AV211" s="308">
        <f t="shared" si="100"/>
        <v>0</v>
      </c>
    </row>
    <row r="212" spans="1:48" s="320" customFormat="1" ht="15" customHeight="1">
      <c r="A212" s="351"/>
      <c r="B212" s="134"/>
      <c r="C212" s="322"/>
      <c r="D212" s="724"/>
      <c r="E212" s="308"/>
      <c r="F212" s="308"/>
      <c r="G212" s="308"/>
      <c r="H212" s="308"/>
      <c r="I212" s="308"/>
      <c r="J212" s="308"/>
      <c r="K212" s="308"/>
      <c r="L212" s="308"/>
      <c r="M212" s="308"/>
      <c r="N212" s="308"/>
      <c r="O212" s="308"/>
      <c r="P212" s="308"/>
      <c r="Q212" s="308"/>
      <c r="R212" s="308"/>
      <c r="S212" s="308"/>
      <c r="T212" s="308"/>
      <c r="U212" s="308"/>
      <c r="V212" s="308"/>
      <c r="W212" s="308"/>
      <c r="X212" s="308"/>
      <c r="Y212" s="308"/>
      <c r="Z212" s="308"/>
      <c r="AA212" s="308"/>
      <c r="AB212" s="308"/>
      <c r="AC212" s="308"/>
      <c r="AD212" s="308"/>
      <c r="AE212" s="308"/>
      <c r="AF212" s="308"/>
      <c r="AG212" s="308"/>
      <c r="AH212" s="308"/>
      <c r="AI212" s="308"/>
      <c r="AJ212" s="308"/>
      <c r="AK212" s="308"/>
      <c r="AL212" s="308"/>
      <c r="AM212" s="308"/>
      <c r="AN212" s="308"/>
      <c r="AO212" s="308"/>
      <c r="AP212" s="308"/>
      <c r="AQ212" s="308"/>
      <c r="AR212" s="308"/>
      <c r="AS212" s="308"/>
      <c r="AT212" s="308"/>
      <c r="AU212" s="308"/>
      <c r="AV212" s="308"/>
    </row>
    <row r="213" spans="1:48" s="320" customFormat="1" ht="15" customHeight="1">
      <c r="A213" s="351"/>
      <c r="B213" s="134"/>
      <c r="C213" s="322" t="s">
        <v>44</v>
      </c>
      <c r="D213" s="724"/>
      <c r="E213" s="308"/>
      <c r="F213" s="308"/>
      <c r="G213" s="308"/>
      <c r="H213" s="308"/>
      <c r="I213" s="308"/>
      <c r="J213" s="308"/>
      <c r="K213" s="308"/>
      <c r="L213" s="308"/>
      <c r="M213" s="308"/>
      <c r="N213" s="308"/>
      <c r="O213" s="308"/>
      <c r="P213" s="308"/>
      <c r="Q213" s="308"/>
      <c r="R213" s="308"/>
      <c r="S213" s="308"/>
      <c r="T213" s="308"/>
      <c r="U213" s="308"/>
      <c r="V213" s="308"/>
      <c r="W213" s="308"/>
      <c r="X213" s="308"/>
      <c r="Y213" s="308"/>
      <c r="Z213" s="308"/>
      <c r="AA213" s="308"/>
      <c r="AB213" s="308"/>
      <c r="AC213" s="308"/>
      <c r="AD213" s="308"/>
      <c r="AE213" s="308"/>
      <c r="AF213" s="308"/>
      <c r="AG213" s="308"/>
      <c r="AH213" s="308"/>
      <c r="AI213" s="308"/>
      <c r="AJ213" s="308"/>
      <c r="AK213" s="308"/>
      <c r="AL213" s="308"/>
      <c r="AM213" s="308"/>
      <c r="AN213" s="308"/>
      <c r="AO213" s="308"/>
      <c r="AP213" s="308"/>
      <c r="AQ213" s="308"/>
      <c r="AR213" s="308"/>
      <c r="AS213" s="308"/>
      <c r="AT213" s="308"/>
      <c r="AU213" s="308"/>
      <c r="AV213" s="308"/>
    </row>
    <row r="214" spans="1:48" s="320" customFormat="1" ht="15" customHeight="1">
      <c r="A214" s="351"/>
      <c r="B214" s="134"/>
      <c r="C214" s="322"/>
      <c r="D214" s="724"/>
      <c r="E214" s="308" t="s">
        <v>45</v>
      </c>
      <c r="F214" s="308"/>
      <c r="G214" s="308" t="s">
        <v>29</v>
      </c>
      <c r="H214" s="308"/>
      <c r="I214" s="308"/>
      <c r="J214" s="308">
        <f xml:space="preserve"> SUM(L214:AV214)</f>
        <v>11467.694807333486</v>
      </c>
      <c r="K214" s="308"/>
      <c r="L214" s="308">
        <f t="shared" ref="L214:AV214" si="101" xml:space="preserve"> L174 - L205</f>
        <v>0</v>
      </c>
      <c r="M214" s="308">
        <f t="shared" si="101"/>
        <v>0</v>
      </c>
      <c r="N214" s="308">
        <f t="shared" si="101"/>
        <v>0</v>
      </c>
      <c r="O214" s="308">
        <f t="shared" si="101"/>
        <v>0</v>
      </c>
      <c r="P214" s="308">
        <f t="shared" si="101"/>
        <v>56.882825869581119</v>
      </c>
      <c r="Q214" s="308">
        <f t="shared" si="101"/>
        <v>537.90040239011887</v>
      </c>
      <c r="R214" s="308">
        <f t="shared" si="101"/>
        <v>466.86178216090872</v>
      </c>
      <c r="S214" s="308">
        <f t="shared" si="101"/>
        <v>846.94161577854641</v>
      </c>
      <c r="T214" s="308">
        <f t="shared" si="101"/>
        <v>827.43128123694396</v>
      </c>
      <c r="U214" s="308">
        <f t="shared" si="101"/>
        <v>827.53678415828165</v>
      </c>
      <c r="V214" s="308">
        <f t="shared" si="101"/>
        <v>855.37158418205354</v>
      </c>
      <c r="W214" s="308">
        <f t="shared" si="101"/>
        <v>870.43262455927129</v>
      </c>
      <c r="X214" s="308">
        <f t="shared" si="101"/>
        <v>871.18297689339511</v>
      </c>
      <c r="Y214" s="308">
        <f t="shared" si="101"/>
        <v>878.19958614320012</v>
      </c>
      <c r="Z214" s="308">
        <f t="shared" si="101"/>
        <v>869.03680141350003</v>
      </c>
      <c r="AA214" s="308">
        <f t="shared" si="101"/>
        <v>864.81700401760008</v>
      </c>
      <c r="AB214" s="308">
        <f t="shared" si="101"/>
        <v>890.0243598372424</v>
      </c>
      <c r="AC214" s="308">
        <f t="shared" si="101"/>
        <v>904.18180084522714</v>
      </c>
      <c r="AD214" s="308">
        <f t="shared" si="101"/>
        <v>900.89337784761744</v>
      </c>
      <c r="AE214" s="308">
        <f t="shared" si="101"/>
        <v>0</v>
      </c>
      <c r="AF214" s="308">
        <f t="shared" si="101"/>
        <v>0</v>
      </c>
      <c r="AG214" s="308">
        <f t="shared" si="101"/>
        <v>0</v>
      </c>
      <c r="AH214" s="308">
        <f t="shared" si="101"/>
        <v>0</v>
      </c>
      <c r="AI214" s="308">
        <f t="shared" si="101"/>
        <v>0</v>
      </c>
      <c r="AJ214" s="308">
        <f t="shared" si="101"/>
        <v>0</v>
      </c>
      <c r="AK214" s="308">
        <f t="shared" si="101"/>
        <v>0</v>
      </c>
      <c r="AL214" s="308">
        <f t="shared" si="101"/>
        <v>0</v>
      </c>
      <c r="AM214" s="308">
        <f t="shared" si="101"/>
        <v>0</v>
      </c>
      <c r="AN214" s="308">
        <f t="shared" si="101"/>
        <v>0</v>
      </c>
      <c r="AO214" s="308">
        <f t="shared" si="101"/>
        <v>0</v>
      </c>
      <c r="AP214" s="308">
        <f t="shared" si="101"/>
        <v>0</v>
      </c>
      <c r="AQ214" s="308">
        <f t="shared" si="101"/>
        <v>0</v>
      </c>
      <c r="AR214" s="308">
        <f t="shared" si="101"/>
        <v>0</v>
      </c>
      <c r="AS214" s="308">
        <f t="shared" si="101"/>
        <v>0</v>
      </c>
      <c r="AT214" s="308">
        <f t="shared" si="101"/>
        <v>0</v>
      </c>
      <c r="AU214" s="308">
        <f t="shared" si="101"/>
        <v>0</v>
      </c>
      <c r="AV214" s="308">
        <f t="shared" si="101"/>
        <v>0</v>
      </c>
    </row>
    <row r="215" spans="1:48" s="320" customFormat="1" ht="15" customHeight="1">
      <c r="A215" s="351"/>
      <c r="B215" s="134"/>
      <c r="C215" s="322"/>
      <c r="D215" s="724"/>
      <c r="E215" s="308" t="s">
        <v>46</v>
      </c>
      <c r="F215" s="308"/>
      <c r="G215" s="308" t="s">
        <v>29</v>
      </c>
      <c r="H215" s="308"/>
      <c r="I215" s="308"/>
      <c r="J215" s="308">
        <f xml:space="preserve"> SUM(L215:AV215)</f>
        <v>7544.2272910711363</v>
      </c>
      <c r="K215" s="308"/>
      <c r="L215" s="308">
        <f t="shared" ref="L215:AV215" si="102" xml:space="preserve"> L184 - L209</f>
        <v>0</v>
      </c>
      <c r="M215" s="308">
        <f t="shared" si="102"/>
        <v>0</v>
      </c>
      <c r="N215" s="308">
        <f t="shared" si="102"/>
        <v>0</v>
      </c>
      <c r="O215" s="308">
        <f t="shared" si="102"/>
        <v>0</v>
      </c>
      <c r="P215" s="308">
        <f t="shared" si="102"/>
        <v>10.253428059846346</v>
      </c>
      <c r="Q215" s="308">
        <f t="shared" si="102"/>
        <v>408.69518197966062</v>
      </c>
      <c r="R215" s="308">
        <f t="shared" si="102"/>
        <v>334.11109565874864</v>
      </c>
      <c r="S215" s="308">
        <f t="shared" si="102"/>
        <v>707.98561665940747</v>
      </c>
      <c r="T215" s="308">
        <f t="shared" si="102"/>
        <v>962.82272674877015</v>
      </c>
      <c r="U215" s="308">
        <f t="shared" si="102"/>
        <v>459.45869682312974</v>
      </c>
      <c r="V215" s="308">
        <f t="shared" si="102"/>
        <v>342.2851374481404</v>
      </c>
      <c r="W215" s="308">
        <f t="shared" si="102"/>
        <v>533.32637908197103</v>
      </c>
      <c r="X215" s="308">
        <f t="shared" si="102"/>
        <v>519.95175299846198</v>
      </c>
      <c r="Y215" s="308">
        <f t="shared" si="102"/>
        <v>491.01727649102816</v>
      </c>
      <c r="Z215" s="308">
        <f t="shared" si="102"/>
        <v>529.29819445445742</v>
      </c>
      <c r="AA215" s="308">
        <f t="shared" si="102"/>
        <v>528.53468233551689</v>
      </c>
      <c r="AB215" s="308">
        <f t="shared" si="102"/>
        <v>510.64196185793799</v>
      </c>
      <c r="AC215" s="308">
        <f t="shared" si="102"/>
        <v>586.28641494261217</v>
      </c>
      <c r="AD215" s="308">
        <f t="shared" si="102"/>
        <v>619.55874553144668</v>
      </c>
      <c r="AE215" s="308">
        <f t="shared" si="102"/>
        <v>0</v>
      </c>
      <c r="AF215" s="308">
        <f t="shared" si="102"/>
        <v>0</v>
      </c>
      <c r="AG215" s="308">
        <f t="shared" si="102"/>
        <v>0</v>
      </c>
      <c r="AH215" s="308">
        <f t="shared" si="102"/>
        <v>0</v>
      </c>
      <c r="AI215" s="308">
        <f t="shared" si="102"/>
        <v>0</v>
      </c>
      <c r="AJ215" s="308">
        <f t="shared" si="102"/>
        <v>0</v>
      </c>
      <c r="AK215" s="308">
        <f t="shared" si="102"/>
        <v>0</v>
      </c>
      <c r="AL215" s="308">
        <f t="shared" si="102"/>
        <v>0</v>
      </c>
      <c r="AM215" s="308">
        <f t="shared" si="102"/>
        <v>0</v>
      </c>
      <c r="AN215" s="308">
        <f t="shared" si="102"/>
        <v>0</v>
      </c>
      <c r="AO215" s="308">
        <f t="shared" si="102"/>
        <v>0</v>
      </c>
      <c r="AP215" s="308">
        <f t="shared" si="102"/>
        <v>0</v>
      </c>
      <c r="AQ215" s="308">
        <f t="shared" si="102"/>
        <v>0</v>
      </c>
      <c r="AR215" s="308">
        <f t="shared" si="102"/>
        <v>0</v>
      </c>
      <c r="AS215" s="308">
        <f t="shared" si="102"/>
        <v>0</v>
      </c>
      <c r="AT215" s="308">
        <f t="shared" si="102"/>
        <v>0</v>
      </c>
      <c r="AU215" s="308">
        <f t="shared" si="102"/>
        <v>0</v>
      </c>
      <c r="AV215" s="308">
        <f t="shared" si="102"/>
        <v>0</v>
      </c>
    </row>
    <row r="216" spans="1:48" s="324" customFormat="1" ht="15" customHeight="1">
      <c r="A216" s="352"/>
      <c r="B216" s="218"/>
      <c r="C216" s="331"/>
      <c r="D216" s="855"/>
      <c r="E216" s="330" t="s">
        <v>47</v>
      </c>
      <c r="F216" s="330"/>
      <c r="G216" s="330" t="s">
        <v>29</v>
      </c>
      <c r="H216" s="330"/>
      <c r="I216" s="330"/>
      <c r="J216" s="330">
        <f xml:space="preserve"> SUM(L216:AV216)</f>
        <v>19011.922098404622</v>
      </c>
      <c r="K216" s="330"/>
      <c r="L216" s="330">
        <f t="shared" ref="L216:AV216" si="103">SUM(L214:L215)</f>
        <v>0</v>
      </c>
      <c r="M216" s="330">
        <f t="shared" si="103"/>
        <v>0</v>
      </c>
      <c r="N216" s="330">
        <f t="shared" si="103"/>
        <v>0</v>
      </c>
      <c r="O216" s="330">
        <f t="shared" si="103"/>
        <v>0</v>
      </c>
      <c r="P216" s="330">
        <f t="shared" si="103"/>
        <v>67.136253929427468</v>
      </c>
      <c r="Q216" s="330">
        <f t="shared" si="103"/>
        <v>946.59558436977954</v>
      </c>
      <c r="R216" s="330">
        <f t="shared" si="103"/>
        <v>800.97287781965736</v>
      </c>
      <c r="S216" s="330">
        <f t="shared" si="103"/>
        <v>1554.927232437954</v>
      </c>
      <c r="T216" s="330">
        <f t="shared" si="103"/>
        <v>1790.254007985714</v>
      </c>
      <c r="U216" s="330">
        <f t="shared" si="103"/>
        <v>1286.9954809814114</v>
      </c>
      <c r="V216" s="330">
        <f t="shared" si="103"/>
        <v>1197.6567216301939</v>
      </c>
      <c r="W216" s="330">
        <f t="shared" si="103"/>
        <v>1403.7590036412423</v>
      </c>
      <c r="X216" s="330">
        <f t="shared" si="103"/>
        <v>1391.1347298918572</v>
      </c>
      <c r="Y216" s="330">
        <f t="shared" si="103"/>
        <v>1369.2168626342282</v>
      </c>
      <c r="Z216" s="330">
        <f t="shared" si="103"/>
        <v>1398.3349958679573</v>
      </c>
      <c r="AA216" s="330">
        <f t="shared" si="103"/>
        <v>1393.351686353117</v>
      </c>
      <c r="AB216" s="330">
        <f t="shared" si="103"/>
        <v>1400.6663216951804</v>
      </c>
      <c r="AC216" s="330">
        <f t="shared" si="103"/>
        <v>1490.4682157878392</v>
      </c>
      <c r="AD216" s="330">
        <f t="shared" si="103"/>
        <v>1520.4521233790642</v>
      </c>
      <c r="AE216" s="330">
        <f t="shared" si="103"/>
        <v>0</v>
      </c>
      <c r="AF216" s="330">
        <f t="shared" si="103"/>
        <v>0</v>
      </c>
      <c r="AG216" s="330">
        <f t="shared" si="103"/>
        <v>0</v>
      </c>
      <c r="AH216" s="330">
        <f t="shared" si="103"/>
        <v>0</v>
      </c>
      <c r="AI216" s="330">
        <f t="shared" si="103"/>
        <v>0</v>
      </c>
      <c r="AJ216" s="330">
        <f t="shared" si="103"/>
        <v>0</v>
      </c>
      <c r="AK216" s="330">
        <f t="shared" si="103"/>
        <v>0</v>
      </c>
      <c r="AL216" s="330">
        <f t="shared" si="103"/>
        <v>0</v>
      </c>
      <c r="AM216" s="330">
        <f t="shared" si="103"/>
        <v>0</v>
      </c>
      <c r="AN216" s="330">
        <f t="shared" si="103"/>
        <v>0</v>
      </c>
      <c r="AO216" s="330">
        <f t="shared" si="103"/>
        <v>0</v>
      </c>
      <c r="AP216" s="330">
        <f t="shared" si="103"/>
        <v>0</v>
      </c>
      <c r="AQ216" s="330">
        <f t="shared" si="103"/>
        <v>0</v>
      </c>
      <c r="AR216" s="330">
        <f t="shared" si="103"/>
        <v>0</v>
      </c>
      <c r="AS216" s="330">
        <f t="shared" si="103"/>
        <v>0</v>
      </c>
      <c r="AT216" s="330">
        <f t="shared" si="103"/>
        <v>0</v>
      </c>
      <c r="AU216" s="330">
        <f t="shared" si="103"/>
        <v>0</v>
      </c>
      <c r="AV216" s="330">
        <f t="shared" si="103"/>
        <v>0</v>
      </c>
    </row>
    <row r="217" spans="1:48" s="320" customFormat="1" ht="15" customHeight="1">
      <c r="A217" s="351"/>
      <c r="B217" s="134"/>
      <c r="C217" s="322"/>
      <c r="D217" s="724"/>
      <c r="E217" s="308"/>
      <c r="F217" s="308"/>
      <c r="G217" s="308"/>
      <c r="H217" s="308"/>
      <c r="I217" s="308"/>
      <c r="J217" s="308"/>
      <c r="K217" s="308"/>
      <c r="L217" s="308"/>
      <c r="M217" s="308"/>
      <c r="N217" s="308"/>
      <c r="O217" s="308"/>
      <c r="P217" s="308"/>
      <c r="Q217" s="308"/>
      <c r="R217" s="308"/>
      <c r="S217" s="308"/>
      <c r="T217" s="308"/>
      <c r="U217" s="308"/>
      <c r="V217" s="308"/>
      <c r="W217" s="308"/>
      <c r="X217" s="308"/>
      <c r="Y217" s="308"/>
      <c r="Z217" s="308"/>
      <c r="AA217" s="308"/>
      <c r="AB217" s="308"/>
      <c r="AC217" s="308"/>
      <c r="AD217" s="308"/>
      <c r="AE217" s="308"/>
      <c r="AF217" s="308"/>
      <c r="AG217" s="308"/>
      <c r="AH217" s="308"/>
      <c r="AI217" s="308"/>
      <c r="AJ217" s="308"/>
      <c r="AK217" s="308"/>
      <c r="AL217" s="308"/>
      <c r="AM217" s="308"/>
      <c r="AN217" s="308"/>
      <c r="AO217" s="308"/>
      <c r="AP217" s="308"/>
      <c r="AQ217" s="308"/>
      <c r="AR217" s="308"/>
      <c r="AS217" s="308"/>
      <c r="AT217" s="308"/>
      <c r="AU217" s="308"/>
      <c r="AV217" s="308"/>
    </row>
    <row r="218" spans="1:48" s="160" customFormat="1" ht="15" customHeight="1">
      <c r="A218" s="164" t="s">
        <v>670</v>
      </c>
      <c r="B218" s="162"/>
      <c r="C218" s="315"/>
      <c r="D218" s="386"/>
      <c r="E218" s="162"/>
      <c r="F218" s="162"/>
      <c r="G218" s="162"/>
      <c r="H218" s="162"/>
    </row>
    <row r="219" spans="1:48" s="320" customFormat="1" ht="15" customHeight="1">
      <c r="A219" s="351"/>
      <c r="B219" s="134"/>
      <c r="C219" s="303"/>
      <c r="D219" s="724"/>
      <c r="E219" s="308"/>
      <c r="H219" s="308"/>
      <c r="I219" s="308"/>
      <c r="J219" s="308"/>
      <c r="K219" s="308"/>
      <c r="L219" s="308"/>
      <c r="M219" s="308"/>
      <c r="N219" s="308"/>
      <c r="O219" s="308"/>
      <c r="P219" s="308"/>
      <c r="Q219" s="308"/>
      <c r="R219" s="308"/>
      <c r="S219" s="308"/>
      <c r="T219" s="308"/>
      <c r="U219" s="308"/>
      <c r="V219" s="308"/>
      <c r="W219" s="308"/>
      <c r="X219" s="308"/>
      <c r="Y219" s="308"/>
      <c r="Z219" s="308"/>
      <c r="AA219" s="308"/>
      <c r="AB219" s="308"/>
      <c r="AC219" s="308"/>
      <c r="AD219" s="308"/>
      <c r="AE219" s="308"/>
      <c r="AF219" s="308"/>
      <c r="AG219" s="308"/>
      <c r="AH219" s="308"/>
      <c r="AI219" s="308"/>
      <c r="AJ219" s="308"/>
      <c r="AK219" s="308"/>
      <c r="AL219" s="308"/>
      <c r="AM219" s="308"/>
      <c r="AN219" s="308"/>
      <c r="AO219" s="308"/>
      <c r="AP219" s="308"/>
      <c r="AQ219" s="308"/>
      <c r="AR219" s="308"/>
      <c r="AS219" s="308"/>
      <c r="AT219" s="308"/>
      <c r="AU219" s="308"/>
      <c r="AV219" s="308"/>
    </row>
    <row r="220" spans="1:48" s="320" customFormat="1" ht="15" customHeight="1">
      <c r="A220" s="351"/>
      <c r="B220" s="134"/>
      <c r="C220" s="303" t="s">
        <v>49</v>
      </c>
      <c r="D220" s="724"/>
      <c r="E220" s="308"/>
      <c r="F220" s="308" t="s">
        <v>50</v>
      </c>
      <c r="G220" s="308" t="s">
        <v>51</v>
      </c>
      <c r="H220" s="308"/>
      <c r="I220" s="308"/>
      <c r="J220" s="308"/>
      <c r="K220" s="308"/>
      <c r="L220" s="308"/>
      <c r="M220" s="308"/>
      <c r="N220" s="308"/>
      <c r="O220" s="308"/>
      <c r="P220" s="308"/>
      <c r="Q220" s="308"/>
      <c r="R220" s="308"/>
      <c r="S220" s="308"/>
      <c r="T220" s="308"/>
      <c r="U220" s="308"/>
      <c r="V220" s="308"/>
      <c r="W220" s="308"/>
      <c r="X220" s="308"/>
      <c r="Y220" s="308"/>
      <c r="Z220" s="308"/>
      <c r="AA220" s="308"/>
      <c r="AB220" s="308"/>
      <c r="AC220" s="308"/>
      <c r="AD220" s="308"/>
      <c r="AE220" s="308"/>
      <c r="AF220" s="308"/>
      <c r="AG220" s="308"/>
      <c r="AH220" s="308"/>
      <c r="AI220" s="308"/>
      <c r="AJ220" s="308"/>
      <c r="AK220" s="308"/>
      <c r="AL220" s="308"/>
      <c r="AM220" s="308"/>
      <c r="AN220" s="308"/>
      <c r="AO220" s="308"/>
      <c r="AP220" s="308"/>
      <c r="AQ220" s="308"/>
      <c r="AR220" s="308"/>
      <c r="AS220" s="308"/>
      <c r="AT220" s="308"/>
      <c r="AU220" s="308"/>
      <c r="AV220" s="308"/>
    </row>
    <row r="221" spans="1:48" s="320" customFormat="1" ht="15" customHeight="1">
      <c r="A221" s="351"/>
      <c r="B221" s="134"/>
      <c r="C221" s="303"/>
      <c r="D221" s="724"/>
      <c r="E221" s="170" t="str">
        <f xml:space="preserve"> InputsCon!E$66</f>
        <v>Cu royalty Government pre-2018Code</v>
      </c>
      <c r="F221" s="268">
        <f xml:space="preserve"> InputsCon!F$66</f>
        <v>0.02</v>
      </c>
      <c r="G221" s="170" t="str">
        <f xml:space="preserve"> InputsCon!G$66</f>
        <v>Net</v>
      </c>
      <c r="H221" s="308"/>
      <c r="I221" s="308"/>
      <c r="J221" s="308"/>
      <c r="K221" s="308"/>
      <c r="L221" s="308"/>
      <c r="M221" s="308"/>
      <c r="N221" s="308"/>
      <c r="O221" s="308"/>
      <c r="P221" s="308"/>
      <c r="Q221" s="308"/>
      <c r="R221" s="308"/>
      <c r="S221" s="308"/>
      <c r="T221" s="308"/>
      <c r="U221" s="308"/>
      <c r="V221" s="308"/>
      <c r="W221" s="308"/>
      <c r="X221" s="308"/>
      <c r="Y221" s="308"/>
      <c r="Z221" s="308"/>
      <c r="AA221" s="308"/>
      <c r="AB221" s="308"/>
      <c r="AC221" s="308"/>
      <c r="AD221" s="308"/>
      <c r="AE221" s="308"/>
      <c r="AF221" s="308"/>
      <c r="AG221" s="308"/>
      <c r="AH221" s="308"/>
      <c r="AI221" s="308"/>
      <c r="AJ221" s="308"/>
      <c r="AK221" s="308"/>
      <c r="AL221" s="308"/>
      <c r="AM221" s="308"/>
      <c r="AN221" s="308"/>
      <c r="AO221" s="308"/>
      <c r="AP221" s="308"/>
      <c r="AQ221" s="308"/>
      <c r="AR221" s="308"/>
      <c r="AS221" s="308"/>
      <c r="AT221" s="308"/>
      <c r="AU221" s="308"/>
      <c r="AV221" s="308"/>
    </row>
    <row r="222" spans="1:48" s="320" customFormat="1" ht="15" customHeight="1">
      <c r="A222" s="351"/>
      <c r="B222" s="134"/>
      <c r="C222" s="303"/>
      <c r="D222" s="724"/>
      <c r="E222" s="170" t="str">
        <f xml:space="preserve"> InputsCon!E$67</f>
        <v>Cu royalty Government post-2018 Code</v>
      </c>
      <c r="F222" s="268">
        <f xml:space="preserve"> InputsCon!F$67</f>
        <v>3.5000000000000003E-2</v>
      </c>
      <c r="G222" s="170" t="str">
        <f xml:space="preserve"> InputsCon!G$67</f>
        <v>Gross</v>
      </c>
      <c r="H222" s="308"/>
      <c r="I222" s="308"/>
      <c r="J222" s="308"/>
      <c r="K222" s="308"/>
      <c r="L222" s="308"/>
      <c r="M222" s="308"/>
      <c r="N222" s="308"/>
      <c r="O222" s="308"/>
      <c r="P222" s="308"/>
      <c r="Q222" s="308"/>
      <c r="R222" s="308"/>
      <c r="S222" s="308"/>
      <c r="T222" s="308"/>
      <c r="U222" s="308"/>
      <c r="V222" s="308"/>
      <c r="W222" s="308"/>
      <c r="X222" s="308"/>
      <c r="Y222" s="308"/>
      <c r="Z222" s="308"/>
      <c r="AA222" s="308"/>
      <c r="AB222" s="308"/>
      <c r="AC222" s="308"/>
      <c r="AD222" s="308"/>
      <c r="AE222" s="308"/>
      <c r="AF222" s="308"/>
      <c r="AG222" s="308"/>
      <c r="AH222" s="308"/>
      <c r="AI222" s="308"/>
      <c r="AJ222" s="308"/>
      <c r="AK222" s="308"/>
      <c r="AL222" s="308"/>
      <c r="AM222" s="308"/>
      <c r="AN222" s="308"/>
      <c r="AO222" s="308"/>
      <c r="AP222" s="308"/>
      <c r="AQ222" s="308"/>
      <c r="AR222" s="308"/>
      <c r="AS222" s="308"/>
      <c r="AT222" s="308"/>
      <c r="AU222" s="308"/>
      <c r="AV222" s="308"/>
    </row>
    <row r="223" spans="1:48" s="320" customFormat="1" ht="15" customHeight="1">
      <c r="A223" s="351"/>
      <c r="B223" s="134"/>
      <c r="C223" s="303"/>
      <c r="D223" s="724"/>
      <c r="E223" s="170" t="str">
        <f xml:space="preserve"> InputsCon!E$69</f>
        <v>Co royalty Government pre-2018Code</v>
      </c>
      <c r="F223" s="268">
        <f xml:space="preserve"> InputsCon!F$69</f>
        <v>0.02</v>
      </c>
      <c r="G223" s="170" t="str">
        <f xml:space="preserve"> InputsCon!G$69</f>
        <v>as for Cu</v>
      </c>
      <c r="H223" s="308"/>
      <c r="I223" s="308"/>
      <c r="J223" s="308"/>
      <c r="K223" s="308"/>
      <c r="L223" s="308"/>
      <c r="M223" s="308"/>
      <c r="N223" s="308"/>
      <c r="O223" s="308"/>
      <c r="P223" s="308"/>
      <c r="Q223" s="308"/>
      <c r="R223" s="308"/>
      <c r="S223" s="308"/>
      <c r="T223" s="308"/>
      <c r="U223" s="308"/>
      <c r="V223" s="308"/>
      <c r="W223" s="308"/>
      <c r="X223" s="308"/>
      <c r="Y223" s="308"/>
      <c r="Z223" s="308"/>
      <c r="AA223" s="308"/>
      <c r="AB223" s="308"/>
      <c r="AC223" s="308"/>
      <c r="AD223" s="308"/>
      <c r="AE223" s="308"/>
      <c r="AF223" s="308"/>
      <c r="AG223" s="308"/>
      <c r="AH223" s="308"/>
      <c r="AI223" s="308"/>
      <c r="AJ223" s="308"/>
      <c r="AK223" s="308"/>
      <c r="AL223" s="308"/>
      <c r="AM223" s="308"/>
      <c r="AN223" s="308"/>
      <c r="AO223" s="308"/>
      <c r="AP223" s="308"/>
      <c r="AQ223" s="308"/>
      <c r="AR223" s="308"/>
      <c r="AS223" s="308"/>
      <c r="AT223" s="308"/>
      <c r="AU223" s="308"/>
      <c r="AV223" s="308"/>
    </row>
    <row r="224" spans="1:48" s="320" customFormat="1" ht="15" customHeight="1">
      <c r="A224" s="351"/>
      <c r="B224" s="134"/>
      <c r="C224" s="303"/>
      <c r="D224" s="724"/>
      <c r="E224" s="170" t="str">
        <f xml:space="preserve"> InputsCon!E$70</f>
        <v>Co royalty Government post-2018 Code</v>
      </c>
      <c r="F224" s="268">
        <f xml:space="preserve"> InputsCon!F$70</f>
        <v>0.1</v>
      </c>
      <c r="G224" s="170" t="str">
        <f xml:space="preserve"> InputsCon!G$70</f>
        <v>as for Cu</v>
      </c>
      <c r="H224" s="308"/>
      <c r="I224" s="308"/>
      <c r="J224" s="308"/>
      <c r="K224" s="308"/>
      <c r="L224" s="308"/>
      <c r="M224" s="308"/>
      <c r="N224" s="308"/>
      <c r="O224" s="308"/>
      <c r="P224" s="308"/>
      <c r="Q224" s="308"/>
      <c r="R224" s="308"/>
      <c r="S224" s="308"/>
      <c r="T224" s="308"/>
      <c r="U224" s="308"/>
      <c r="V224" s="308"/>
      <c r="W224" s="308"/>
      <c r="X224" s="308"/>
      <c r="Y224" s="308"/>
      <c r="Z224" s="308"/>
      <c r="AA224" s="308"/>
      <c r="AB224" s="308"/>
      <c r="AC224" s="308"/>
      <c r="AD224" s="308"/>
      <c r="AE224" s="308"/>
      <c r="AF224" s="308"/>
      <c r="AG224" s="308"/>
      <c r="AH224" s="308"/>
      <c r="AI224" s="308"/>
      <c r="AJ224" s="308"/>
      <c r="AK224" s="308"/>
      <c r="AL224" s="308"/>
      <c r="AM224" s="308"/>
      <c r="AN224" s="308"/>
      <c r="AO224" s="308"/>
      <c r="AP224" s="308"/>
      <c r="AQ224" s="308"/>
      <c r="AR224" s="308"/>
      <c r="AS224" s="308"/>
      <c r="AT224" s="308"/>
      <c r="AU224" s="308"/>
      <c r="AV224" s="308"/>
    </row>
    <row r="225" spans="1:48" s="320" customFormat="1" ht="15" customHeight="1">
      <c r="A225" s="351"/>
      <c r="B225" s="134"/>
      <c r="C225" s="303"/>
      <c r="D225" s="724"/>
      <c r="E225" s="132" t="str">
        <f xml:space="preserve"> InputsCon!E$72</f>
        <v>Options for royalty base</v>
      </c>
      <c r="F225" s="522" t="str">
        <f xml:space="preserve"> InputsCon!F$72</f>
        <v>Net</v>
      </c>
      <c r="G225" s="132" t="str">
        <f xml:space="preserve"> InputsCon!G$72</f>
        <v>option</v>
      </c>
      <c r="H225" s="308"/>
      <c r="I225" s="308"/>
      <c r="J225" s="308"/>
      <c r="K225" s="308"/>
      <c r="L225" s="308"/>
      <c r="M225" s="308"/>
      <c r="N225" s="308"/>
      <c r="O225" s="308"/>
      <c r="P225" s="308"/>
      <c r="Q225" s="308"/>
      <c r="R225" s="308"/>
      <c r="S225" s="308"/>
      <c r="T225" s="308"/>
      <c r="U225" s="308"/>
      <c r="V225" s="308"/>
      <c r="W225" s="308"/>
      <c r="X225" s="308"/>
      <c r="Y225" s="308"/>
      <c r="Z225" s="308"/>
      <c r="AA225" s="308"/>
      <c r="AB225" s="308"/>
      <c r="AC225" s="308"/>
      <c r="AD225" s="308"/>
      <c r="AE225" s="308"/>
      <c r="AF225" s="308"/>
      <c r="AG225" s="308"/>
      <c r="AH225" s="308"/>
      <c r="AI225" s="308"/>
      <c r="AJ225" s="308"/>
      <c r="AK225" s="308"/>
      <c r="AL225" s="308"/>
      <c r="AM225" s="308"/>
      <c r="AN225" s="308"/>
      <c r="AO225" s="308"/>
      <c r="AP225" s="308"/>
      <c r="AQ225" s="308"/>
      <c r="AR225" s="308"/>
      <c r="AS225" s="308"/>
      <c r="AT225" s="308"/>
      <c r="AU225" s="308"/>
      <c r="AV225" s="308"/>
    </row>
    <row r="226" spans="1:48" s="320" customFormat="1" ht="15" customHeight="1">
      <c r="A226" s="351"/>
      <c r="B226" s="134"/>
      <c r="C226" s="303"/>
      <c r="D226" s="724"/>
      <c r="E226" s="132" t="str">
        <f xml:space="preserve"> InputsCon!E$73</f>
        <v>Options for royalty base</v>
      </c>
      <c r="F226" s="522" t="str">
        <f xml:space="preserve"> InputsCon!F$73</f>
        <v>Gross</v>
      </c>
      <c r="G226" s="132" t="str">
        <f xml:space="preserve"> InputsCon!G$73</f>
        <v>option</v>
      </c>
      <c r="H226" s="308"/>
      <c r="I226" s="308"/>
      <c r="J226" s="308"/>
      <c r="K226" s="308"/>
      <c r="L226" s="308"/>
      <c r="M226" s="308"/>
      <c r="N226" s="308"/>
      <c r="O226" s="308"/>
      <c r="P226" s="308"/>
      <c r="Q226" s="308"/>
      <c r="R226" s="308"/>
      <c r="S226" s="308"/>
      <c r="T226" s="308"/>
      <c r="U226" s="308"/>
      <c r="V226" s="308"/>
      <c r="W226" s="308"/>
      <c r="X226" s="308"/>
      <c r="Y226" s="308"/>
      <c r="Z226" s="308"/>
      <c r="AA226" s="308"/>
      <c r="AB226" s="308"/>
      <c r="AC226" s="308"/>
      <c r="AD226" s="308"/>
      <c r="AE226" s="308"/>
      <c r="AF226" s="308"/>
      <c r="AG226" s="308"/>
      <c r="AH226" s="308"/>
      <c r="AI226" s="308"/>
      <c r="AJ226" s="308"/>
      <c r="AK226" s="308"/>
      <c r="AL226" s="308"/>
      <c r="AM226" s="308"/>
      <c r="AN226" s="308"/>
      <c r="AO226" s="308"/>
      <c r="AP226" s="308"/>
      <c r="AQ226" s="308"/>
      <c r="AR226" s="308"/>
      <c r="AS226" s="308"/>
      <c r="AT226" s="308"/>
      <c r="AU226" s="308"/>
      <c r="AV226" s="308"/>
    </row>
    <row r="227" spans="1:48" s="320" customFormat="1" ht="15" customHeight="1">
      <c r="A227" s="351"/>
      <c r="B227" s="134"/>
      <c r="C227" s="303"/>
      <c r="D227" s="724"/>
      <c r="E227" s="170" t="str">
        <f xml:space="preserve"> InputsCon!E$75</f>
        <v>Royalty rate change</v>
      </c>
      <c r="F227" s="176">
        <f xml:space="preserve"> InputsCon!F$75</f>
        <v>2019</v>
      </c>
      <c r="G227" s="170" t="str">
        <f xml:space="preserve"> InputsCon!G$75</f>
        <v>year</v>
      </c>
      <c r="H227" s="308"/>
      <c r="I227" s="308"/>
      <c r="J227" s="308"/>
      <c r="K227" s="308"/>
      <c r="L227" s="308"/>
      <c r="M227" s="308"/>
      <c r="N227" s="308"/>
      <c r="O227" s="308"/>
      <c r="P227" s="308"/>
      <c r="Q227" s="308"/>
      <c r="R227" s="308"/>
      <c r="S227" s="308"/>
      <c r="T227" s="308"/>
      <c r="U227" s="308"/>
      <c r="V227" s="308"/>
      <c r="W227" s="308"/>
      <c r="X227" s="308"/>
      <c r="Y227" s="308"/>
      <c r="Z227" s="308"/>
      <c r="AA227" s="308"/>
      <c r="AB227" s="308"/>
      <c r="AC227" s="308"/>
      <c r="AD227" s="308"/>
      <c r="AE227" s="308"/>
      <c r="AF227" s="308"/>
      <c r="AG227" s="308"/>
      <c r="AH227" s="308"/>
      <c r="AI227" s="308"/>
      <c r="AJ227" s="308"/>
      <c r="AK227" s="308"/>
      <c r="AL227" s="308"/>
      <c r="AM227" s="308"/>
      <c r="AN227" s="308"/>
      <c r="AO227" s="308"/>
      <c r="AP227" s="308"/>
      <c r="AQ227" s="308"/>
      <c r="AR227" s="308"/>
      <c r="AS227" s="308"/>
      <c r="AT227" s="308"/>
      <c r="AU227" s="308"/>
      <c r="AV227" s="308"/>
    </row>
    <row r="228" spans="1:48" s="320" customFormat="1" ht="15" customHeight="1">
      <c r="A228" s="351"/>
      <c r="B228" s="134"/>
      <c r="C228" s="303"/>
      <c r="D228" s="724"/>
      <c r="E228" s="170" t="str">
        <f xml:space="preserve"> InputsCon!E$91</f>
        <v>Cu royalty private GCM / AHIL / Ventora</v>
      </c>
      <c r="F228" s="268">
        <f xml:space="preserve"> InputsCon!F$91</f>
        <v>2.5000000000000001E-2</v>
      </c>
      <c r="G228" s="170" t="str">
        <f xml:space="preserve"> InputsCon!G$91</f>
        <v>Net</v>
      </c>
      <c r="H228" s="308"/>
      <c r="I228" s="308"/>
      <c r="J228" s="308"/>
      <c r="K228" s="308"/>
      <c r="L228" s="308"/>
      <c r="M228" s="308"/>
      <c r="N228" s="308"/>
      <c r="O228" s="308"/>
      <c r="P228" s="308"/>
      <c r="Q228" s="308"/>
      <c r="R228" s="308"/>
      <c r="S228" s="308"/>
      <c r="T228" s="308"/>
      <c r="U228" s="308"/>
      <c r="V228" s="308"/>
      <c r="W228" s="308"/>
      <c r="X228" s="308"/>
      <c r="Y228" s="308"/>
      <c r="Z228" s="308"/>
      <c r="AA228" s="308"/>
      <c r="AB228" s="308"/>
      <c r="AC228" s="308"/>
      <c r="AD228" s="308"/>
      <c r="AE228" s="308"/>
      <c r="AF228" s="308"/>
      <c r="AG228" s="308"/>
      <c r="AH228" s="308"/>
      <c r="AI228" s="308"/>
      <c r="AJ228" s="308"/>
      <c r="AK228" s="308"/>
      <c r="AL228" s="308"/>
      <c r="AM228" s="308"/>
      <c r="AN228" s="308"/>
      <c r="AO228" s="308"/>
      <c r="AP228" s="308"/>
      <c r="AQ228" s="308"/>
      <c r="AR228" s="308"/>
      <c r="AS228" s="308"/>
      <c r="AT228" s="308"/>
      <c r="AU228" s="308"/>
      <c r="AV228" s="308"/>
    </row>
    <row r="229" spans="1:48" s="320" customFormat="1" ht="15" customHeight="1">
      <c r="A229" s="351"/>
      <c r="B229" s="134"/>
      <c r="C229" s="303"/>
      <c r="D229" s="724"/>
      <c r="E229" s="308"/>
      <c r="F229" s="6"/>
      <c r="G229" s="308"/>
      <c r="H229" s="308"/>
      <c r="I229" s="308"/>
      <c r="J229" s="308"/>
      <c r="K229" s="308"/>
      <c r="L229" s="308"/>
      <c r="M229" s="308"/>
      <c r="N229" s="308"/>
      <c r="O229" s="308"/>
      <c r="P229" s="308"/>
      <c r="Q229" s="308"/>
      <c r="R229" s="308"/>
      <c r="S229" s="308"/>
      <c r="T229" s="308"/>
      <c r="U229" s="308"/>
      <c r="V229" s="308"/>
      <c r="W229" s="308"/>
      <c r="X229" s="308"/>
      <c r="Y229" s="308"/>
      <c r="Z229" s="308"/>
      <c r="AA229" s="308"/>
      <c r="AB229" s="308"/>
      <c r="AC229" s="308"/>
      <c r="AD229" s="308"/>
      <c r="AE229" s="308"/>
      <c r="AF229" s="308"/>
      <c r="AG229" s="308"/>
      <c r="AH229" s="308"/>
      <c r="AI229" s="308"/>
      <c r="AJ229" s="308"/>
      <c r="AK229" s="308"/>
      <c r="AL229" s="308"/>
      <c r="AM229" s="308"/>
      <c r="AN229" s="308"/>
      <c r="AO229" s="308"/>
      <c r="AP229" s="308"/>
      <c r="AQ229" s="308"/>
      <c r="AR229" s="308"/>
      <c r="AS229" s="308"/>
      <c r="AT229" s="308"/>
      <c r="AU229" s="308"/>
      <c r="AV229" s="308"/>
    </row>
    <row r="230" spans="1:48" s="132" customFormat="1" ht="15" customHeight="1">
      <c r="A230" s="133"/>
      <c r="B230" s="133"/>
      <c r="C230" s="361"/>
      <c r="D230" s="725"/>
      <c r="E230" s="176" t="str">
        <f xml:space="preserve"> 'T&amp;E'!E$9</f>
        <v>Model calendar year</v>
      </c>
      <c r="F230" s="176">
        <f xml:space="preserve"> 'T&amp;E'!F$9</f>
        <v>0</v>
      </c>
      <c r="G230" s="176" t="str">
        <f xml:space="preserve"> 'T&amp;E'!G$9</f>
        <v>year</v>
      </c>
      <c r="H230" s="176">
        <f xml:space="preserve"> 'T&amp;E'!H$9</f>
        <v>0</v>
      </c>
      <c r="I230" s="176">
        <f xml:space="preserve"> 'T&amp;E'!I$9</f>
        <v>0</v>
      </c>
      <c r="J230" s="176">
        <f xml:space="preserve"> 'T&amp;E'!J$9</f>
        <v>0</v>
      </c>
      <c r="K230" s="176">
        <f xml:space="preserve"> 'T&amp;E'!K$9</f>
        <v>0</v>
      </c>
      <c r="L230" s="176">
        <f xml:space="preserve"> 'T&amp;E'!L$9</f>
        <v>2014</v>
      </c>
      <c r="M230" s="176">
        <f xml:space="preserve"> 'T&amp;E'!M$9</f>
        <v>2015</v>
      </c>
      <c r="N230" s="176">
        <f xml:space="preserve"> 'T&amp;E'!N$9</f>
        <v>2016</v>
      </c>
      <c r="O230" s="176">
        <f xml:space="preserve"> 'T&amp;E'!O$9</f>
        <v>2017</v>
      </c>
      <c r="P230" s="176">
        <f xml:space="preserve"> 'T&amp;E'!P$9</f>
        <v>2018</v>
      </c>
      <c r="Q230" s="176">
        <f xml:space="preserve"> 'T&amp;E'!Q$9</f>
        <v>2019</v>
      </c>
      <c r="R230" s="176">
        <f xml:space="preserve"> 'T&amp;E'!R$9</f>
        <v>2020</v>
      </c>
      <c r="S230" s="176">
        <f xml:space="preserve"> 'T&amp;E'!S$9</f>
        <v>2021</v>
      </c>
      <c r="T230" s="176">
        <f xml:space="preserve"> 'T&amp;E'!T$9</f>
        <v>2022</v>
      </c>
      <c r="U230" s="176">
        <f xml:space="preserve"> 'T&amp;E'!U$9</f>
        <v>2023</v>
      </c>
      <c r="V230" s="176">
        <f xml:space="preserve"> 'T&amp;E'!V$9</f>
        <v>2024</v>
      </c>
      <c r="W230" s="176">
        <f xml:space="preserve"> 'T&amp;E'!W$9</f>
        <v>2025</v>
      </c>
      <c r="X230" s="176">
        <f xml:space="preserve"> 'T&amp;E'!X$9</f>
        <v>2026</v>
      </c>
      <c r="Y230" s="176">
        <f xml:space="preserve"> 'T&amp;E'!Y$9</f>
        <v>2027</v>
      </c>
      <c r="Z230" s="176">
        <f xml:space="preserve"> 'T&amp;E'!Z$9</f>
        <v>2028</v>
      </c>
      <c r="AA230" s="176">
        <f xml:space="preserve"> 'T&amp;E'!AA$9</f>
        <v>2029</v>
      </c>
      <c r="AB230" s="176">
        <f xml:space="preserve"> 'T&amp;E'!AB$9</f>
        <v>2030</v>
      </c>
      <c r="AC230" s="176">
        <f xml:space="preserve"> 'T&amp;E'!AC$9</f>
        <v>2031</v>
      </c>
      <c r="AD230" s="176">
        <f xml:space="preserve"> 'T&amp;E'!AD$9</f>
        <v>2032</v>
      </c>
      <c r="AE230" s="176">
        <f xml:space="preserve"> 'T&amp;E'!AE$9</f>
        <v>2033</v>
      </c>
      <c r="AF230" s="176">
        <f xml:space="preserve"> 'T&amp;E'!AF$9</f>
        <v>2034</v>
      </c>
      <c r="AG230" s="176">
        <f xml:space="preserve"> 'T&amp;E'!AG$9</f>
        <v>2035</v>
      </c>
      <c r="AH230" s="176">
        <f xml:space="preserve"> 'T&amp;E'!AH$9</f>
        <v>2036</v>
      </c>
      <c r="AI230" s="176">
        <f xml:space="preserve"> 'T&amp;E'!AI$9</f>
        <v>2037</v>
      </c>
      <c r="AJ230" s="176">
        <f xml:space="preserve"> 'T&amp;E'!AJ$9</f>
        <v>2038</v>
      </c>
      <c r="AK230" s="176">
        <f xml:space="preserve"> 'T&amp;E'!AK$9</f>
        <v>2039</v>
      </c>
      <c r="AL230" s="176">
        <f xml:space="preserve"> 'T&amp;E'!AL$9</f>
        <v>2040</v>
      </c>
      <c r="AM230" s="176">
        <f xml:space="preserve"> 'T&amp;E'!AM$9</f>
        <v>2041</v>
      </c>
      <c r="AN230" s="176">
        <f xml:space="preserve"> 'T&amp;E'!AN$9</f>
        <v>2042</v>
      </c>
      <c r="AO230" s="176">
        <f xml:space="preserve"> 'T&amp;E'!AO$9</f>
        <v>2043</v>
      </c>
      <c r="AP230" s="176">
        <f xml:space="preserve"> 'T&amp;E'!AP$9</f>
        <v>2044</v>
      </c>
      <c r="AQ230" s="176">
        <f xml:space="preserve"> 'T&amp;E'!AQ$9</f>
        <v>2045</v>
      </c>
      <c r="AR230" s="176">
        <f xml:space="preserve"> 'T&amp;E'!AR$9</f>
        <v>2046</v>
      </c>
      <c r="AS230" s="176">
        <f xml:space="preserve"> 'T&amp;E'!AS$9</f>
        <v>2047</v>
      </c>
      <c r="AT230" s="176">
        <f xml:space="preserve"> 'T&amp;E'!AT$9</f>
        <v>2048</v>
      </c>
      <c r="AU230" s="176">
        <f xml:space="preserve"> 'T&amp;E'!AU$9</f>
        <v>2049</v>
      </c>
      <c r="AV230" s="176">
        <f xml:space="preserve"> 'T&amp;E'!AV$9</f>
        <v>2050</v>
      </c>
    </row>
    <row r="231" spans="1:48" s="320" customFormat="1" ht="15" customHeight="1">
      <c r="A231" s="351"/>
      <c r="B231" s="134"/>
      <c r="C231" s="303"/>
      <c r="D231" s="724"/>
      <c r="E231" s="308" t="s">
        <v>64</v>
      </c>
      <c r="F231" s="6"/>
      <c r="G231" s="308" t="s">
        <v>26</v>
      </c>
      <c r="H231" s="308"/>
      <c r="I231" s="308"/>
      <c r="J231" s="308"/>
      <c r="K231" s="308"/>
      <c r="L231" s="269">
        <f t="shared" ref="L231:AV231" si="104" xml:space="preserve"> IF(L230 &lt; $F227, $F221, $F222)</f>
        <v>0.02</v>
      </c>
      <c r="M231" s="269">
        <f t="shared" si="104"/>
        <v>0.02</v>
      </c>
      <c r="N231" s="269">
        <f t="shared" si="104"/>
        <v>0.02</v>
      </c>
      <c r="O231" s="269">
        <f t="shared" si="104"/>
        <v>0.02</v>
      </c>
      <c r="P231" s="269">
        <f t="shared" si="104"/>
        <v>0.02</v>
      </c>
      <c r="Q231" s="269">
        <f t="shared" si="104"/>
        <v>3.5000000000000003E-2</v>
      </c>
      <c r="R231" s="269">
        <f t="shared" si="104"/>
        <v>3.5000000000000003E-2</v>
      </c>
      <c r="S231" s="269">
        <f t="shared" si="104"/>
        <v>3.5000000000000003E-2</v>
      </c>
      <c r="T231" s="269">
        <f t="shared" si="104"/>
        <v>3.5000000000000003E-2</v>
      </c>
      <c r="U231" s="269">
        <f t="shared" si="104"/>
        <v>3.5000000000000003E-2</v>
      </c>
      <c r="V231" s="269">
        <f t="shared" si="104"/>
        <v>3.5000000000000003E-2</v>
      </c>
      <c r="W231" s="269">
        <f t="shared" si="104"/>
        <v>3.5000000000000003E-2</v>
      </c>
      <c r="X231" s="269">
        <f t="shared" si="104"/>
        <v>3.5000000000000003E-2</v>
      </c>
      <c r="Y231" s="269">
        <f t="shared" si="104"/>
        <v>3.5000000000000003E-2</v>
      </c>
      <c r="Z231" s="269">
        <f t="shared" si="104"/>
        <v>3.5000000000000003E-2</v>
      </c>
      <c r="AA231" s="269">
        <f t="shared" si="104"/>
        <v>3.5000000000000003E-2</v>
      </c>
      <c r="AB231" s="269">
        <f t="shared" si="104"/>
        <v>3.5000000000000003E-2</v>
      </c>
      <c r="AC231" s="269">
        <f t="shared" si="104"/>
        <v>3.5000000000000003E-2</v>
      </c>
      <c r="AD231" s="269">
        <f t="shared" si="104"/>
        <v>3.5000000000000003E-2</v>
      </c>
      <c r="AE231" s="269">
        <f t="shared" si="104"/>
        <v>3.5000000000000003E-2</v>
      </c>
      <c r="AF231" s="269">
        <f t="shared" si="104"/>
        <v>3.5000000000000003E-2</v>
      </c>
      <c r="AG231" s="269">
        <f t="shared" si="104"/>
        <v>3.5000000000000003E-2</v>
      </c>
      <c r="AH231" s="269">
        <f t="shared" si="104"/>
        <v>3.5000000000000003E-2</v>
      </c>
      <c r="AI231" s="269">
        <f t="shared" si="104"/>
        <v>3.5000000000000003E-2</v>
      </c>
      <c r="AJ231" s="269">
        <f t="shared" si="104"/>
        <v>3.5000000000000003E-2</v>
      </c>
      <c r="AK231" s="269">
        <f t="shared" si="104"/>
        <v>3.5000000000000003E-2</v>
      </c>
      <c r="AL231" s="269">
        <f t="shared" si="104"/>
        <v>3.5000000000000003E-2</v>
      </c>
      <c r="AM231" s="269">
        <f t="shared" si="104"/>
        <v>3.5000000000000003E-2</v>
      </c>
      <c r="AN231" s="269">
        <f t="shared" si="104"/>
        <v>3.5000000000000003E-2</v>
      </c>
      <c r="AO231" s="269">
        <f t="shared" si="104"/>
        <v>3.5000000000000003E-2</v>
      </c>
      <c r="AP231" s="269">
        <f t="shared" si="104"/>
        <v>3.5000000000000003E-2</v>
      </c>
      <c r="AQ231" s="269">
        <f t="shared" si="104"/>
        <v>3.5000000000000003E-2</v>
      </c>
      <c r="AR231" s="269">
        <f t="shared" si="104"/>
        <v>3.5000000000000003E-2</v>
      </c>
      <c r="AS231" s="269">
        <f t="shared" si="104"/>
        <v>3.5000000000000003E-2</v>
      </c>
      <c r="AT231" s="269">
        <f t="shared" si="104"/>
        <v>3.5000000000000003E-2</v>
      </c>
      <c r="AU231" s="269">
        <f t="shared" si="104"/>
        <v>3.5000000000000003E-2</v>
      </c>
      <c r="AV231" s="269">
        <f t="shared" si="104"/>
        <v>3.5000000000000003E-2</v>
      </c>
    </row>
    <row r="232" spans="1:48" s="320" customFormat="1" ht="15" customHeight="1">
      <c r="A232" s="351"/>
      <c r="B232" s="134"/>
      <c r="C232" s="303"/>
      <c r="D232" s="724"/>
      <c r="E232" s="308" t="s">
        <v>65</v>
      </c>
      <c r="F232" s="6"/>
      <c r="G232" s="308" t="s">
        <v>26</v>
      </c>
      <c r="H232" s="308"/>
      <c r="I232" s="308"/>
      <c r="J232" s="308"/>
      <c r="K232" s="308"/>
      <c r="L232" s="269">
        <f t="shared" ref="L232:AV232" si="105" xml:space="preserve"> IF(L230 &lt; $F227, $F223, $F224)</f>
        <v>0.02</v>
      </c>
      <c r="M232" s="269">
        <f t="shared" si="105"/>
        <v>0.02</v>
      </c>
      <c r="N232" s="269">
        <f t="shared" si="105"/>
        <v>0.02</v>
      </c>
      <c r="O232" s="269">
        <f t="shared" si="105"/>
        <v>0.02</v>
      </c>
      <c r="P232" s="269">
        <f t="shared" si="105"/>
        <v>0.02</v>
      </c>
      <c r="Q232" s="269">
        <f t="shared" si="105"/>
        <v>0.1</v>
      </c>
      <c r="R232" s="269">
        <f t="shared" si="105"/>
        <v>0.1</v>
      </c>
      <c r="S232" s="269">
        <f t="shared" si="105"/>
        <v>0.1</v>
      </c>
      <c r="T232" s="269">
        <f t="shared" si="105"/>
        <v>0.1</v>
      </c>
      <c r="U232" s="269">
        <f t="shared" si="105"/>
        <v>0.1</v>
      </c>
      <c r="V232" s="269">
        <f t="shared" si="105"/>
        <v>0.1</v>
      </c>
      <c r="W232" s="269">
        <f t="shared" si="105"/>
        <v>0.1</v>
      </c>
      <c r="X232" s="269">
        <f t="shared" si="105"/>
        <v>0.1</v>
      </c>
      <c r="Y232" s="269">
        <f t="shared" si="105"/>
        <v>0.1</v>
      </c>
      <c r="Z232" s="269">
        <f t="shared" si="105"/>
        <v>0.1</v>
      </c>
      <c r="AA232" s="269">
        <f t="shared" si="105"/>
        <v>0.1</v>
      </c>
      <c r="AB232" s="269">
        <f t="shared" si="105"/>
        <v>0.1</v>
      </c>
      <c r="AC232" s="269">
        <f t="shared" si="105"/>
        <v>0.1</v>
      </c>
      <c r="AD232" s="269">
        <f t="shared" si="105"/>
        <v>0.1</v>
      </c>
      <c r="AE232" s="269">
        <f t="shared" si="105"/>
        <v>0.1</v>
      </c>
      <c r="AF232" s="269">
        <f t="shared" si="105"/>
        <v>0.1</v>
      </c>
      <c r="AG232" s="269">
        <f t="shared" si="105"/>
        <v>0.1</v>
      </c>
      <c r="AH232" s="269">
        <f t="shared" si="105"/>
        <v>0.1</v>
      </c>
      <c r="AI232" s="269">
        <f t="shared" si="105"/>
        <v>0.1</v>
      </c>
      <c r="AJ232" s="269">
        <f t="shared" si="105"/>
        <v>0.1</v>
      </c>
      <c r="AK232" s="269">
        <f t="shared" si="105"/>
        <v>0.1</v>
      </c>
      <c r="AL232" s="269">
        <f t="shared" si="105"/>
        <v>0.1</v>
      </c>
      <c r="AM232" s="269">
        <f t="shared" si="105"/>
        <v>0.1</v>
      </c>
      <c r="AN232" s="269">
        <f t="shared" si="105"/>
        <v>0.1</v>
      </c>
      <c r="AO232" s="269">
        <f t="shared" si="105"/>
        <v>0.1</v>
      </c>
      <c r="AP232" s="269">
        <f t="shared" si="105"/>
        <v>0.1</v>
      </c>
      <c r="AQ232" s="269">
        <f t="shared" si="105"/>
        <v>0.1</v>
      </c>
      <c r="AR232" s="269">
        <f t="shared" si="105"/>
        <v>0.1</v>
      </c>
      <c r="AS232" s="269">
        <f t="shared" si="105"/>
        <v>0.1</v>
      </c>
      <c r="AT232" s="269">
        <f t="shared" si="105"/>
        <v>0.1</v>
      </c>
      <c r="AU232" s="269">
        <f t="shared" si="105"/>
        <v>0.1</v>
      </c>
      <c r="AV232" s="269">
        <f t="shared" si="105"/>
        <v>0.1</v>
      </c>
    </row>
    <row r="233" spans="1:48" s="320" customFormat="1" ht="15" customHeight="1">
      <c r="A233" s="351"/>
      <c r="B233" s="134"/>
      <c r="C233" s="303"/>
      <c r="D233" s="724"/>
      <c r="E233" s="308" t="s">
        <v>66</v>
      </c>
      <c r="F233" s="6"/>
      <c r="G233" s="308" t="s">
        <v>60</v>
      </c>
      <c r="H233" s="308"/>
      <c r="I233" s="308"/>
      <c r="J233" s="308"/>
      <c r="K233" s="308"/>
      <c r="L233" s="328" t="str">
        <f t="shared" ref="L233:AV233" si="106" xml:space="preserve"> IF(L230 &lt; $F227, $G221, $G222)</f>
        <v>Net</v>
      </c>
      <c r="M233" s="328" t="str">
        <f t="shared" si="106"/>
        <v>Net</v>
      </c>
      <c r="N233" s="328" t="str">
        <f t="shared" si="106"/>
        <v>Net</v>
      </c>
      <c r="O233" s="328" t="str">
        <f t="shared" si="106"/>
        <v>Net</v>
      </c>
      <c r="P233" s="328" t="str">
        <f t="shared" si="106"/>
        <v>Net</v>
      </c>
      <c r="Q233" s="328" t="str">
        <f t="shared" si="106"/>
        <v>Gross</v>
      </c>
      <c r="R233" s="328" t="str">
        <f t="shared" si="106"/>
        <v>Gross</v>
      </c>
      <c r="S233" s="328" t="str">
        <f t="shared" si="106"/>
        <v>Gross</v>
      </c>
      <c r="T233" s="328" t="str">
        <f t="shared" si="106"/>
        <v>Gross</v>
      </c>
      <c r="U233" s="328" t="str">
        <f t="shared" si="106"/>
        <v>Gross</v>
      </c>
      <c r="V233" s="328" t="str">
        <f t="shared" si="106"/>
        <v>Gross</v>
      </c>
      <c r="W233" s="328" t="str">
        <f t="shared" si="106"/>
        <v>Gross</v>
      </c>
      <c r="X233" s="328" t="str">
        <f t="shared" si="106"/>
        <v>Gross</v>
      </c>
      <c r="Y233" s="328" t="str">
        <f t="shared" si="106"/>
        <v>Gross</v>
      </c>
      <c r="Z233" s="328" t="str">
        <f t="shared" si="106"/>
        <v>Gross</v>
      </c>
      <c r="AA233" s="328" t="str">
        <f t="shared" si="106"/>
        <v>Gross</v>
      </c>
      <c r="AB233" s="328" t="str">
        <f t="shared" si="106"/>
        <v>Gross</v>
      </c>
      <c r="AC233" s="328" t="str">
        <f t="shared" si="106"/>
        <v>Gross</v>
      </c>
      <c r="AD233" s="328" t="str">
        <f t="shared" si="106"/>
        <v>Gross</v>
      </c>
      <c r="AE233" s="328" t="str">
        <f t="shared" si="106"/>
        <v>Gross</v>
      </c>
      <c r="AF233" s="328" t="str">
        <f t="shared" si="106"/>
        <v>Gross</v>
      </c>
      <c r="AG233" s="328" t="str">
        <f t="shared" si="106"/>
        <v>Gross</v>
      </c>
      <c r="AH233" s="328" t="str">
        <f t="shared" si="106"/>
        <v>Gross</v>
      </c>
      <c r="AI233" s="328" t="str">
        <f t="shared" si="106"/>
        <v>Gross</v>
      </c>
      <c r="AJ233" s="328" t="str">
        <f t="shared" si="106"/>
        <v>Gross</v>
      </c>
      <c r="AK233" s="328" t="str">
        <f t="shared" si="106"/>
        <v>Gross</v>
      </c>
      <c r="AL233" s="328" t="str">
        <f t="shared" si="106"/>
        <v>Gross</v>
      </c>
      <c r="AM233" s="328" t="str">
        <f t="shared" si="106"/>
        <v>Gross</v>
      </c>
      <c r="AN233" s="328" t="str">
        <f t="shared" si="106"/>
        <v>Gross</v>
      </c>
      <c r="AO233" s="328" t="str">
        <f t="shared" si="106"/>
        <v>Gross</v>
      </c>
      <c r="AP233" s="328" t="str">
        <f t="shared" si="106"/>
        <v>Gross</v>
      </c>
      <c r="AQ233" s="328" t="str">
        <f t="shared" si="106"/>
        <v>Gross</v>
      </c>
      <c r="AR233" s="328" t="str">
        <f t="shared" si="106"/>
        <v>Gross</v>
      </c>
      <c r="AS233" s="328" t="str">
        <f t="shared" si="106"/>
        <v>Gross</v>
      </c>
      <c r="AT233" s="328" t="str">
        <f t="shared" si="106"/>
        <v>Gross</v>
      </c>
      <c r="AU233" s="328" t="str">
        <f t="shared" si="106"/>
        <v>Gross</v>
      </c>
      <c r="AV233" s="328" t="str">
        <f t="shared" si="106"/>
        <v>Gross</v>
      </c>
    </row>
    <row r="234" spans="1:48" s="320" customFormat="1" ht="15" customHeight="1">
      <c r="A234" s="351"/>
      <c r="B234" s="134"/>
      <c r="C234" s="303"/>
      <c r="D234" s="724"/>
      <c r="E234" s="308"/>
      <c r="F234" s="6"/>
      <c r="G234" s="308"/>
      <c r="H234" s="308"/>
      <c r="I234" s="308"/>
      <c r="J234" s="308"/>
      <c r="K234" s="308"/>
      <c r="L234" s="308"/>
      <c r="M234" s="308"/>
      <c r="N234" s="308"/>
      <c r="O234" s="308"/>
      <c r="P234" s="308"/>
      <c r="Q234" s="308"/>
      <c r="R234" s="308"/>
      <c r="S234" s="308"/>
      <c r="T234" s="308"/>
      <c r="U234" s="308"/>
      <c r="V234" s="308"/>
      <c r="W234" s="308"/>
      <c r="X234" s="308"/>
      <c r="Y234" s="308"/>
      <c r="Z234" s="308"/>
      <c r="AA234" s="308"/>
      <c r="AB234" s="308"/>
      <c r="AC234" s="308"/>
      <c r="AD234" s="308"/>
      <c r="AE234" s="308"/>
      <c r="AF234" s="308"/>
      <c r="AG234" s="308"/>
      <c r="AH234" s="308"/>
      <c r="AI234" s="308"/>
      <c r="AJ234" s="308"/>
      <c r="AK234" s="308"/>
      <c r="AL234" s="308"/>
      <c r="AM234" s="308"/>
      <c r="AN234" s="308"/>
      <c r="AO234" s="308"/>
      <c r="AP234" s="308"/>
      <c r="AQ234" s="308"/>
      <c r="AR234" s="308"/>
      <c r="AS234" s="308"/>
      <c r="AT234" s="308"/>
      <c r="AU234" s="308"/>
      <c r="AV234" s="308"/>
    </row>
    <row r="235" spans="1:48" s="320" customFormat="1" ht="15" customHeight="1">
      <c r="A235" s="351"/>
      <c r="B235" s="134"/>
      <c r="C235" s="303" t="s">
        <v>67</v>
      </c>
      <c r="D235" s="724"/>
      <c r="E235" s="308"/>
      <c r="F235" s="6"/>
      <c r="G235" s="308"/>
      <c r="H235" s="308"/>
      <c r="I235" s="308"/>
      <c r="J235" s="308"/>
      <c r="K235" s="308"/>
      <c r="L235" s="308"/>
      <c r="M235" s="308"/>
      <c r="N235" s="308"/>
      <c r="O235" s="308"/>
      <c r="P235" s="308"/>
      <c r="Q235" s="308"/>
      <c r="R235" s="308"/>
      <c r="S235" s="308"/>
      <c r="T235" s="308"/>
      <c r="U235" s="308"/>
      <c r="V235" s="308"/>
      <c r="W235" s="308"/>
      <c r="X235" s="308"/>
      <c r="Y235" s="308"/>
      <c r="Z235" s="308"/>
      <c r="AA235" s="308"/>
      <c r="AB235" s="308"/>
      <c r="AC235" s="308"/>
      <c r="AD235" s="308"/>
      <c r="AE235" s="308"/>
      <c r="AF235" s="308"/>
      <c r="AG235" s="308"/>
      <c r="AH235" s="308"/>
      <c r="AI235" s="308"/>
      <c r="AJ235" s="308"/>
      <c r="AK235" s="308"/>
      <c r="AL235" s="308"/>
      <c r="AM235" s="308"/>
      <c r="AN235" s="308"/>
      <c r="AO235" s="308"/>
      <c r="AP235" s="308"/>
      <c r="AQ235" s="308"/>
      <c r="AR235" s="308"/>
      <c r="AS235" s="308"/>
      <c r="AT235" s="308"/>
      <c r="AU235" s="308"/>
      <c r="AV235" s="308"/>
    </row>
    <row r="236" spans="1:48" s="320" customFormat="1" ht="15" customHeight="1">
      <c r="A236" s="351"/>
      <c r="B236" s="134"/>
      <c r="C236" s="303"/>
      <c r="D236" s="724"/>
      <c r="E236" s="308" t="s">
        <v>68</v>
      </c>
      <c r="F236" s="6"/>
      <c r="G236" s="308" t="s">
        <v>29</v>
      </c>
      <c r="H236" s="308"/>
      <c r="I236" s="308"/>
      <c r="J236" s="308">
        <f xml:space="preserve"> SUM(L236:AV236)</f>
        <v>11467.694807333486</v>
      </c>
      <c r="K236" s="308"/>
      <c r="L236" s="308">
        <f t="shared" ref="L236:AV236" si="107" xml:space="preserve"> IF(L233 = $F225, L214, L187)</f>
        <v>0</v>
      </c>
      <c r="M236" s="308">
        <f t="shared" si="107"/>
        <v>0</v>
      </c>
      <c r="N236" s="308">
        <f t="shared" si="107"/>
        <v>0</v>
      </c>
      <c r="O236" s="308">
        <f t="shared" si="107"/>
        <v>0</v>
      </c>
      <c r="P236" s="308">
        <f t="shared" si="107"/>
        <v>56.882825869581119</v>
      </c>
      <c r="Q236" s="308">
        <f t="shared" si="107"/>
        <v>537.90040239011887</v>
      </c>
      <c r="R236" s="308">
        <f t="shared" si="107"/>
        <v>466.86178216090872</v>
      </c>
      <c r="S236" s="308">
        <f t="shared" si="107"/>
        <v>846.94161577854641</v>
      </c>
      <c r="T236" s="308">
        <f t="shared" si="107"/>
        <v>827.43128123694396</v>
      </c>
      <c r="U236" s="308">
        <f t="shared" si="107"/>
        <v>827.53678415828165</v>
      </c>
      <c r="V236" s="308">
        <f t="shared" si="107"/>
        <v>855.37158418205354</v>
      </c>
      <c r="W236" s="308">
        <f t="shared" si="107"/>
        <v>870.43262455927129</v>
      </c>
      <c r="X236" s="308">
        <f t="shared" si="107"/>
        <v>871.18297689339511</v>
      </c>
      <c r="Y236" s="308">
        <f t="shared" si="107"/>
        <v>878.19958614320012</v>
      </c>
      <c r="Z236" s="308">
        <f t="shared" si="107"/>
        <v>869.03680141350003</v>
      </c>
      <c r="AA236" s="308">
        <f t="shared" si="107"/>
        <v>864.81700401760008</v>
      </c>
      <c r="AB236" s="308">
        <f t="shared" si="107"/>
        <v>890.0243598372424</v>
      </c>
      <c r="AC236" s="308">
        <f t="shared" si="107"/>
        <v>904.18180084522714</v>
      </c>
      <c r="AD236" s="308">
        <f t="shared" si="107"/>
        <v>900.89337784761744</v>
      </c>
      <c r="AE236" s="308">
        <f t="shared" si="107"/>
        <v>0</v>
      </c>
      <c r="AF236" s="308">
        <f t="shared" si="107"/>
        <v>0</v>
      </c>
      <c r="AG236" s="308">
        <f t="shared" si="107"/>
        <v>0</v>
      </c>
      <c r="AH236" s="308">
        <f t="shared" si="107"/>
        <v>0</v>
      </c>
      <c r="AI236" s="308">
        <f t="shared" si="107"/>
        <v>0</v>
      </c>
      <c r="AJ236" s="308">
        <f t="shared" si="107"/>
        <v>0</v>
      </c>
      <c r="AK236" s="308">
        <f t="shared" si="107"/>
        <v>0</v>
      </c>
      <c r="AL236" s="308">
        <f t="shared" si="107"/>
        <v>0</v>
      </c>
      <c r="AM236" s="308">
        <f t="shared" si="107"/>
        <v>0</v>
      </c>
      <c r="AN236" s="308">
        <f t="shared" si="107"/>
        <v>0</v>
      </c>
      <c r="AO236" s="308">
        <f t="shared" si="107"/>
        <v>0</v>
      </c>
      <c r="AP236" s="308">
        <f t="shared" si="107"/>
        <v>0</v>
      </c>
      <c r="AQ236" s="308">
        <f t="shared" si="107"/>
        <v>0</v>
      </c>
      <c r="AR236" s="308">
        <f t="shared" si="107"/>
        <v>0</v>
      </c>
      <c r="AS236" s="308">
        <f t="shared" si="107"/>
        <v>0</v>
      </c>
      <c r="AT236" s="308">
        <f t="shared" si="107"/>
        <v>0</v>
      </c>
      <c r="AU236" s="308">
        <f t="shared" si="107"/>
        <v>0</v>
      </c>
      <c r="AV236" s="308">
        <f t="shared" si="107"/>
        <v>0</v>
      </c>
    </row>
    <row r="237" spans="1:48" s="320" customFormat="1" ht="15" customHeight="1">
      <c r="A237" s="351"/>
      <c r="B237" s="134"/>
      <c r="C237" s="303"/>
      <c r="D237" s="724"/>
      <c r="E237" s="308" t="s">
        <v>69</v>
      </c>
      <c r="F237" s="6"/>
      <c r="G237" s="308" t="s">
        <v>29</v>
      </c>
      <c r="H237" s="308"/>
      <c r="I237" s="308"/>
      <c r="J237" s="308">
        <f xml:space="preserve"> SUM(L237:AV237)</f>
        <v>7544.2272910711363</v>
      </c>
      <c r="K237" s="308"/>
      <c r="L237" s="308">
        <f t="shared" ref="L237:AV237" si="108" xml:space="preserve"> IF(L233 = $F225, L215, L188)</f>
        <v>0</v>
      </c>
      <c r="M237" s="308">
        <f t="shared" si="108"/>
        <v>0</v>
      </c>
      <c r="N237" s="308">
        <f t="shared" si="108"/>
        <v>0</v>
      </c>
      <c r="O237" s="308">
        <f t="shared" si="108"/>
        <v>0</v>
      </c>
      <c r="P237" s="308">
        <f t="shared" si="108"/>
        <v>10.253428059846346</v>
      </c>
      <c r="Q237" s="308">
        <f t="shared" si="108"/>
        <v>408.69518197966062</v>
      </c>
      <c r="R237" s="308">
        <f t="shared" si="108"/>
        <v>334.11109565874864</v>
      </c>
      <c r="S237" s="308">
        <f t="shared" si="108"/>
        <v>707.98561665940747</v>
      </c>
      <c r="T237" s="308">
        <f t="shared" si="108"/>
        <v>962.82272674877015</v>
      </c>
      <c r="U237" s="308">
        <f t="shared" si="108"/>
        <v>459.45869682312974</v>
      </c>
      <c r="V237" s="308">
        <f t="shared" si="108"/>
        <v>342.2851374481404</v>
      </c>
      <c r="W237" s="308">
        <f t="shared" si="108"/>
        <v>533.32637908197103</v>
      </c>
      <c r="X237" s="308">
        <f t="shared" si="108"/>
        <v>519.95175299846198</v>
      </c>
      <c r="Y237" s="308">
        <f t="shared" si="108"/>
        <v>491.01727649102816</v>
      </c>
      <c r="Z237" s="308">
        <f t="shared" si="108"/>
        <v>529.29819445445742</v>
      </c>
      <c r="AA237" s="308">
        <f t="shared" si="108"/>
        <v>528.53468233551689</v>
      </c>
      <c r="AB237" s="308">
        <f t="shared" si="108"/>
        <v>510.64196185793799</v>
      </c>
      <c r="AC237" s="308">
        <f t="shared" si="108"/>
        <v>586.28641494261217</v>
      </c>
      <c r="AD237" s="308">
        <f t="shared" si="108"/>
        <v>619.55874553144668</v>
      </c>
      <c r="AE237" s="308">
        <f t="shared" si="108"/>
        <v>0</v>
      </c>
      <c r="AF237" s="308">
        <f t="shared" si="108"/>
        <v>0</v>
      </c>
      <c r="AG237" s="308">
        <f t="shared" si="108"/>
        <v>0</v>
      </c>
      <c r="AH237" s="308">
        <f t="shared" si="108"/>
        <v>0</v>
      </c>
      <c r="AI237" s="308">
        <f t="shared" si="108"/>
        <v>0</v>
      </c>
      <c r="AJ237" s="308">
        <f t="shared" si="108"/>
        <v>0</v>
      </c>
      <c r="AK237" s="308">
        <f t="shared" si="108"/>
        <v>0</v>
      </c>
      <c r="AL237" s="308">
        <f t="shared" si="108"/>
        <v>0</v>
      </c>
      <c r="AM237" s="308">
        <f t="shared" si="108"/>
        <v>0</v>
      </c>
      <c r="AN237" s="308">
        <f t="shared" si="108"/>
        <v>0</v>
      </c>
      <c r="AO237" s="308">
        <f t="shared" si="108"/>
        <v>0</v>
      </c>
      <c r="AP237" s="308">
        <f t="shared" si="108"/>
        <v>0</v>
      </c>
      <c r="AQ237" s="308">
        <f t="shared" si="108"/>
        <v>0</v>
      </c>
      <c r="AR237" s="308">
        <f t="shared" si="108"/>
        <v>0</v>
      </c>
      <c r="AS237" s="308">
        <f t="shared" si="108"/>
        <v>0</v>
      </c>
      <c r="AT237" s="308">
        <f t="shared" si="108"/>
        <v>0</v>
      </c>
      <c r="AU237" s="308">
        <f t="shared" si="108"/>
        <v>0</v>
      </c>
      <c r="AV237" s="308">
        <f t="shared" si="108"/>
        <v>0</v>
      </c>
    </row>
    <row r="238" spans="1:48" s="320" customFormat="1" ht="15" customHeight="1">
      <c r="A238" s="351"/>
      <c r="B238" s="134"/>
      <c r="C238" s="303"/>
      <c r="D238" s="724"/>
      <c r="E238" s="308"/>
      <c r="F238" s="6"/>
      <c r="G238" s="308"/>
      <c r="H238" s="308"/>
      <c r="I238" s="308"/>
      <c r="J238" s="308"/>
      <c r="K238" s="308"/>
      <c r="L238" s="308"/>
      <c r="M238" s="308"/>
      <c r="N238" s="308"/>
      <c r="O238" s="308"/>
      <c r="P238" s="308"/>
      <c r="Q238" s="308"/>
      <c r="R238" s="308"/>
      <c r="S238" s="308"/>
      <c r="T238" s="308"/>
      <c r="U238" s="308"/>
      <c r="V238" s="308"/>
      <c r="W238" s="308"/>
      <c r="X238" s="308"/>
      <c r="Y238" s="308"/>
      <c r="Z238" s="308"/>
      <c r="AA238" s="308"/>
      <c r="AB238" s="308"/>
      <c r="AC238" s="308"/>
      <c r="AD238" s="308"/>
      <c r="AE238" s="308"/>
      <c r="AF238" s="308"/>
      <c r="AG238" s="308"/>
      <c r="AH238" s="308"/>
      <c r="AI238" s="308"/>
      <c r="AJ238" s="308"/>
      <c r="AK238" s="308"/>
      <c r="AL238" s="308"/>
      <c r="AM238" s="308"/>
      <c r="AN238" s="308"/>
      <c r="AO238" s="308"/>
      <c r="AP238" s="308"/>
      <c r="AQ238" s="308"/>
      <c r="AR238" s="308"/>
      <c r="AS238" s="308"/>
      <c r="AT238" s="308"/>
      <c r="AU238" s="308"/>
      <c r="AV238" s="308"/>
    </row>
    <row r="239" spans="1:48" s="320" customFormat="1" ht="15" customHeight="1">
      <c r="A239" s="351"/>
      <c r="B239" s="134"/>
      <c r="C239" s="303"/>
      <c r="D239" s="724"/>
      <c r="E239" s="308" t="s">
        <v>70</v>
      </c>
      <c r="F239" s="6"/>
      <c r="G239" s="308" t="s">
        <v>29</v>
      </c>
      <c r="H239" s="308"/>
      <c r="I239" s="308"/>
      <c r="J239" s="308">
        <f xml:space="preserve"> SUM(L239:AV239)</f>
        <v>400.51607586862843</v>
      </c>
      <c r="K239" s="308"/>
      <c r="L239" s="308">
        <f t="shared" ref="L239:AV240" si="109" xml:space="preserve"> L236 * L231</f>
        <v>0</v>
      </c>
      <c r="M239" s="308">
        <f t="shared" si="109"/>
        <v>0</v>
      </c>
      <c r="N239" s="308">
        <f t="shared" si="109"/>
        <v>0</v>
      </c>
      <c r="O239" s="308">
        <f t="shared" si="109"/>
        <v>0</v>
      </c>
      <c r="P239" s="308">
        <f t="shared" si="109"/>
        <v>1.1376565173916224</v>
      </c>
      <c r="Q239" s="308">
        <f t="shared" si="109"/>
        <v>18.826514083654164</v>
      </c>
      <c r="R239" s="308">
        <f t="shared" si="109"/>
        <v>16.340162375631806</v>
      </c>
      <c r="S239" s="308">
        <f t="shared" si="109"/>
        <v>29.642956552249128</v>
      </c>
      <c r="T239" s="308">
        <f t="shared" si="109"/>
        <v>28.960094843293042</v>
      </c>
      <c r="U239" s="308">
        <f t="shared" si="109"/>
        <v>28.963787445539861</v>
      </c>
      <c r="V239" s="308">
        <f t="shared" si="109"/>
        <v>29.938005446371875</v>
      </c>
      <c r="W239" s="308">
        <f t="shared" si="109"/>
        <v>30.465141859574498</v>
      </c>
      <c r="X239" s="308">
        <f t="shared" si="109"/>
        <v>30.491404191268831</v>
      </c>
      <c r="Y239" s="308">
        <f t="shared" si="109"/>
        <v>30.736985515012009</v>
      </c>
      <c r="Z239" s="308">
        <f t="shared" si="109"/>
        <v>30.416288049472502</v>
      </c>
      <c r="AA239" s="308">
        <f t="shared" si="109"/>
        <v>30.268595140616007</v>
      </c>
      <c r="AB239" s="308">
        <f t="shared" si="109"/>
        <v>31.150852594303487</v>
      </c>
      <c r="AC239" s="308">
        <f t="shared" si="109"/>
        <v>31.646363029582954</v>
      </c>
      <c r="AD239" s="308">
        <f t="shared" si="109"/>
        <v>31.531268224666615</v>
      </c>
      <c r="AE239" s="308">
        <f t="shared" si="109"/>
        <v>0</v>
      </c>
      <c r="AF239" s="308">
        <f t="shared" si="109"/>
        <v>0</v>
      </c>
      <c r="AG239" s="308">
        <f t="shared" si="109"/>
        <v>0</v>
      </c>
      <c r="AH239" s="308">
        <f t="shared" si="109"/>
        <v>0</v>
      </c>
      <c r="AI239" s="308">
        <f t="shared" si="109"/>
        <v>0</v>
      </c>
      <c r="AJ239" s="308">
        <f t="shared" si="109"/>
        <v>0</v>
      </c>
      <c r="AK239" s="308">
        <f t="shared" si="109"/>
        <v>0</v>
      </c>
      <c r="AL239" s="308">
        <f t="shared" si="109"/>
        <v>0</v>
      </c>
      <c r="AM239" s="308">
        <f t="shared" si="109"/>
        <v>0</v>
      </c>
      <c r="AN239" s="308">
        <f t="shared" si="109"/>
        <v>0</v>
      </c>
      <c r="AO239" s="308">
        <f t="shared" si="109"/>
        <v>0</v>
      </c>
      <c r="AP239" s="308">
        <f t="shared" si="109"/>
        <v>0</v>
      </c>
      <c r="AQ239" s="308">
        <f t="shared" si="109"/>
        <v>0</v>
      </c>
      <c r="AR239" s="308">
        <f t="shared" si="109"/>
        <v>0</v>
      </c>
      <c r="AS239" s="308">
        <f t="shared" si="109"/>
        <v>0</v>
      </c>
      <c r="AT239" s="308">
        <f t="shared" si="109"/>
        <v>0</v>
      </c>
      <c r="AU239" s="308">
        <f t="shared" si="109"/>
        <v>0</v>
      </c>
      <c r="AV239" s="308">
        <f t="shared" si="109"/>
        <v>0</v>
      </c>
    </row>
    <row r="240" spans="1:48" s="320" customFormat="1" ht="15" customHeight="1">
      <c r="A240" s="351"/>
      <c r="B240" s="134"/>
      <c r="C240" s="303"/>
      <c r="D240" s="724"/>
      <c r="E240" s="308" t="s">
        <v>71</v>
      </c>
      <c r="F240" s="6"/>
      <c r="G240" s="308" t="s">
        <v>29</v>
      </c>
      <c r="H240" s="308"/>
      <c r="I240" s="308"/>
      <c r="J240" s="308">
        <f xml:space="preserve"> SUM(L240:AV240)</f>
        <v>753.60245486232589</v>
      </c>
      <c r="K240" s="308"/>
      <c r="L240" s="308">
        <f t="shared" si="109"/>
        <v>0</v>
      </c>
      <c r="M240" s="308">
        <f t="shared" si="109"/>
        <v>0</v>
      </c>
      <c r="N240" s="308">
        <f t="shared" si="109"/>
        <v>0</v>
      </c>
      <c r="O240" s="308">
        <f t="shared" si="109"/>
        <v>0</v>
      </c>
      <c r="P240" s="308">
        <f t="shared" si="109"/>
        <v>0.20506856119692693</v>
      </c>
      <c r="Q240" s="308">
        <f t="shared" si="109"/>
        <v>40.869518197966066</v>
      </c>
      <c r="R240" s="308">
        <f t="shared" si="109"/>
        <v>33.411109565874867</v>
      </c>
      <c r="S240" s="308">
        <f t="shared" si="109"/>
        <v>70.798561665940753</v>
      </c>
      <c r="T240" s="308">
        <f t="shared" si="109"/>
        <v>96.282272674877021</v>
      </c>
      <c r="U240" s="308">
        <f t="shared" si="109"/>
        <v>45.945869682312974</v>
      </c>
      <c r="V240" s="308">
        <f t="shared" si="109"/>
        <v>34.228513744814045</v>
      </c>
      <c r="W240" s="308">
        <f t="shared" si="109"/>
        <v>53.332637908197107</v>
      </c>
      <c r="X240" s="308">
        <f t="shared" si="109"/>
        <v>51.995175299846203</v>
      </c>
      <c r="Y240" s="308">
        <f t="shared" si="109"/>
        <v>49.10172764910282</v>
      </c>
      <c r="Z240" s="308">
        <f t="shared" si="109"/>
        <v>52.929819445445744</v>
      </c>
      <c r="AA240" s="308">
        <f t="shared" si="109"/>
        <v>52.853468233551695</v>
      </c>
      <c r="AB240" s="308">
        <f t="shared" si="109"/>
        <v>51.064196185793804</v>
      </c>
      <c r="AC240" s="308">
        <f t="shared" si="109"/>
        <v>58.628641494261217</v>
      </c>
      <c r="AD240" s="308">
        <f t="shared" si="109"/>
        <v>61.955874553144668</v>
      </c>
      <c r="AE240" s="308">
        <f t="shared" si="109"/>
        <v>0</v>
      </c>
      <c r="AF240" s="308">
        <f t="shared" si="109"/>
        <v>0</v>
      </c>
      <c r="AG240" s="308">
        <f t="shared" si="109"/>
        <v>0</v>
      </c>
      <c r="AH240" s="308">
        <f t="shared" si="109"/>
        <v>0</v>
      </c>
      <c r="AI240" s="308">
        <f t="shared" si="109"/>
        <v>0</v>
      </c>
      <c r="AJ240" s="308">
        <f t="shared" si="109"/>
        <v>0</v>
      </c>
      <c r="AK240" s="308">
        <f t="shared" si="109"/>
        <v>0</v>
      </c>
      <c r="AL240" s="308">
        <f t="shared" si="109"/>
        <v>0</v>
      </c>
      <c r="AM240" s="308">
        <f t="shared" si="109"/>
        <v>0</v>
      </c>
      <c r="AN240" s="308">
        <f t="shared" si="109"/>
        <v>0</v>
      </c>
      <c r="AO240" s="308">
        <f t="shared" si="109"/>
        <v>0</v>
      </c>
      <c r="AP240" s="308">
        <f t="shared" si="109"/>
        <v>0</v>
      </c>
      <c r="AQ240" s="308">
        <f t="shared" si="109"/>
        <v>0</v>
      </c>
      <c r="AR240" s="308">
        <f t="shared" si="109"/>
        <v>0</v>
      </c>
      <c r="AS240" s="308">
        <f t="shared" si="109"/>
        <v>0</v>
      </c>
      <c r="AT240" s="308">
        <f t="shared" si="109"/>
        <v>0</v>
      </c>
      <c r="AU240" s="308">
        <f t="shared" si="109"/>
        <v>0</v>
      </c>
      <c r="AV240" s="308">
        <f t="shared" si="109"/>
        <v>0</v>
      </c>
    </row>
    <row r="241" spans="1:48" s="324" customFormat="1" ht="15" customHeight="1">
      <c r="A241" s="352"/>
      <c r="B241" s="218"/>
      <c r="C241" s="329"/>
      <c r="D241" s="855"/>
      <c r="E241" s="330" t="s">
        <v>72</v>
      </c>
      <c r="F241" s="310"/>
      <c r="G241" s="330" t="s">
        <v>29</v>
      </c>
      <c r="H241" s="330"/>
      <c r="I241" s="330"/>
      <c r="J241" s="330">
        <f xml:space="preserve"> SUM(L241:AV241)</f>
        <v>1154.1185307309543</v>
      </c>
      <c r="K241" s="330"/>
      <c r="L241" s="330">
        <f t="shared" ref="L241:AV241" si="110">SUM(L239:L240)</f>
        <v>0</v>
      </c>
      <c r="M241" s="330">
        <f t="shared" si="110"/>
        <v>0</v>
      </c>
      <c r="N241" s="330">
        <f t="shared" si="110"/>
        <v>0</v>
      </c>
      <c r="O241" s="330">
        <f t="shared" si="110"/>
        <v>0</v>
      </c>
      <c r="P241" s="330">
        <f t="shared" si="110"/>
        <v>1.3427250785885494</v>
      </c>
      <c r="Q241" s="330">
        <f t="shared" si="110"/>
        <v>59.696032281620234</v>
      </c>
      <c r="R241" s="330">
        <f t="shared" si="110"/>
        <v>49.751271941506673</v>
      </c>
      <c r="S241" s="330">
        <f t="shared" si="110"/>
        <v>100.44151821818988</v>
      </c>
      <c r="T241" s="330">
        <f t="shared" si="110"/>
        <v>125.24236751817006</v>
      </c>
      <c r="U241" s="330">
        <f t="shared" si="110"/>
        <v>74.909657127852839</v>
      </c>
      <c r="V241" s="330">
        <f t="shared" si="110"/>
        <v>64.166519191185927</v>
      </c>
      <c r="W241" s="330">
        <f t="shared" si="110"/>
        <v>83.797779767771601</v>
      </c>
      <c r="X241" s="330">
        <f t="shared" si="110"/>
        <v>82.486579491115037</v>
      </c>
      <c r="Y241" s="330">
        <f t="shared" si="110"/>
        <v>79.838713164114836</v>
      </c>
      <c r="Z241" s="330">
        <f t="shared" si="110"/>
        <v>83.346107494918243</v>
      </c>
      <c r="AA241" s="330">
        <f t="shared" si="110"/>
        <v>83.122063374167709</v>
      </c>
      <c r="AB241" s="330">
        <f t="shared" si="110"/>
        <v>82.215048780097291</v>
      </c>
      <c r="AC241" s="330">
        <f t="shared" si="110"/>
        <v>90.275004523844174</v>
      </c>
      <c r="AD241" s="330">
        <f t="shared" si="110"/>
        <v>93.487142777811286</v>
      </c>
      <c r="AE241" s="330">
        <f t="shared" si="110"/>
        <v>0</v>
      </c>
      <c r="AF241" s="330">
        <f t="shared" si="110"/>
        <v>0</v>
      </c>
      <c r="AG241" s="330">
        <f t="shared" si="110"/>
        <v>0</v>
      </c>
      <c r="AH241" s="330">
        <f t="shared" si="110"/>
        <v>0</v>
      </c>
      <c r="AI241" s="330">
        <f t="shared" si="110"/>
        <v>0</v>
      </c>
      <c r="AJ241" s="330">
        <f t="shared" si="110"/>
        <v>0</v>
      </c>
      <c r="AK241" s="330">
        <f t="shared" si="110"/>
        <v>0</v>
      </c>
      <c r="AL241" s="330">
        <f t="shared" si="110"/>
        <v>0</v>
      </c>
      <c r="AM241" s="330">
        <f t="shared" si="110"/>
        <v>0</v>
      </c>
      <c r="AN241" s="330">
        <f t="shared" si="110"/>
        <v>0</v>
      </c>
      <c r="AO241" s="330">
        <f t="shared" si="110"/>
        <v>0</v>
      </c>
      <c r="AP241" s="330">
        <f t="shared" si="110"/>
        <v>0</v>
      </c>
      <c r="AQ241" s="330">
        <f t="shared" si="110"/>
        <v>0</v>
      </c>
      <c r="AR241" s="330">
        <f t="shared" si="110"/>
        <v>0</v>
      </c>
      <c r="AS241" s="330">
        <f t="shared" si="110"/>
        <v>0</v>
      </c>
      <c r="AT241" s="330">
        <f t="shared" si="110"/>
        <v>0</v>
      </c>
      <c r="AU241" s="330">
        <f t="shared" si="110"/>
        <v>0</v>
      </c>
      <c r="AV241" s="330">
        <f t="shared" si="110"/>
        <v>0</v>
      </c>
    </row>
    <row r="242" spans="1:48" s="320" customFormat="1" ht="15" customHeight="1">
      <c r="A242" s="351"/>
      <c r="B242" s="134"/>
      <c r="C242" s="303"/>
      <c r="D242" s="724"/>
      <c r="E242" s="308"/>
      <c r="F242" s="6"/>
      <c r="G242" s="308"/>
      <c r="H242" s="308"/>
      <c r="I242" s="308"/>
      <c r="J242" s="308"/>
      <c r="K242" s="308"/>
      <c r="L242" s="308"/>
      <c r="M242" s="308"/>
      <c r="N242" s="308"/>
      <c r="O242" s="308"/>
      <c r="P242" s="308"/>
      <c r="Q242" s="308"/>
      <c r="R242" s="308"/>
      <c r="S242" s="308"/>
      <c r="T242" s="308"/>
      <c r="U242" s="308"/>
      <c r="V242" s="308"/>
      <c r="W242" s="308"/>
      <c r="X242" s="308"/>
      <c r="Y242" s="308"/>
      <c r="Z242" s="308"/>
      <c r="AA242" s="308"/>
      <c r="AB242" s="308"/>
      <c r="AC242" s="308"/>
      <c r="AD242" s="308"/>
      <c r="AE242" s="308"/>
      <c r="AF242" s="308"/>
      <c r="AG242" s="308"/>
      <c r="AH242" s="308"/>
      <c r="AI242" s="308"/>
      <c r="AJ242" s="308"/>
      <c r="AK242" s="308"/>
      <c r="AL242" s="308"/>
      <c r="AM242" s="308"/>
      <c r="AN242" s="308"/>
      <c r="AO242" s="308"/>
      <c r="AP242" s="308"/>
      <c r="AQ242" s="308"/>
      <c r="AR242" s="308"/>
      <c r="AS242" s="308"/>
      <c r="AT242" s="308"/>
      <c r="AU242" s="308"/>
      <c r="AV242" s="308"/>
    </row>
    <row r="243" spans="1:48" s="320" customFormat="1" ht="15" customHeight="1">
      <c r="A243" s="351"/>
      <c r="B243" s="134"/>
      <c r="C243" s="303" t="s">
        <v>73</v>
      </c>
      <c r="D243" s="724"/>
      <c r="E243" s="308"/>
      <c r="F243" s="6"/>
      <c r="G243" s="308"/>
      <c r="H243" s="308"/>
      <c r="I243" s="308"/>
      <c r="J243" s="308"/>
      <c r="K243" s="308"/>
      <c r="L243" s="308"/>
      <c r="M243" s="308"/>
      <c r="N243" s="308"/>
      <c r="O243" s="308"/>
      <c r="P243" s="308"/>
      <c r="Q243" s="308"/>
      <c r="R243" s="308"/>
      <c r="S243" s="308"/>
      <c r="T243" s="308"/>
      <c r="U243" s="308"/>
      <c r="V243" s="308"/>
      <c r="W243" s="308"/>
      <c r="X243" s="308"/>
      <c r="Y243" s="308"/>
      <c r="Z243" s="308"/>
      <c r="AA243" s="308"/>
      <c r="AB243" s="308"/>
      <c r="AC243" s="308"/>
      <c r="AD243" s="308"/>
      <c r="AE243" s="308"/>
      <c r="AF243" s="308"/>
      <c r="AG243" s="308"/>
      <c r="AH243" s="308"/>
      <c r="AI243" s="308"/>
      <c r="AJ243" s="308"/>
      <c r="AK243" s="308"/>
      <c r="AL243" s="308"/>
      <c r="AM243" s="308"/>
      <c r="AN243" s="308"/>
      <c r="AO243" s="308"/>
      <c r="AP243" s="308"/>
      <c r="AQ243" s="308"/>
      <c r="AR243" s="308"/>
      <c r="AS243" s="308"/>
      <c r="AT243" s="308"/>
      <c r="AU243" s="308"/>
      <c r="AV243" s="308"/>
    </row>
    <row r="244" spans="1:48" s="320" customFormat="1" ht="15" customHeight="1">
      <c r="A244" s="351"/>
      <c r="B244" s="134"/>
      <c r="C244" s="303"/>
      <c r="D244" s="724"/>
      <c r="E244" s="308" t="str">
        <f t="shared" ref="E244:AV244" si="111" xml:space="preserve"> E$214</f>
        <v>Copper net revenue</v>
      </c>
      <c r="F244" s="308">
        <f t="shared" si="111"/>
        <v>0</v>
      </c>
      <c r="G244" s="308" t="str">
        <f t="shared" si="111"/>
        <v>$ mn</v>
      </c>
      <c r="H244" s="308">
        <f t="shared" si="111"/>
        <v>0</v>
      </c>
      <c r="I244" s="308">
        <f t="shared" si="111"/>
        <v>0</v>
      </c>
      <c r="J244" s="308">
        <f t="shared" si="111"/>
        <v>11467.694807333486</v>
      </c>
      <c r="K244" s="308">
        <f t="shared" si="111"/>
        <v>0</v>
      </c>
      <c r="L244" s="308">
        <f t="shared" si="111"/>
        <v>0</v>
      </c>
      <c r="M244" s="308">
        <f t="shared" si="111"/>
        <v>0</v>
      </c>
      <c r="N244" s="308">
        <f t="shared" si="111"/>
        <v>0</v>
      </c>
      <c r="O244" s="308">
        <f t="shared" si="111"/>
        <v>0</v>
      </c>
      <c r="P244" s="308">
        <f t="shared" si="111"/>
        <v>56.882825869581119</v>
      </c>
      <c r="Q244" s="308">
        <f t="shared" si="111"/>
        <v>537.90040239011887</v>
      </c>
      <c r="R244" s="308">
        <f t="shared" si="111"/>
        <v>466.86178216090872</v>
      </c>
      <c r="S244" s="308">
        <f t="shared" si="111"/>
        <v>846.94161577854641</v>
      </c>
      <c r="T244" s="308">
        <f t="shared" si="111"/>
        <v>827.43128123694396</v>
      </c>
      <c r="U244" s="308">
        <f t="shared" si="111"/>
        <v>827.53678415828165</v>
      </c>
      <c r="V244" s="308">
        <f t="shared" si="111"/>
        <v>855.37158418205354</v>
      </c>
      <c r="W244" s="308">
        <f t="shared" si="111"/>
        <v>870.43262455927129</v>
      </c>
      <c r="X244" s="308">
        <f t="shared" si="111"/>
        <v>871.18297689339511</v>
      </c>
      <c r="Y244" s="308">
        <f t="shared" si="111"/>
        <v>878.19958614320012</v>
      </c>
      <c r="Z244" s="308">
        <f t="shared" si="111"/>
        <v>869.03680141350003</v>
      </c>
      <c r="AA244" s="308">
        <f t="shared" si="111"/>
        <v>864.81700401760008</v>
      </c>
      <c r="AB244" s="308">
        <f t="shared" si="111"/>
        <v>890.0243598372424</v>
      </c>
      <c r="AC244" s="308">
        <f t="shared" si="111"/>
        <v>904.18180084522714</v>
      </c>
      <c r="AD244" s="308">
        <f t="shared" si="111"/>
        <v>900.89337784761744</v>
      </c>
      <c r="AE244" s="308">
        <f t="shared" si="111"/>
        <v>0</v>
      </c>
      <c r="AF244" s="308">
        <f t="shared" si="111"/>
        <v>0</v>
      </c>
      <c r="AG244" s="308">
        <f t="shared" si="111"/>
        <v>0</v>
      </c>
      <c r="AH244" s="308">
        <f t="shared" si="111"/>
        <v>0</v>
      </c>
      <c r="AI244" s="308">
        <f t="shared" si="111"/>
        <v>0</v>
      </c>
      <c r="AJ244" s="308">
        <f t="shared" si="111"/>
        <v>0</v>
      </c>
      <c r="AK244" s="308">
        <f t="shared" si="111"/>
        <v>0</v>
      </c>
      <c r="AL244" s="308">
        <f t="shared" si="111"/>
        <v>0</v>
      </c>
      <c r="AM244" s="308">
        <f t="shared" si="111"/>
        <v>0</v>
      </c>
      <c r="AN244" s="308">
        <f t="shared" si="111"/>
        <v>0</v>
      </c>
      <c r="AO244" s="308">
        <f t="shared" si="111"/>
        <v>0</v>
      </c>
      <c r="AP244" s="308">
        <f t="shared" si="111"/>
        <v>0</v>
      </c>
      <c r="AQ244" s="308">
        <f t="shared" si="111"/>
        <v>0</v>
      </c>
      <c r="AR244" s="308">
        <f t="shared" si="111"/>
        <v>0</v>
      </c>
      <c r="AS244" s="308">
        <f t="shared" si="111"/>
        <v>0</v>
      </c>
      <c r="AT244" s="308">
        <f t="shared" si="111"/>
        <v>0</v>
      </c>
      <c r="AU244" s="308">
        <f t="shared" si="111"/>
        <v>0</v>
      </c>
      <c r="AV244" s="308">
        <f t="shared" si="111"/>
        <v>0</v>
      </c>
    </row>
    <row r="245" spans="1:48" s="320" customFormat="1" ht="15" customHeight="1">
      <c r="A245" s="351"/>
      <c r="B245" s="134"/>
      <c r="C245" s="303"/>
      <c r="D245" s="724"/>
      <c r="E245" s="308" t="str">
        <f t="shared" ref="E245:AV245" si="112" xml:space="preserve"> E$215</f>
        <v>Cobalt net revenue</v>
      </c>
      <c r="F245" s="308">
        <f t="shared" si="112"/>
        <v>0</v>
      </c>
      <c r="G245" s="308" t="str">
        <f t="shared" si="112"/>
        <v>$ mn</v>
      </c>
      <c r="H245" s="308">
        <f t="shared" si="112"/>
        <v>0</v>
      </c>
      <c r="I245" s="308">
        <f t="shared" si="112"/>
        <v>0</v>
      </c>
      <c r="J245" s="308">
        <f t="shared" si="112"/>
        <v>7544.2272910711363</v>
      </c>
      <c r="K245" s="308">
        <f t="shared" si="112"/>
        <v>0</v>
      </c>
      <c r="L245" s="308">
        <f t="shared" si="112"/>
        <v>0</v>
      </c>
      <c r="M245" s="308">
        <f t="shared" si="112"/>
        <v>0</v>
      </c>
      <c r="N245" s="308">
        <f t="shared" si="112"/>
        <v>0</v>
      </c>
      <c r="O245" s="308">
        <f t="shared" si="112"/>
        <v>0</v>
      </c>
      <c r="P245" s="308">
        <f t="shared" si="112"/>
        <v>10.253428059846346</v>
      </c>
      <c r="Q245" s="308">
        <f t="shared" si="112"/>
        <v>408.69518197966062</v>
      </c>
      <c r="R245" s="308">
        <f t="shared" si="112"/>
        <v>334.11109565874864</v>
      </c>
      <c r="S245" s="308">
        <f t="shared" si="112"/>
        <v>707.98561665940747</v>
      </c>
      <c r="T245" s="308">
        <f t="shared" si="112"/>
        <v>962.82272674877015</v>
      </c>
      <c r="U245" s="308">
        <f t="shared" si="112"/>
        <v>459.45869682312974</v>
      </c>
      <c r="V245" s="308">
        <f t="shared" si="112"/>
        <v>342.2851374481404</v>
      </c>
      <c r="W245" s="308">
        <f t="shared" si="112"/>
        <v>533.32637908197103</v>
      </c>
      <c r="X245" s="308">
        <f t="shared" si="112"/>
        <v>519.95175299846198</v>
      </c>
      <c r="Y245" s="308">
        <f t="shared" si="112"/>
        <v>491.01727649102816</v>
      </c>
      <c r="Z245" s="308">
        <f t="shared" si="112"/>
        <v>529.29819445445742</v>
      </c>
      <c r="AA245" s="308">
        <f t="shared" si="112"/>
        <v>528.53468233551689</v>
      </c>
      <c r="AB245" s="308">
        <f t="shared" si="112"/>
        <v>510.64196185793799</v>
      </c>
      <c r="AC245" s="308">
        <f t="shared" si="112"/>
        <v>586.28641494261217</v>
      </c>
      <c r="AD245" s="308">
        <f t="shared" si="112"/>
        <v>619.55874553144668</v>
      </c>
      <c r="AE245" s="308">
        <f t="shared" si="112"/>
        <v>0</v>
      </c>
      <c r="AF245" s="308">
        <f t="shared" si="112"/>
        <v>0</v>
      </c>
      <c r="AG245" s="308">
        <f t="shared" si="112"/>
        <v>0</v>
      </c>
      <c r="AH245" s="308">
        <f t="shared" si="112"/>
        <v>0</v>
      </c>
      <c r="AI245" s="308">
        <f t="shared" si="112"/>
        <v>0</v>
      </c>
      <c r="AJ245" s="308">
        <f t="shared" si="112"/>
        <v>0</v>
      </c>
      <c r="AK245" s="308">
        <f t="shared" si="112"/>
        <v>0</v>
      </c>
      <c r="AL245" s="308">
        <f t="shared" si="112"/>
        <v>0</v>
      </c>
      <c r="AM245" s="308">
        <f t="shared" si="112"/>
        <v>0</v>
      </c>
      <c r="AN245" s="308">
        <f t="shared" si="112"/>
        <v>0</v>
      </c>
      <c r="AO245" s="308">
        <f t="shared" si="112"/>
        <v>0</v>
      </c>
      <c r="AP245" s="308">
        <f t="shared" si="112"/>
        <v>0</v>
      </c>
      <c r="AQ245" s="308">
        <f t="shared" si="112"/>
        <v>0</v>
      </c>
      <c r="AR245" s="308">
        <f t="shared" si="112"/>
        <v>0</v>
      </c>
      <c r="AS245" s="308">
        <f t="shared" si="112"/>
        <v>0</v>
      </c>
      <c r="AT245" s="308">
        <f t="shared" si="112"/>
        <v>0</v>
      </c>
      <c r="AU245" s="308">
        <f t="shared" si="112"/>
        <v>0</v>
      </c>
      <c r="AV245" s="308">
        <f t="shared" si="112"/>
        <v>0</v>
      </c>
    </row>
    <row r="246" spans="1:48" s="320" customFormat="1" ht="15" customHeight="1">
      <c r="A246" s="351"/>
      <c r="B246" s="134"/>
      <c r="C246" s="303"/>
      <c r="D246" s="724"/>
      <c r="E246" s="308"/>
      <c r="F246" s="6"/>
      <c r="G246" s="308"/>
      <c r="H246" s="308"/>
      <c r="I246" s="308"/>
      <c r="J246" s="308"/>
      <c r="K246" s="308"/>
      <c r="L246" s="308"/>
      <c r="M246" s="308"/>
      <c r="N246" s="308"/>
      <c r="O246" s="308"/>
      <c r="P246" s="308"/>
      <c r="Q246" s="308"/>
      <c r="R246" s="308"/>
      <c r="S246" s="308"/>
      <c r="T246" s="308"/>
      <c r="U246" s="308"/>
      <c r="V246" s="308"/>
      <c r="W246" s="308"/>
      <c r="X246" s="308"/>
      <c r="Y246" s="308"/>
      <c r="Z246" s="308"/>
      <c r="AA246" s="308"/>
      <c r="AB246" s="308"/>
      <c r="AC246" s="308"/>
      <c r="AD246" s="308"/>
      <c r="AE246" s="308"/>
      <c r="AF246" s="308"/>
      <c r="AG246" s="308"/>
      <c r="AH246" s="308"/>
      <c r="AI246" s="308"/>
      <c r="AJ246" s="308"/>
      <c r="AK246" s="308"/>
      <c r="AL246" s="308"/>
      <c r="AM246" s="308"/>
      <c r="AN246" s="308"/>
      <c r="AO246" s="308"/>
      <c r="AP246" s="308"/>
      <c r="AQ246" s="308"/>
      <c r="AR246" s="308"/>
      <c r="AS246" s="308"/>
      <c r="AT246" s="308"/>
      <c r="AU246" s="308"/>
      <c r="AV246" s="308"/>
    </row>
    <row r="247" spans="1:48" s="320" customFormat="1" ht="15" customHeight="1">
      <c r="A247" s="351"/>
      <c r="B247" s="134"/>
      <c r="C247" s="303"/>
      <c r="D247" s="724"/>
      <c r="E247" s="308" t="s">
        <v>74</v>
      </c>
      <c r="F247" s="6"/>
      <c r="G247" s="308" t="s">
        <v>29</v>
      </c>
      <c r="H247" s="308"/>
      <c r="I247" s="308"/>
      <c r="J247" s="308">
        <f xml:space="preserve"> SUM(L247:AV247)</f>
        <v>286.69237018333723</v>
      </c>
      <c r="K247" s="308"/>
      <c r="L247" s="308">
        <f t="shared" ref="L247:AV247" si="113" xml:space="preserve"> L244 * $F228</f>
        <v>0</v>
      </c>
      <c r="M247" s="308">
        <f t="shared" si="113"/>
        <v>0</v>
      </c>
      <c r="N247" s="308">
        <f t="shared" si="113"/>
        <v>0</v>
      </c>
      <c r="O247" s="308">
        <f t="shared" si="113"/>
        <v>0</v>
      </c>
      <c r="P247" s="308">
        <f t="shared" si="113"/>
        <v>1.4220706467395281</v>
      </c>
      <c r="Q247" s="308">
        <f t="shared" si="113"/>
        <v>13.447510059752972</v>
      </c>
      <c r="R247" s="308">
        <f t="shared" si="113"/>
        <v>11.671544554022718</v>
      </c>
      <c r="S247" s="308">
        <f t="shared" si="113"/>
        <v>21.173540394463661</v>
      </c>
      <c r="T247" s="308">
        <f t="shared" si="113"/>
        <v>20.685782030923601</v>
      </c>
      <c r="U247" s="308">
        <f t="shared" si="113"/>
        <v>20.688419603957044</v>
      </c>
      <c r="V247" s="308">
        <f t="shared" si="113"/>
        <v>21.384289604551341</v>
      </c>
      <c r="W247" s="308">
        <f t="shared" si="113"/>
        <v>21.760815613981784</v>
      </c>
      <c r="X247" s="308">
        <f t="shared" si="113"/>
        <v>21.779574422334878</v>
      </c>
      <c r="Y247" s="308">
        <f t="shared" si="113"/>
        <v>21.954989653580004</v>
      </c>
      <c r="Z247" s="308">
        <f t="shared" si="113"/>
        <v>21.725920035337502</v>
      </c>
      <c r="AA247" s="308">
        <f t="shared" si="113"/>
        <v>21.620425100440002</v>
      </c>
      <c r="AB247" s="308">
        <f t="shared" si="113"/>
        <v>22.25060899593106</v>
      </c>
      <c r="AC247" s="308">
        <f t="shared" si="113"/>
        <v>22.604545021130679</v>
      </c>
      <c r="AD247" s="308">
        <f t="shared" si="113"/>
        <v>22.522334446190438</v>
      </c>
      <c r="AE247" s="308">
        <f t="shared" si="113"/>
        <v>0</v>
      </c>
      <c r="AF247" s="308">
        <f t="shared" si="113"/>
        <v>0</v>
      </c>
      <c r="AG247" s="308">
        <f t="shared" si="113"/>
        <v>0</v>
      </c>
      <c r="AH247" s="308">
        <f t="shared" si="113"/>
        <v>0</v>
      </c>
      <c r="AI247" s="308">
        <f t="shared" si="113"/>
        <v>0</v>
      </c>
      <c r="AJ247" s="308">
        <f t="shared" si="113"/>
        <v>0</v>
      </c>
      <c r="AK247" s="308">
        <f t="shared" si="113"/>
        <v>0</v>
      </c>
      <c r="AL247" s="308">
        <f t="shared" si="113"/>
        <v>0</v>
      </c>
      <c r="AM247" s="308">
        <f t="shared" si="113"/>
        <v>0</v>
      </c>
      <c r="AN247" s="308">
        <f t="shared" si="113"/>
        <v>0</v>
      </c>
      <c r="AO247" s="308">
        <f t="shared" si="113"/>
        <v>0</v>
      </c>
      <c r="AP247" s="308">
        <f t="shared" si="113"/>
        <v>0</v>
      </c>
      <c r="AQ247" s="308">
        <f t="shared" si="113"/>
        <v>0</v>
      </c>
      <c r="AR247" s="308">
        <f t="shared" si="113"/>
        <v>0</v>
      </c>
      <c r="AS247" s="308">
        <f t="shared" si="113"/>
        <v>0</v>
      </c>
      <c r="AT247" s="308">
        <f t="shared" si="113"/>
        <v>0</v>
      </c>
      <c r="AU247" s="308">
        <f t="shared" si="113"/>
        <v>0</v>
      </c>
      <c r="AV247" s="308">
        <f t="shared" si="113"/>
        <v>0</v>
      </c>
    </row>
    <row r="248" spans="1:48" s="320" customFormat="1" ht="15" customHeight="1">
      <c r="A248" s="351"/>
      <c r="B248" s="134"/>
      <c r="C248" s="303"/>
      <c r="D248" s="724"/>
      <c r="E248" s="308" t="s">
        <v>75</v>
      </c>
      <c r="F248" s="6"/>
      <c r="G248" s="308" t="s">
        <v>29</v>
      </c>
      <c r="H248" s="308"/>
      <c r="I248" s="308"/>
      <c r="J248" s="308">
        <f xml:space="preserve"> SUM(L248:AV248)</f>
        <v>188.6056822767784</v>
      </c>
      <c r="K248" s="308"/>
      <c r="L248" s="308">
        <f t="shared" ref="L248:AV248" si="114" xml:space="preserve"> L245 * $F228</f>
        <v>0</v>
      </c>
      <c r="M248" s="308">
        <f t="shared" si="114"/>
        <v>0</v>
      </c>
      <c r="N248" s="308">
        <f t="shared" si="114"/>
        <v>0</v>
      </c>
      <c r="O248" s="308">
        <f t="shared" si="114"/>
        <v>0</v>
      </c>
      <c r="P248" s="308">
        <f t="shared" si="114"/>
        <v>0.25633570149615864</v>
      </c>
      <c r="Q248" s="308">
        <f t="shared" si="114"/>
        <v>10.217379549491516</v>
      </c>
      <c r="R248" s="308">
        <f t="shared" si="114"/>
        <v>8.3527773914687167</v>
      </c>
      <c r="S248" s="308">
        <f t="shared" si="114"/>
        <v>17.699640416485188</v>
      </c>
      <c r="T248" s="308">
        <f t="shared" si="114"/>
        <v>24.070568168719255</v>
      </c>
      <c r="U248" s="308">
        <f t="shared" si="114"/>
        <v>11.486467420578244</v>
      </c>
      <c r="V248" s="308">
        <f t="shared" si="114"/>
        <v>8.5571284362035112</v>
      </c>
      <c r="W248" s="308">
        <f t="shared" si="114"/>
        <v>13.333159477049277</v>
      </c>
      <c r="X248" s="308">
        <f t="shared" si="114"/>
        <v>12.998793824961551</v>
      </c>
      <c r="Y248" s="308">
        <f t="shared" si="114"/>
        <v>12.275431912275705</v>
      </c>
      <c r="Z248" s="308">
        <f t="shared" si="114"/>
        <v>13.232454861361436</v>
      </c>
      <c r="AA248" s="308">
        <f t="shared" si="114"/>
        <v>13.213367058387924</v>
      </c>
      <c r="AB248" s="308">
        <f t="shared" si="114"/>
        <v>12.766049046448451</v>
      </c>
      <c r="AC248" s="308">
        <f t="shared" si="114"/>
        <v>14.657160373565304</v>
      </c>
      <c r="AD248" s="308">
        <f t="shared" si="114"/>
        <v>15.488968638286167</v>
      </c>
      <c r="AE248" s="308">
        <f t="shared" si="114"/>
        <v>0</v>
      </c>
      <c r="AF248" s="308">
        <f t="shared" si="114"/>
        <v>0</v>
      </c>
      <c r="AG248" s="308">
        <f t="shared" si="114"/>
        <v>0</v>
      </c>
      <c r="AH248" s="308">
        <f t="shared" si="114"/>
        <v>0</v>
      </c>
      <c r="AI248" s="308">
        <f t="shared" si="114"/>
        <v>0</v>
      </c>
      <c r="AJ248" s="308">
        <f t="shared" si="114"/>
        <v>0</v>
      </c>
      <c r="AK248" s="308">
        <f t="shared" si="114"/>
        <v>0</v>
      </c>
      <c r="AL248" s="308">
        <f t="shared" si="114"/>
        <v>0</v>
      </c>
      <c r="AM248" s="308">
        <f t="shared" si="114"/>
        <v>0</v>
      </c>
      <c r="AN248" s="308">
        <f t="shared" si="114"/>
        <v>0</v>
      </c>
      <c r="AO248" s="308">
        <f t="shared" si="114"/>
        <v>0</v>
      </c>
      <c r="AP248" s="308">
        <f t="shared" si="114"/>
        <v>0</v>
      </c>
      <c r="AQ248" s="308">
        <f t="shared" si="114"/>
        <v>0</v>
      </c>
      <c r="AR248" s="308">
        <f t="shared" si="114"/>
        <v>0</v>
      </c>
      <c r="AS248" s="308">
        <f t="shared" si="114"/>
        <v>0</v>
      </c>
      <c r="AT248" s="308">
        <f t="shared" si="114"/>
        <v>0</v>
      </c>
      <c r="AU248" s="308">
        <f t="shared" si="114"/>
        <v>0</v>
      </c>
      <c r="AV248" s="308">
        <f t="shared" si="114"/>
        <v>0</v>
      </c>
    </row>
    <row r="249" spans="1:48" s="324" customFormat="1" ht="15" customHeight="1">
      <c r="A249" s="352"/>
      <c r="B249" s="218"/>
      <c r="C249" s="329"/>
      <c r="D249" s="855"/>
      <c r="E249" s="330" t="s">
        <v>761</v>
      </c>
      <c r="F249" s="310"/>
      <c r="G249" s="330" t="s">
        <v>29</v>
      </c>
      <c r="H249" s="330"/>
      <c r="I249" s="330"/>
      <c r="J249" s="330">
        <f xml:space="preserve"> SUM(L249:AV249)</f>
        <v>475.29805246011557</v>
      </c>
      <c r="K249" s="330"/>
      <c r="L249" s="330">
        <f t="shared" ref="L249" si="115">SUM(L247:L248)</f>
        <v>0</v>
      </c>
      <c r="M249" s="330">
        <f t="shared" ref="M249:AV249" si="116">SUM(M247:M248)</f>
        <v>0</v>
      </c>
      <c r="N249" s="330">
        <f t="shared" si="116"/>
        <v>0</v>
      </c>
      <c r="O249" s="330">
        <f t="shared" si="116"/>
        <v>0</v>
      </c>
      <c r="P249" s="330">
        <f t="shared" si="116"/>
        <v>1.6784063482356868</v>
      </c>
      <c r="Q249" s="330">
        <f t="shared" si="116"/>
        <v>23.66488960924449</v>
      </c>
      <c r="R249" s="330">
        <f t="shared" si="116"/>
        <v>20.024321945491437</v>
      </c>
      <c r="S249" s="330">
        <f t="shared" si="116"/>
        <v>38.873180810948853</v>
      </c>
      <c r="T249" s="330">
        <f t="shared" si="116"/>
        <v>44.756350199642853</v>
      </c>
      <c r="U249" s="330">
        <f t="shared" si="116"/>
        <v>32.174887024535288</v>
      </c>
      <c r="V249" s="330">
        <f t="shared" si="116"/>
        <v>29.941418040754854</v>
      </c>
      <c r="W249" s="330">
        <f t="shared" si="116"/>
        <v>35.093975091031062</v>
      </c>
      <c r="X249" s="330">
        <f t="shared" si="116"/>
        <v>34.778368247296427</v>
      </c>
      <c r="Y249" s="330">
        <f t="shared" si="116"/>
        <v>34.230421565855707</v>
      </c>
      <c r="Z249" s="330">
        <f t="shared" si="116"/>
        <v>34.958374896698942</v>
      </c>
      <c r="AA249" s="330">
        <f t="shared" si="116"/>
        <v>34.833792158827926</v>
      </c>
      <c r="AB249" s="330">
        <f t="shared" si="116"/>
        <v>35.016658042379511</v>
      </c>
      <c r="AC249" s="330">
        <f t="shared" si="116"/>
        <v>37.26170539469598</v>
      </c>
      <c r="AD249" s="330">
        <f t="shared" si="116"/>
        <v>38.011303084476609</v>
      </c>
      <c r="AE249" s="330">
        <f t="shared" si="116"/>
        <v>0</v>
      </c>
      <c r="AF249" s="330">
        <f t="shared" si="116"/>
        <v>0</v>
      </c>
      <c r="AG249" s="330">
        <f t="shared" si="116"/>
        <v>0</v>
      </c>
      <c r="AH249" s="330">
        <f t="shared" si="116"/>
        <v>0</v>
      </c>
      <c r="AI249" s="330">
        <f t="shared" si="116"/>
        <v>0</v>
      </c>
      <c r="AJ249" s="330">
        <f t="shared" si="116"/>
        <v>0</v>
      </c>
      <c r="AK249" s="330">
        <f t="shared" si="116"/>
        <v>0</v>
      </c>
      <c r="AL249" s="330">
        <f t="shared" si="116"/>
        <v>0</v>
      </c>
      <c r="AM249" s="330">
        <f t="shared" si="116"/>
        <v>0</v>
      </c>
      <c r="AN249" s="330">
        <f t="shared" si="116"/>
        <v>0</v>
      </c>
      <c r="AO249" s="330">
        <f t="shared" si="116"/>
        <v>0</v>
      </c>
      <c r="AP249" s="330">
        <f t="shared" si="116"/>
        <v>0</v>
      </c>
      <c r="AQ249" s="330">
        <f t="shared" si="116"/>
        <v>0</v>
      </c>
      <c r="AR249" s="330">
        <f t="shared" si="116"/>
        <v>0</v>
      </c>
      <c r="AS249" s="330">
        <f t="shared" si="116"/>
        <v>0</v>
      </c>
      <c r="AT249" s="330">
        <f t="shared" si="116"/>
        <v>0</v>
      </c>
      <c r="AU249" s="330">
        <f t="shared" si="116"/>
        <v>0</v>
      </c>
      <c r="AV249" s="330">
        <f t="shared" si="116"/>
        <v>0</v>
      </c>
    </row>
    <row r="250" spans="1:48" s="320" customFormat="1" ht="15" customHeight="1">
      <c r="A250" s="351"/>
      <c r="B250" s="134"/>
      <c r="C250" s="303"/>
      <c r="D250" s="724"/>
      <c r="E250" s="308"/>
      <c r="F250" s="6"/>
      <c r="G250" s="308"/>
      <c r="H250" s="308"/>
      <c r="I250" s="308"/>
      <c r="J250" s="308"/>
      <c r="K250" s="308"/>
      <c r="L250" s="308"/>
      <c r="M250" s="308"/>
      <c r="N250" s="308"/>
      <c r="O250" s="308"/>
      <c r="P250" s="308"/>
      <c r="Q250" s="308"/>
      <c r="R250" s="308"/>
      <c r="S250" s="308"/>
      <c r="T250" s="308"/>
      <c r="U250" s="308"/>
      <c r="V250" s="308"/>
      <c r="W250" s="308"/>
      <c r="X250" s="308"/>
      <c r="Y250" s="308"/>
      <c r="Z250" s="308"/>
      <c r="AA250" s="308"/>
      <c r="AB250" s="308"/>
      <c r="AC250" s="308"/>
      <c r="AD250" s="308"/>
      <c r="AE250" s="308"/>
      <c r="AF250" s="308"/>
      <c r="AG250" s="308"/>
      <c r="AH250" s="308"/>
      <c r="AI250" s="308"/>
      <c r="AJ250" s="308"/>
      <c r="AK250" s="308"/>
      <c r="AL250" s="308"/>
      <c r="AM250" s="308"/>
      <c r="AN250" s="308"/>
      <c r="AO250" s="308"/>
      <c r="AP250" s="308"/>
      <c r="AQ250" s="308"/>
      <c r="AR250" s="308"/>
      <c r="AS250" s="308"/>
      <c r="AT250" s="308"/>
      <c r="AU250" s="308"/>
      <c r="AV250" s="308"/>
    </row>
    <row r="251" spans="1:48" s="320" customFormat="1" ht="15" customHeight="1">
      <c r="A251" s="351"/>
      <c r="B251" s="134"/>
      <c r="C251" s="303" t="s">
        <v>77</v>
      </c>
      <c r="D251" s="724"/>
      <c r="E251" s="308"/>
      <c r="F251" s="6"/>
      <c r="G251" s="308"/>
      <c r="H251" s="308"/>
      <c r="I251" s="308"/>
      <c r="J251" s="308"/>
      <c r="K251" s="308"/>
      <c r="L251" s="308"/>
      <c r="M251" s="308"/>
      <c r="N251" s="308"/>
      <c r="O251" s="308"/>
      <c r="P251" s="308"/>
      <c r="Q251" s="308"/>
      <c r="R251" s="308"/>
      <c r="S251" s="308"/>
      <c r="T251" s="308"/>
      <c r="U251" s="308"/>
      <c r="V251" s="308"/>
      <c r="W251" s="308"/>
      <c r="X251" s="308"/>
      <c r="Y251" s="308"/>
      <c r="Z251" s="308"/>
      <c r="AA251" s="308"/>
      <c r="AB251" s="308"/>
      <c r="AC251" s="308"/>
      <c r="AD251" s="308"/>
      <c r="AE251" s="308"/>
      <c r="AF251" s="308"/>
      <c r="AG251" s="308"/>
      <c r="AH251" s="308"/>
      <c r="AI251" s="308"/>
      <c r="AJ251" s="308"/>
      <c r="AK251" s="308"/>
      <c r="AL251" s="308"/>
      <c r="AM251" s="308"/>
      <c r="AN251" s="308"/>
      <c r="AO251" s="308"/>
      <c r="AP251" s="308"/>
      <c r="AQ251" s="308"/>
      <c r="AR251" s="308"/>
      <c r="AS251" s="308"/>
      <c r="AT251" s="308"/>
      <c r="AU251" s="308"/>
      <c r="AV251" s="308"/>
    </row>
    <row r="252" spans="1:48" s="320" customFormat="1" ht="15" customHeight="1">
      <c r="A252" s="351"/>
      <c r="B252" s="134"/>
      <c r="C252" s="303"/>
      <c r="D252" s="724"/>
      <c r="E252" s="308" t="str">
        <f t="shared" ref="E252:AV252" si="117" xml:space="preserve"> E$241</f>
        <v>Cu + Co government royalty</v>
      </c>
      <c r="F252" s="308">
        <f t="shared" si="117"/>
        <v>0</v>
      </c>
      <c r="G252" s="308" t="str">
        <f t="shared" si="117"/>
        <v>$ mn</v>
      </c>
      <c r="H252" s="308">
        <f t="shared" si="117"/>
        <v>0</v>
      </c>
      <c r="I252" s="308">
        <f t="shared" si="117"/>
        <v>0</v>
      </c>
      <c r="J252" s="308">
        <f t="shared" si="117"/>
        <v>1154.1185307309543</v>
      </c>
      <c r="K252" s="308">
        <f t="shared" si="117"/>
        <v>0</v>
      </c>
      <c r="L252" s="308">
        <f t="shared" si="117"/>
        <v>0</v>
      </c>
      <c r="M252" s="308">
        <f t="shared" si="117"/>
        <v>0</v>
      </c>
      <c r="N252" s="308">
        <f t="shared" si="117"/>
        <v>0</v>
      </c>
      <c r="O252" s="308">
        <f t="shared" si="117"/>
        <v>0</v>
      </c>
      <c r="P252" s="308">
        <f t="shared" si="117"/>
        <v>1.3427250785885494</v>
      </c>
      <c r="Q252" s="308">
        <f t="shared" si="117"/>
        <v>59.696032281620234</v>
      </c>
      <c r="R252" s="308">
        <f t="shared" si="117"/>
        <v>49.751271941506673</v>
      </c>
      <c r="S252" s="308">
        <f t="shared" si="117"/>
        <v>100.44151821818988</v>
      </c>
      <c r="T252" s="308">
        <f t="shared" si="117"/>
        <v>125.24236751817006</v>
      </c>
      <c r="U252" s="308">
        <f t="shared" si="117"/>
        <v>74.909657127852839</v>
      </c>
      <c r="V252" s="308">
        <f t="shared" si="117"/>
        <v>64.166519191185927</v>
      </c>
      <c r="W252" s="308">
        <f t="shared" si="117"/>
        <v>83.797779767771601</v>
      </c>
      <c r="X252" s="308">
        <f t="shared" si="117"/>
        <v>82.486579491115037</v>
      </c>
      <c r="Y252" s="308">
        <f t="shared" si="117"/>
        <v>79.838713164114836</v>
      </c>
      <c r="Z252" s="308">
        <f t="shared" si="117"/>
        <v>83.346107494918243</v>
      </c>
      <c r="AA252" s="308">
        <f t="shared" si="117"/>
        <v>83.122063374167709</v>
      </c>
      <c r="AB252" s="308">
        <f t="shared" si="117"/>
        <v>82.215048780097291</v>
      </c>
      <c r="AC252" s="308">
        <f t="shared" si="117"/>
        <v>90.275004523844174</v>
      </c>
      <c r="AD252" s="308">
        <f t="shared" si="117"/>
        <v>93.487142777811286</v>
      </c>
      <c r="AE252" s="308">
        <f t="shared" si="117"/>
        <v>0</v>
      </c>
      <c r="AF252" s="308">
        <f t="shared" si="117"/>
        <v>0</v>
      </c>
      <c r="AG252" s="308">
        <f t="shared" si="117"/>
        <v>0</v>
      </c>
      <c r="AH252" s="308">
        <f t="shared" si="117"/>
        <v>0</v>
      </c>
      <c r="AI252" s="308">
        <f t="shared" si="117"/>
        <v>0</v>
      </c>
      <c r="AJ252" s="308">
        <f t="shared" si="117"/>
        <v>0</v>
      </c>
      <c r="AK252" s="308">
        <f t="shared" si="117"/>
        <v>0</v>
      </c>
      <c r="AL252" s="308">
        <f t="shared" si="117"/>
        <v>0</v>
      </c>
      <c r="AM252" s="308">
        <f t="shared" si="117"/>
        <v>0</v>
      </c>
      <c r="AN252" s="308">
        <f t="shared" si="117"/>
        <v>0</v>
      </c>
      <c r="AO252" s="308">
        <f t="shared" si="117"/>
        <v>0</v>
      </c>
      <c r="AP252" s="308">
        <f t="shared" si="117"/>
        <v>0</v>
      </c>
      <c r="AQ252" s="308">
        <f t="shared" si="117"/>
        <v>0</v>
      </c>
      <c r="AR252" s="308">
        <f t="shared" si="117"/>
        <v>0</v>
      </c>
      <c r="AS252" s="308">
        <f t="shared" si="117"/>
        <v>0</v>
      </c>
      <c r="AT252" s="308">
        <f t="shared" si="117"/>
        <v>0</v>
      </c>
      <c r="AU252" s="308">
        <f t="shared" si="117"/>
        <v>0</v>
      </c>
      <c r="AV252" s="308">
        <f t="shared" si="117"/>
        <v>0</v>
      </c>
    </row>
    <row r="253" spans="1:48" s="320" customFormat="1" ht="15" customHeight="1">
      <c r="A253" s="351"/>
      <c r="B253" s="134"/>
      <c r="C253" s="303"/>
      <c r="D253" s="724"/>
      <c r="E253" s="308" t="str">
        <f t="shared" ref="E253:AV253" si="118" xml:space="preserve"> E$249</f>
        <v>Cu + Co private royalty (treat as distribution of profit)</v>
      </c>
      <c r="F253" s="308">
        <f t="shared" si="118"/>
        <v>0</v>
      </c>
      <c r="G253" s="308" t="str">
        <f t="shared" si="118"/>
        <v>$ mn</v>
      </c>
      <c r="H253" s="308">
        <f t="shared" si="118"/>
        <v>0</v>
      </c>
      <c r="I253" s="308">
        <f t="shared" si="118"/>
        <v>0</v>
      </c>
      <c r="J253" s="308">
        <f t="shared" si="118"/>
        <v>475.29805246011557</v>
      </c>
      <c r="K253" s="308">
        <f t="shared" si="118"/>
        <v>0</v>
      </c>
      <c r="L253" s="308">
        <f t="shared" si="118"/>
        <v>0</v>
      </c>
      <c r="M253" s="308">
        <f t="shared" si="118"/>
        <v>0</v>
      </c>
      <c r="N253" s="308">
        <f t="shared" si="118"/>
        <v>0</v>
      </c>
      <c r="O253" s="308">
        <f t="shared" si="118"/>
        <v>0</v>
      </c>
      <c r="P253" s="308">
        <f t="shared" si="118"/>
        <v>1.6784063482356868</v>
      </c>
      <c r="Q253" s="308">
        <f t="shared" si="118"/>
        <v>23.66488960924449</v>
      </c>
      <c r="R253" s="308">
        <f t="shared" si="118"/>
        <v>20.024321945491437</v>
      </c>
      <c r="S253" s="308">
        <f t="shared" si="118"/>
        <v>38.873180810948853</v>
      </c>
      <c r="T253" s="308">
        <f t="shared" si="118"/>
        <v>44.756350199642853</v>
      </c>
      <c r="U253" s="308">
        <f t="shared" si="118"/>
        <v>32.174887024535288</v>
      </c>
      <c r="V253" s="308">
        <f t="shared" si="118"/>
        <v>29.941418040754854</v>
      </c>
      <c r="W253" s="308">
        <f t="shared" si="118"/>
        <v>35.093975091031062</v>
      </c>
      <c r="X253" s="308">
        <f t="shared" si="118"/>
        <v>34.778368247296427</v>
      </c>
      <c r="Y253" s="308">
        <f t="shared" si="118"/>
        <v>34.230421565855707</v>
      </c>
      <c r="Z253" s="308">
        <f t="shared" si="118"/>
        <v>34.958374896698942</v>
      </c>
      <c r="AA253" s="308">
        <f t="shared" si="118"/>
        <v>34.833792158827926</v>
      </c>
      <c r="AB253" s="308">
        <f t="shared" si="118"/>
        <v>35.016658042379511</v>
      </c>
      <c r="AC253" s="308">
        <f t="shared" si="118"/>
        <v>37.26170539469598</v>
      </c>
      <c r="AD253" s="308">
        <f t="shared" si="118"/>
        <v>38.011303084476609</v>
      </c>
      <c r="AE253" s="308">
        <f t="shared" si="118"/>
        <v>0</v>
      </c>
      <c r="AF253" s="308">
        <f t="shared" si="118"/>
        <v>0</v>
      </c>
      <c r="AG253" s="308">
        <f t="shared" si="118"/>
        <v>0</v>
      </c>
      <c r="AH253" s="308">
        <f t="shared" si="118"/>
        <v>0</v>
      </c>
      <c r="AI253" s="308">
        <f t="shared" si="118"/>
        <v>0</v>
      </c>
      <c r="AJ253" s="308">
        <f t="shared" si="118"/>
        <v>0</v>
      </c>
      <c r="AK253" s="308">
        <f t="shared" si="118"/>
        <v>0</v>
      </c>
      <c r="AL253" s="308">
        <f t="shared" si="118"/>
        <v>0</v>
      </c>
      <c r="AM253" s="308">
        <f t="shared" si="118"/>
        <v>0</v>
      </c>
      <c r="AN253" s="308">
        <f t="shared" si="118"/>
        <v>0</v>
      </c>
      <c r="AO253" s="308">
        <f t="shared" si="118"/>
        <v>0</v>
      </c>
      <c r="AP253" s="308">
        <f t="shared" si="118"/>
        <v>0</v>
      </c>
      <c r="AQ253" s="308">
        <f t="shared" si="118"/>
        <v>0</v>
      </c>
      <c r="AR253" s="308">
        <f t="shared" si="118"/>
        <v>0</v>
      </c>
      <c r="AS253" s="308">
        <f t="shared" si="118"/>
        <v>0</v>
      </c>
      <c r="AT253" s="308">
        <f t="shared" si="118"/>
        <v>0</v>
      </c>
      <c r="AU253" s="308">
        <f t="shared" si="118"/>
        <v>0</v>
      </c>
      <c r="AV253" s="308">
        <f t="shared" si="118"/>
        <v>0</v>
      </c>
    </row>
    <row r="254" spans="1:48" s="324" customFormat="1" ht="15" customHeight="1">
      <c r="A254" s="352"/>
      <c r="B254" s="218"/>
      <c r="C254" s="329"/>
      <c r="D254" s="855"/>
      <c r="E254" s="330" t="s">
        <v>78</v>
      </c>
      <c r="F254" s="310"/>
      <c r="G254" s="330" t="s">
        <v>29</v>
      </c>
      <c r="H254" s="330"/>
      <c r="I254" s="330"/>
      <c r="J254" s="330">
        <f xml:space="preserve"> SUM(L254:AV254)</f>
        <v>1629.41658319107</v>
      </c>
      <c r="K254" s="330"/>
      <c r="L254" s="330">
        <f t="shared" ref="L254:AV254" si="119">SUM(L252:L253)</f>
        <v>0</v>
      </c>
      <c r="M254" s="330">
        <f t="shared" si="119"/>
        <v>0</v>
      </c>
      <c r="N254" s="330">
        <f t="shared" si="119"/>
        <v>0</v>
      </c>
      <c r="O254" s="330">
        <f t="shared" si="119"/>
        <v>0</v>
      </c>
      <c r="P254" s="330">
        <f t="shared" si="119"/>
        <v>3.021131426824236</v>
      </c>
      <c r="Q254" s="330">
        <f t="shared" si="119"/>
        <v>83.360921890864716</v>
      </c>
      <c r="R254" s="330">
        <f t="shared" si="119"/>
        <v>69.775593886998109</v>
      </c>
      <c r="S254" s="330">
        <f t="shared" si="119"/>
        <v>139.31469902913875</v>
      </c>
      <c r="T254" s="330">
        <f t="shared" si="119"/>
        <v>169.99871771781289</v>
      </c>
      <c r="U254" s="330">
        <f t="shared" si="119"/>
        <v>107.08454415238813</v>
      </c>
      <c r="V254" s="330">
        <f t="shared" si="119"/>
        <v>94.107937231940781</v>
      </c>
      <c r="W254" s="330">
        <f t="shared" si="119"/>
        <v>118.89175485880267</v>
      </c>
      <c r="X254" s="330">
        <f t="shared" si="119"/>
        <v>117.26494773841146</v>
      </c>
      <c r="Y254" s="330">
        <f t="shared" si="119"/>
        <v>114.06913472997054</v>
      </c>
      <c r="Z254" s="330">
        <f t="shared" si="119"/>
        <v>118.30448239161719</v>
      </c>
      <c r="AA254" s="330">
        <f t="shared" si="119"/>
        <v>117.95585553299563</v>
      </c>
      <c r="AB254" s="330">
        <f t="shared" si="119"/>
        <v>117.23170682247681</v>
      </c>
      <c r="AC254" s="330">
        <f t="shared" si="119"/>
        <v>127.53670991854015</v>
      </c>
      <c r="AD254" s="330">
        <f t="shared" si="119"/>
        <v>131.49844586228789</v>
      </c>
      <c r="AE254" s="330">
        <f t="shared" si="119"/>
        <v>0</v>
      </c>
      <c r="AF254" s="330">
        <f t="shared" si="119"/>
        <v>0</v>
      </c>
      <c r="AG254" s="330">
        <f t="shared" si="119"/>
        <v>0</v>
      </c>
      <c r="AH254" s="330">
        <f t="shared" si="119"/>
        <v>0</v>
      </c>
      <c r="AI254" s="330">
        <f t="shared" si="119"/>
        <v>0</v>
      </c>
      <c r="AJ254" s="330">
        <f t="shared" si="119"/>
        <v>0</v>
      </c>
      <c r="AK254" s="330">
        <f t="shared" si="119"/>
        <v>0</v>
      </c>
      <c r="AL254" s="330">
        <f t="shared" si="119"/>
        <v>0</v>
      </c>
      <c r="AM254" s="330">
        <f t="shared" si="119"/>
        <v>0</v>
      </c>
      <c r="AN254" s="330">
        <f t="shared" si="119"/>
        <v>0</v>
      </c>
      <c r="AO254" s="330">
        <f t="shared" si="119"/>
        <v>0</v>
      </c>
      <c r="AP254" s="330">
        <f t="shared" si="119"/>
        <v>0</v>
      </c>
      <c r="AQ254" s="330">
        <f t="shared" si="119"/>
        <v>0</v>
      </c>
      <c r="AR254" s="330">
        <f t="shared" si="119"/>
        <v>0</v>
      </c>
      <c r="AS254" s="330">
        <f t="shared" si="119"/>
        <v>0</v>
      </c>
      <c r="AT254" s="330">
        <f t="shared" si="119"/>
        <v>0</v>
      </c>
      <c r="AU254" s="330">
        <f t="shared" si="119"/>
        <v>0</v>
      </c>
      <c r="AV254" s="330">
        <f t="shared" si="119"/>
        <v>0</v>
      </c>
    </row>
    <row r="255" spans="1:48" s="320" customFormat="1" ht="15" customHeight="1">
      <c r="A255" s="351"/>
      <c r="B255" s="134"/>
      <c r="C255" s="303"/>
      <c r="D255" s="724"/>
      <c r="E255" s="308"/>
      <c r="F255" s="6"/>
      <c r="G255" s="308"/>
      <c r="H255" s="308"/>
      <c r="I255" s="308"/>
      <c r="J255" s="308"/>
      <c r="K255" s="308"/>
      <c r="L255" s="308"/>
      <c r="M255" s="308"/>
      <c r="N255" s="308"/>
      <c r="O255" s="308"/>
      <c r="P255" s="308"/>
      <c r="Q255" s="308"/>
      <c r="R255" s="308"/>
      <c r="S255" s="308"/>
      <c r="T255" s="308"/>
      <c r="U255" s="308"/>
      <c r="V255" s="308"/>
      <c r="W255" s="308"/>
      <c r="X255" s="308"/>
      <c r="Y255" s="308"/>
      <c r="Z255" s="308"/>
      <c r="AA255" s="308"/>
      <c r="AB255" s="308"/>
      <c r="AC255" s="308"/>
      <c r="AD255" s="308"/>
      <c r="AE255" s="308"/>
      <c r="AF255" s="308"/>
      <c r="AG255" s="308"/>
      <c r="AH255" s="308"/>
      <c r="AI255" s="308"/>
      <c r="AJ255" s="308"/>
      <c r="AK255" s="308"/>
      <c r="AL255" s="308"/>
      <c r="AM255" s="308"/>
      <c r="AN255" s="308"/>
      <c r="AO255" s="308"/>
      <c r="AP255" s="308"/>
      <c r="AQ255" s="308"/>
      <c r="AR255" s="308"/>
      <c r="AS255" s="308"/>
      <c r="AT255" s="308"/>
      <c r="AU255" s="308"/>
      <c r="AV255" s="308"/>
    </row>
    <row r="256" spans="1:48" s="320" customFormat="1" ht="15" customHeight="1">
      <c r="A256" s="351"/>
      <c r="B256" s="134" t="s">
        <v>536</v>
      </c>
      <c r="C256" s="303"/>
      <c r="D256" s="724"/>
      <c r="E256" s="308"/>
      <c r="F256" s="6"/>
      <c r="G256" s="308"/>
      <c r="H256" s="308"/>
      <c r="I256" s="308"/>
      <c r="J256" s="308"/>
      <c r="K256" s="308"/>
      <c r="L256" s="308"/>
      <c r="M256" s="308"/>
      <c r="N256" s="308"/>
      <c r="O256" s="308"/>
      <c r="P256" s="308"/>
      <c r="Q256" s="308"/>
      <c r="R256" s="308"/>
      <c r="S256" s="308"/>
      <c r="T256" s="308"/>
      <c r="U256" s="308"/>
      <c r="V256" s="308"/>
      <c r="W256" s="308"/>
      <c r="X256" s="308"/>
      <c r="Y256" s="308"/>
      <c r="Z256" s="308"/>
      <c r="AA256" s="308"/>
      <c r="AB256" s="308"/>
      <c r="AC256" s="308"/>
      <c r="AD256" s="308"/>
      <c r="AE256" s="308"/>
      <c r="AF256" s="308"/>
      <c r="AG256" s="308"/>
      <c r="AH256" s="308"/>
      <c r="AI256" s="308"/>
      <c r="AJ256" s="308"/>
      <c r="AK256" s="308"/>
      <c r="AL256" s="308"/>
      <c r="AM256" s="308"/>
      <c r="AN256" s="308"/>
      <c r="AO256" s="308"/>
      <c r="AP256" s="308"/>
      <c r="AQ256" s="308"/>
      <c r="AR256" s="308"/>
      <c r="AS256" s="308"/>
      <c r="AT256" s="308"/>
      <c r="AU256" s="308"/>
      <c r="AV256" s="308"/>
    </row>
    <row r="257" spans="1:48" s="320" customFormat="1" ht="15" customHeight="1">
      <c r="A257" s="351"/>
      <c r="B257" s="134"/>
      <c r="C257" s="303"/>
      <c r="D257" s="724"/>
      <c r="E257" s="308" t="str">
        <f xml:space="preserve"> E214 &amp; " after royalty"</f>
        <v>Copper net revenue after royalty</v>
      </c>
      <c r="F257" s="6"/>
      <c r="G257" s="308" t="s">
        <v>29</v>
      </c>
      <c r="H257" s="308"/>
      <c r="I257" s="308"/>
      <c r="J257" s="308">
        <f xml:space="preserve"> SUM(L257:AV257)</f>
        <v>10313.576276602535</v>
      </c>
      <c r="K257" s="308"/>
      <c r="L257" s="308">
        <f t="shared" ref="L257:AV257" si="120" xml:space="preserve"> L214 - L252</f>
        <v>0</v>
      </c>
      <c r="M257" s="308">
        <f t="shared" si="120"/>
        <v>0</v>
      </c>
      <c r="N257" s="308">
        <f t="shared" si="120"/>
        <v>0</v>
      </c>
      <c r="O257" s="308">
        <f t="shared" si="120"/>
        <v>0</v>
      </c>
      <c r="P257" s="308">
        <f t="shared" si="120"/>
        <v>55.540100790992568</v>
      </c>
      <c r="Q257" s="308">
        <f t="shared" si="120"/>
        <v>478.20437010849867</v>
      </c>
      <c r="R257" s="308">
        <f t="shared" si="120"/>
        <v>417.11051021940204</v>
      </c>
      <c r="S257" s="308">
        <f t="shared" si="120"/>
        <v>746.50009756035649</v>
      </c>
      <c r="T257" s="308">
        <f t="shared" si="120"/>
        <v>702.18891371877385</v>
      </c>
      <c r="U257" s="308">
        <f t="shared" si="120"/>
        <v>752.62712703042882</v>
      </c>
      <c r="V257" s="308">
        <f t="shared" si="120"/>
        <v>791.20506499086764</v>
      </c>
      <c r="W257" s="308">
        <f t="shared" si="120"/>
        <v>786.63484479149975</v>
      </c>
      <c r="X257" s="308">
        <f t="shared" si="120"/>
        <v>788.69639740228013</v>
      </c>
      <c r="Y257" s="308">
        <f t="shared" si="120"/>
        <v>798.36087297908534</v>
      </c>
      <c r="Z257" s="308">
        <f t="shared" si="120"/>
        <v>785.69069391858181</v>
      </c>
      <c r="AA257" s="308">
        <f t="shared" si="120"/>
        <v>781.69494064343235</v>
      </c>
      <c r="AB257" s="308">
        <f t="shared" si="120"/>
        <v>807.80931105714512</v>
      </c>
      <c r="AC257" s="308">
        <f t="shared" si="120"/>
        <v>813.90679632138301</v>
      </c>
      <c r="AD257" s="308">
        <f t="shared" si="120"/>
        <v>807.40623506980614</v>
      </c>
      <c r="AE257" s="308">
        <f t="shared" si="120"/>
        <v>0</v>
      </c>
      <c r="AF257" s="308">
        <f t="shared" si="120"/>
        <v>0</v>
      </c>
      <c r="AG257" s="308">
        <f t="shared" si="120"/>
        <v>0</v>
      </c>
      <c r="AH257" s="308">
        <f t="shared" si="120"/>
        <v>0</v>
      </c>
      <c r="AI257" s="308">
        <f t="shared" si="120"/>
        <v>0</v>
      </c>
      <c r="AJ257" s="308">
        <f t="shared" si="120"/>
        <v>0</v>
      </c>
      <c r="AK257" s="308">
        <f t="shared" si="120"/>
        <v>0</v>
      </c>
      <c r="AL257" s="308">
        <f t="shared" si="120"/>
        <v>0</v>
      </c>
      <c r="AM257" s="308">
        <f t="shared" si="120"/>
        <v>0</v>
      </c>
      <c r="AN257" s="308">
        <f t="shared" si="120"/>
        <v>0</v>
      </c>
      <c r="AO257" s="308">
        <f t="shared" si="120"/>
        <v>0</v>
      </c>
      <c r="AP257" s="308">
        <f t="shared" si="120"/>
        <v>0</v>
      </c>
      <c r="AQ257" s="308">
        <f t="shared" si="120"/>
        <v>0</v>
      </c>
      <c r="AR257" s="308">
        <f t="shared" si="120"/>
        <v>0</v>
      </c>
      <c r="AS257" s="308">
        <f t="shared" si="120"/>
        <v>0</v>
      </c>
      <c r="AT257" s="308">
        <f t="shared" si="120"/>
        <v>0</v>
      </c>
      <c r="AU257" s="308">
        <f t="shared" si="120"/>
        <v>0</v>
      </c>
      <c r="AV257" s="308">
        <f t="shared" si="120"/>
        <v>0</v>
      </c>
    </row>
    <row r="258" spans="1:48" s="320" customFormat="1" ht="15" customHeight="1">
      <c r="A258" s="351"/>
      <c r="B258" s="134"/>
      <c r="C258" s="303"/>
      <c r="D258" s="724"/>
      <c r="E258" s="308" t="str">
        <f xml:space="preserve"> E215 &amp; " after royalty"</f>
        <v>Cobalt net revenue after royalty</v>
      </c>
      <c r="F258" s="6"/>
      <c r="G258" s="308" t="s">
        <v>29</v>
      </c>
      <c r="H258" s="308"/>
      <c r="I258" s="308"/>
      <c r="J258" s="308">
        <f xml:space="preserve"> SUM(L258:AV258)</f>
        <v>7068.9292386110192</v>
      </c>
      <c r="K258" s="308"/>
      <c r="L258" s="308">
        <f t="shared" ref="L258:AV258" si="121" xml:space="preserve"> L215 - L253</f>
        <v>0</v>
      </c>
      <c r="M258" s="308">
        <f t="shared" si="121"/>
        <v>0</v>
      </c>
      <c r="N258" s="308">
        <f t="shared" si="121"/>
        <v>0</v>
      </c>
      <c r="O258" s="308">
        <f t="shared" si="121"/>
        <v>0</v>
      </c>
      <c r="P258" s="308">
        <f t="shared" si="121"/>
        <v>8.5750217116106597</v>
      </c>
      <c r="Q258" s="308">
        <f t="shared" si="121"/>
        <v>385.03029237041613</v>
      </c>
      <c r="R258" s="308">
        <f t="shared" si="121"/>
        <v>314.08677371325723</v>
      </c>
      <c r="S258" s="308">
        <f t="shared" si="121"/>
        <v>669.11243584845863</v>
      </c>
      <c r="T258" s="308">
        <f t="shared" si="121"/>
        <v>918.06637654912731</v>
      </c>
      <c r="U258" s="308">
        <f t="shared" si="121"/>
        <v>427.28380979859446</v>
      </c>
      <c r="V258" s="308">
        <f t="shared" si="121"/>
        <v>312.34371940738555</v>
      </c>
      <c r="W258" s="308">
        <f t="shared" si="121"/>
        <v>498.23240399093999</v>
      </c>
      <c r="X258" s="308">
        <f t="shared" si="121"/>
        <v>485.17338475116554</v>
      </c>
      <c r="Y258" s="308">
        <f t="shared" si="121"/>
        <v>456.78685492517246</v>
      </c>
      <c r="Z258" s="308">
        <f t="shared" si="121"/>
        <v>494.33981955775846</v>
      </c>
      <c r="AA258" s="308">
        <f t="shared" si="121"/>
        <v>493.70089017668897</v>
      </c>
      <c r="AB258" s="308">
        <f t="shared" si="121"/>
        <v>475.62530381555848</v>
      </c>
      <c r="AC258" s="308">
        <f t="shared" si="121"/>
        <v>549.02470954791625</v>
      </c>
      <c r="AD258" s="308">
        <f t="shared" si="121"/>
        <v>581.54744244697008</v>
      </c>
      <c r="AE258" s="308">
        <f t="shared" si="121"/>
        <v>0</v>
      </c>
      <c r="AF258" s="308">
        <f t="shared" si="121"/>
        <v>0</v>
      </c>
      <c r="AG258" s="308">
        <f t="shared" si="121"/>
        <v>0</v>
      </c>
      <c r="AH258" s="308">
        <f t="shared" si="121"/>
        <v>0</v>
      </c>
      <c r="AI258" s="308">
        <f t="shared" si="121"/>
        <v>0</v>
      </c>
      <c r="AJ258" s="308">
        <f t="shared" si="121"/>
        <v>0</v>
      </c>
      <c r="AK258" s="308">
        <f t="shared" si="121"/>
        <v>0</v>
      </c>
      <c r="AL258" s="308">
        <f t="shared" si="121"/>
        <v>0</v>
      </c>
      <c r="AM258" s="308">
        <f t="shared" si="121"/>
        <v>0</v>
      </c>
      <c r="AN258" s="308">
        <f t="shared" si="121"/>
        <v>0</v>
      </c>
      <c r="AO258" s="308">
        <f t="shared" si="121"/>
        <v>0</v>
      </c>
      <c r="AP258" s="308">
        <f t="shared" si="121"/>
        <v>0</v>
      </c>
      <c r="AQ258" s="308">
        <f t="shared" si="121"/>
        <v>0</v>
      </c>
      <c r="AR258" s="308">
        <f t="shared" si="121"/>
        <v>0</v>
      </c>
      <c r="AS258" s="308">
        <f t="shared" si="121"/>
        <v>0</v>
      </c>
      <c r="AT258" s="308">
        <f t="shared" si="121"/>
        <v>0</v>
      </c>
      <c r="AU258" s="308">
        <f t="shared" si="121"/>
        <v>0</v>
      </c>
      <c r="AV258" s="308">
        <f t="shared" si="121"/>
        <v>0</v>
      </c>
    </row>
    <row r="259" spans="1:48" s="324" customFormat="1" ht="15" customHeight="1">
      <c r="A259" s="352"/>
      <c r="B259" s="218"/>
      <c r="C259" s="329"/>
      <c r="D259" s="855"/>
      <c r="E259" s="330" t="s">
        <v>537</v>
      </c>
      <c r="F259" s="310"/>
      <c r="G259" s="330" t="s">
        <v>29</v>
      </c>
      <c r="H259" s="330"/>
      <c r="I259" s="330"/>
      <c r="J259" s="330">
        <f xml:space="preserve"> SUM(L259:AV259)</f>
        <v>17382.505515213554</v>
      </c>
      <c r="K259" s="330"/>
      <c r="L259" s="330">
        <f t="shared" ref="L259:AV259" si="122">SUM(L257:L258)</f>
        <v>0</v>
      </c>
      <c r="M259" s="330">
        <f t="shared" si="122"/>
        <v>0</v>
      </c>
      <c r="N259" s="330">
        <f t="shared" si="122"/>
        <v>0</v>
      </c>
      <c r="O259" s="330">
        <f t="shared" si="122"/>
        <v>0</v>
      </c>
      <c r="P259" s="330">
        <f t="shared" si="122"/>
        <v>64.115122502603228</v>
      </c>
      <c r="Q259" s="330">
        <f t="shared" si="122"/>
        <v>863.23466247891474</v>
      </c>
      <c r="R259" s="330">
        <f t="shared" si="122"/>
        <v>731.19728393265927</v>
      </c>
      <c r="S259" s="330">
        <f t="shared" si="122"/>
        <v>1415.6125334088151</v>
      </c>
      <c r="T259" s="330">
        <f t="shared" si="122"/>
        <v>1620.2552902679013</v>
      </c>
      <c r="U259" s="330">
        <f t="shared" si="122"/>
        <v>1179.9109368290233</v>
      </c>
      <c r="V259" s="330">
        <f t="shared" si="122"/>
        <v>1103.5487843982532</v>
      </c>
      <c r="W259" s="330">
        <f t="shared" si="122"/>
        <v>1284.8672487824397</v>
      </c>
      <c r="X259" s="330">
        <f t="shared" si="122"/>
        <v>1273.8697821534456</v>
      </c>
      <c r="Y259" s="330">
        <f t="shared" si="122"/>
        <v>1255.1477279042579</v>
      </c>
      <c r="Z259" s="330">
        <f t="shared" si="122"/>
        <v>1280.0305134763403</v>
      </c>
      <c r="AA259" s="330">
        <f t="shared" si="122"/>
        <v>1275.3958308201213</v>
      </c>
      <c r="AB259" s="330">
        <f t="shared" si="122"/>
        <v>1283.4346148727036</v>
      </c>
      <c r="AC259" s="330">
        <f t="shared" si="122"/>
        <v>1362.9315058692991</v>
      </c>
      <c r="AD259" s="330">
        <f t="shared" si="122"/>
        <v>1388.9536775167762</v>
      </c>
      <c r="AE259" s="330">
        <f t="shared" si="122"/>
        <v>0</v>
      </c>
      <c r="AF259" s="330">
        <f t="shared" si="122"/>
        <v>0</v>
      </c>
      <c r="AG259" s="330">
        <f t="shared" si="122"/>
        <v>0</v>
      </c>
      <c r="AH259" s="330">
        <f t="shared" si="122"/>
        <v>0</v>
      </c>
      <c r="AI259" s="330">
        <f t="shared" si="122"/>
        <v>0</v>
      </c>
      <c r="AJ259" s="330">
        <f t="shared" si="122"/>
        <v>0</v>
      </c>
      <c r="AK259" s="330">
        <f t="shared" si="122"/>
        <v>0</v>
      </c>
      <c r="AL259" s="330">
        <f t="shared" si="122"/>
        <v>0</v>
      </c>
      <c r="AM259" s="330">
        <f t="shared" si="122"/>
        <v>0</v>
      </c>
      <c r="AN259" s="330">
        <f t="shared" si="122"/>
        <v>0</v>
      </c>
      <c r="AO259" s="330">
        <f t="shared" si="122"/>
        <v>0</v>
      </c>
      <c r="AP259" s="330">
        <f t="shared" si="122"/>
        <v>0</v>
      </c>
      <c r="AQ259" s="330">
        <f t="shared" si="122"/>
        <v>0</v>
      </c>
      <c r="AR259" s="330">
        <f t="shared" si="122"/>
        <v>0</v>
      </c>
      <c r="AS259" s="330">
        <f t="shared" si="122"/>
        <v>0</v>
      </c>
      <c r="AT259" s="330">
        <f t="shared" si="122"/>
        <v>0</v>
      </c>
      <c r="AU259" s="330">
        <f t="shared" si="122"/>
        <v>0</v>
      </c>
      <c r="AV259" s="330">
        <f t="shared" si="122"/>
        <v>0</v>
      </c>
    </row>
    <row r="260" spans="1:48" s="320" customFormat="1" ht="15" customHeight="1">
      <c r="A260" s="351"/>
      <c r="B260" s="134"/>
      <c r="C260" s="322"/>
      <c r="D260" s="724"/>
    </row>
    <row r="261" spans="1:48" s="320" customFormat="1" ht="15" customHeight="1">
      <c r="A261" s="351"/>
      <c r="B261" s="134" t="s">
        <v>1330</v>
      </c>
      <c r="C261" s="322"/>
      <c r="D261" s="724"/>
    </row>
    <row r="262" spans="1:48" s="320" customFormat="1" ht="15" customHeight="1">
      <c r="A262" s="351"/>
      <c r="B262" s="134"/>
      <c r="C262" s="322"/>
      <c r="D262" s="724"/>
      <c r="E262" s="320" t="str">
        <f t="shared" ref="E262:AV262" si="123" xml:space="preserve"> E$249</f>
        <v>Cu + Co private royalty (treat as distribution of profit)</v>
      </c>
      <c r="F262" s="320">
        <f t="shared" si="123"/>
        <v>0</v>
      </c>
      <c r="G262" s="320" t="str">
        <f t="shared" si="123"/>
        <v>$ mn</v>
      </c>
      <c r="H262" s="320">
        <f t="shared" si="123"/>
        <v>0</v>
      </c>
      <c r="I262" s="320">
        <f t="shared" si="123"/>
        <v>0</v>
      </c>
      <c r="J262" s="320">
        <f t="shared" si="123"/>
        <v>475.29805246011557</v>
      </c>
      <c r="K262" s="320">
        <f t="shared" si="123"/>
        <v>0</v>
      </c>
      <c r="L262" s="320">
        <f t="shared" si="123"/>
        <v>0</v>
      </c>
      <c r="M262" s="320">
        <f t="shared" si="123"/>
        <v>0</v>
      </c>
      <c r="N262" s="320">
        <f t="shared" si="123"/>
        <v>0</v>
      </c>
      <c r="O262" s="320">
        <f t="shared" si="123"/>
        <v>0</v>
      </c>
      <c r="P262" s="320">
        <f t="shared" si="123"/>
        <v>1.6784063482356868</v>
      </c>
      <c r="Q262" s="320">
        <f t="shared" si="123"/>
        <v>23.66488960924449</v>
      </c>
      <c r="R262" s="320">
        <f t="shared" si="123"/>
        <v>20.024321945491437</v>
      </c>
      <c r="S262" s="320">
        <f t="shared" si="123"/>
        <v>38.873180810948853</v>
      </c>
      <c r="T262" s="320">
        <f t="shared" si="123"/>
        <v>44.756350199642853</v>
      </c>
      <c r="U262" s="320">
        <f t="shared" si="123"/>
        <v>32.174887024535288</v>
      </c>
      <c r="V262" s="320">
        <f t="shared" si="123"/>
        <v>29.941418040754854</v>
      </c>
      <c r="W262" s="320">
        <f t="shared" si="123"/>
        <v>35.093975091031062</v>
      </c>
      <c r="X262" s="320">
        <f t="shared" si="123"/>
        <v>34.778368247296427</v>
      </c>
      <c r="Y262" s="320">
        <f t="shared" si="123"/>
        <v>34.230421565855707</v>
      </c>
      <c r="Z262" s="320">
        <f t="shared" si="123"/>
        <v>34.958374896698942</v>
      </c>
      <c r="AA262" s="320">
        <f t="shared" si="123"/>
        <v>34.833792158827926</v>
      </c>
      <c r="AB262" s="320">
        <f t="shared" si="123"/>
        <v>35.016658042379511</v>
      </c>
      <c r="AC262" s="320">
        <f t="shared" si="123"/>
        <v>37.26170539469598</v>
      </c>
      <c r="AD262" s="320">
        <f t="shared" si="123"/>
        <v>38.011303084476609</v>
      </c>
      <c r="AE262" s="320">
        <f t="shared" si="123"/>
        <v>0</v>
      </c>
      <c r="AF262" s="320">
        <f t="shared" si="123"/>
        <v>0</v>
      </c>
      <c r="AG262" s="320">
        <f t="shared" si="123"/>
        <v>0</v>
      </c>
      <c r="AH262" s="320">
        <f t="shared" si="123"/>
        <v>0</v>
      </c>
      <c r="AI262" s="320">
        <f t="shared" si="123"/>
        <v>0</v>
      </c>
      <c r="AJ262" s="320">
        <f t="shared" si="123"/>
        <v>0</v>
      </c>
      <c r="AK262" s="320">
        <f t="shared" si="123"/>
        <v>0</v>
      </c>
      <c r="AL262" s="320">
        <f t="shared" si="123"/>
        <v>0</v>
      </c>
      <c r="AM262" s="320">
        <f t="shared" si="123"/>
        <v>0</v>
      </c>
      <c r="AN262" s="320">
        <f t="shared" si="123"/>
        <v>0</v>
      </c>
      <c r="AO262" s="320">
        <f t="shared" si="123"/>
        <v>0</v>
      </c>
      <c r="AP262" s="320">
        <f t="shared" si="123"/>
        <v>0</v>
      </c>
      <c r="AQ262" s="320">
        <f t="shared" si="123"/>
        <v>0</v>
      </c>
      <c r="AR262" s="320">
        <f t="shared" si="123"/>
        <v>0</v>
      </c>
      <c r="AS262" s="320">
        <f t="shared" si="123"/>
        <v>0</v>
      </c>
      <c r="AT262" s="320">
        <f t="shared" si="123"/>
        <v>0</v>
      </c>
      <c r="AU262" s="320">
        <f t="shared" si="123"/>
        <v>0</v>
      </c>
      <c r="AV262" s="320">
        <f t="shared" si="123"/>
        <v>0</v>
      </c>
    </row>
    <row r="263" spans="1:48" s="338" customFormat="1" ht="15" customHeight="1">
      <c r="A263" s="909"/>
      <c r="B263" s="910"/>
      <c r="C263" s="911"/>
      <c r="D263" s="912"/>
      <c r="E263" s="913" t="str">
        <f t="shared" ref="E263:AV263" si="124" xml:space="preserve"> E$942</f>
        <v>Discount factor_2017</v>
      </c>
      <c r="F263" s="913">
        <f t="shared" si="124"/>
        <v>0</v>
      </c>
      <c r="G263" s="913" t="str">
        <f t="shared" si="124"/>
        <v>factor</v>
      </c>
      <c r="H263" s="913">
        <f t="shared" si="124"/>
        <v>0</v>
      </c>
      <c r="I263" s="913">
        <f t="shared" si="124"/>
        <v>0</v>
      </c>
      <c r="J263" s="913">
        <f t="shared" si="124"/>
        <v>0</v>
      </c>
      <c r="K263" s="913">
        <f t="shared" si="124"/>
        <v>0</v>
      </c>
      <c r="L263" s="913">
        <f t="shared" si="124"/>
        <v>0</v>
      </c>
      <c r="M263" s="913">
        <f t="shared" si="124"/>
        <v>0</v>
      </c>
      <c r="N263" s="913">
        <f t="shared" si="124"/>
        <v>0</v>
      </c>
      <c r="O263" s="913">
        <f t="shared" si="124"/>
        <v>0.95346258924559224</v>
      </c>
      <c r="P263" s="913">
        <f t="shared" si="124"/>
        <v>0.86678417204144742</v>
      </c>
      <c r="Q263" s="913">
        <f t="shared" si="124"/>
        <v>0.78798561094677033</v>
      </c>
      <c r="R263" s="913">
        <f t="shared" si="124"/>
        <v>0.71635055540615489</v>
      </c>
      <c r="S263" s="913">
        <f t="shared" si="124"/>
        <v>0.65122777764195883</v>
      </c>
      <c r="T263" s="913">
        <f t="shared" si="124"/>
        <v>0.59202525240178083</v>
      </c>
      <c r="U263" s="913">
        <f t="shared" si="124"/>
        <v>0.53820477491070973</v>
      </c>
      <c r="V263" s="913">
        <f t="shared" si="124"/>
        <v>0.48927706810064514</v>
      </c>
      <c r="W263" s="913">
        <f t="shared" si="124"/>
        <v>0.44479733463695009</v>
      </c>
      <c r="X263" s="913">
        <f t="shared" si="124"/>
        <v>0.4043612133063183</v>
      </c>
      <c r="Y263" s="913">
        <f t="shared" si="124"/>
        <v>0.36760110300574383</v>
      </c>
      <c r="Z263" s="913">
        <f t="shared" si="124"/>
        <v>0.33418282091431251</v>
      </c>
      <c r="AA263" s="913">
        <f t="shared" si="124"/>
        <v>0.30380256446755688</v>
      </c>
      <c r="AB263" s="913">
        <f t="shared" si="124"/>
        <v>0.27618414951596076</v>
      </c>
      <c r="AC263" s="913">
        <f t="shared" si="124"/>
        <v>0.25107649955996431</v>
      </c>
      <c r="AD263" s="913">
        <f t="shared" si="124"/>
        <v>0.22825136323633116</v>
      </c>
      <c r="AE263" s="913">
        <f t="shared" si="124"/>
        <v>0.20750123930575562</v>
      </c>
      <c r="AF263" s="913">
        <f t="shared" si="124"/>
        <v>0.18863749027795962</v>
      </c>
      <c r="AG263" s="913">
        <f t="shared" si="124"/>
        <v>0.17148862752541782</v>
      </c>
      <c r="AH263" s="913">
        <f t="shared" si="124"/>
        <v>0.15589875229583436</v>
      </c>
      <c r="AI263" s="913">
        <f t="shared" si="124"/>
        <v>0.14172613845075852</v>
      </c>
      <c r="AJ263" s="913">
        <f t="shared" si="124"/>
        <v>0.1288419440461441</v>
      </c>
      <c r="AK263" s="913">
        <f t="shared" si="124"/>
        <v>0.11712904004194918</v>
      </c>
      <c r="AL263" s="913">
        <f t="shared" si="124"/>
        <v>0.10648094549268106</v>
      </c>
      <c r="AM263" s="913">
        <f t="shared" si="124"/>
        <v>9.6800859538800965E-2</v>
      </c>
      <c r="AN263" s="913">
        <f t="shared" si="124"/>
        <v>8.8000781398909919E-2</v>
      </c>
      <c r="AO263" s="913">
        <f t="shared" si="124"/>
        <v>8.0000710362645402E-2</v>
      </c>
      <c r="AP263" s="913">
        <f t="shared" si="124"/>
        <v>7.272791851149582E-2</v>
      </c>
      <c r="AQ263" s="913">
        <f t="shared" si="124"/>
        <v>6.6116289555905275E-2</v>
      </c>
      <c r="AR263" s="913">
        <f t="shared" si="124"/>
        <v>6.0105717778095702E-2</v>
      </c>
      <c r="AS263" s="913">
        <f t="shared" si="124"/>
        <v>5.4641561616450646E-2</v>
      </c>
      <c r="AT263" s="913">
        <f t="shared" si="124"/>
        <v>4.967414692404603E-2</v>
      </c>
      <c r="AU263" s="913">
        <f t="shared" si="124"/>
        <v>4.5158315385496389E-2</v>
      </c>
      <c r="AV263" s="913">
        <f t="shared" si="124"/>
        <v>4.1053013986814886E-2</v>
      </c>
    </row>
    <row r="264" spans="1:48" s="320" customFormat="1" ht="15" customHeight="1">
      <c r="A264" s="351"/>
      <c r="B264" s="134"/>
      <c r="C264" s="322"/>
      <c r="D264" s="724"/>
      <c r="E264" s="807" t="str">
        <f xml:space="preserve"> B261</f>
        <v>NPV10 of Private Royalties</v>
      </c>
      <c r="F264" s="807"/>
      <c r="G264" s="807" t="s">
        <v>29</v>
      </c>
      <c r="H264" s="807"/>
      <c r="I264" s="807"/>
      <c r="J264" s="807">
        <f xml:space="preserve"> SUM(L264:AV264)</f>
        <v>210.44902487538516</v>
      </c>
      <c r="K264" s="807"/>
      <c r="L264" s="807">
        <f t="shared" ref="L264:AV264" si="125" xml:space="preserve"> L262 * L263</f>
        <v>0</v>
      </c>
      <c r="M264" s="807">
        <f t="shared" si="125"/>
        <v>0</v>
      </c>
      <c r="N264" s="807">
        <f t="shared" si="125"/>
        <v>0</v>
      </c>
      <c r="O264" s="807">
        <f t="shared" si="125"/>
        <v>0</v>
      </c>
      <c r="P264" s="807">
        <f t="shared" si="125"/>
        <v>1.4548160569045792</v>
      </c>
      <c r="Q264" s="807">
        <f t="shared" si="125"/>
        <v>18.647592496728397</v>
      </c>
      <c r="R264" s="807">
        <f t="shared" si="125"/>
        <v>14.344434147284447</v>
      </c>
      <c r="S264" s="807">
        <f t="shared" si="125"/>
        <v>25.315295149388259</v>
      </c>
      <c r="T264" s="807">
        <f t="shared" si="125"/>
        <v>26.496889523526054</v>
      </c>
      <c r="U264" s="807">
        <f t="shared" si="125"/>
        <v>17.316677828817529</v>
      </c>
      <c r="V264" s="807">
        <f t="shared" si="125"/>
        <v>14.649649233756298</v>
      </c>
      <c r="W264" s="807">
        <f t="shared" si="125"/>
        <v>15.609706582306135</v>
      </c>
      <c r="X264" s="807">
        <f t="shared" si="125"/>
        <v>14.063023181290719</v>
      </c>
      <c r="Y264" s="807">
        <f t="shared" si="125"/>
        <v>12.58314072396016</v>
      </c>
      <c r="Z264" s="807">
        <f t="shared" si="125"/>
        <v>11.68248833755894</v>
      </c>
      <c r="AA264" s="807">
        <f t="shared" si="125"/>
        <v>10.582595387981799</v>
      </c>
      <c r="AB264" s="807">
        <f t="shared" si="125"/>
        <v>9.6710459203258132</v>
      </c>
      <c r="AC264" s="807">
        <f t="shared" si="125"/>
        <v>9.3555385581349046</v>
      </c>
      <c r="AD264" s="807">
        <f t="shared" si="125"/>
        <v>8.6761317474211452</v>
      </c>
      <c r="AE264" s="807">
        <f t="shared" si="125"/>
        <v>0</v>
      </c>
      <c r="AF264" s="807">
        <f t="shared" si="125"/>
        <v>0</v>
      </c>
      <c r="AG264" s="807">
        <f t="shared" si="125"/>
        <v>0</v>
      </c>
      <c r="AH264" s="807">
        <f t="shared" si="125"/>
        <v>0</v>
      </c>
      <c r="AI264" s="807">
        <f t="shared" si="125"/>
        <v>0</v>
      </c>
      <c r="AJ264" s="807">
        <f t="shared" si="125"/>
        <v>0</v>
      </c>
      <c r="AK264" s="807">
        <f t="shared" si="125"/>
        <v>0</v>
      </c>
      <c r="AL264" s="807">
        <f t="shared" si="125"/>
        <v>0</v>
      </c>
      <c r="AM264" s="807">
        <f t="shared" si="125"/>
        <v>0</v>
      </c>
      <c r="AN264" s="807">
        <f t="shared" si="125"/>
        <v>0</v>
      </c>
      <c r="AO264" s="807">
        <f t="shared" si="125"/>
        <v>0</v>
      </c>
      <c r="AP264" s="807">
        <f t="shared" si="125"/>
        <v>0</v>
      </c>
      <c r="AQ264" s="807">
        <f t="shared" si="125"/>
        <v>0</v>
      </c>
      <c r="AR264" s="807">
        <f t="shared" si="125"/>
        <v>0</v>
      </c>
      <c r="AS264" s="807">
        <f t="shared" si="125"/>
        <v>0</v>
      </c>
      <c r="AT264" s="807">
        <f t="shared" si="125"/>
        <v>0</v>
      </c>
      <c r="AU264" s="807">
        <f t="shared" si="125"/>
        <v>0</v>
      </c>
      <c r="AV264" s="807">
        <f t="shared" si="125"/>
        <v>0</v>
      </c>
    </row>
    <row r="265" spans="1:48" s="320" customFormat="1" ht="15" customHeight="1">
      <c r="A265" s="351"/>
      <c r="B265" s="134"/>
      <c r="C265" s="322"/>
      <c r="D265" s="724"/>
      <c r="E265" s="320" t="str">
        <f xml:space="preserve"> "Total " &amp; E264</f>
        <v>Total NPV10 of Private Royalties</v>
      </c>
      <c r="F265" s="320">
        <f>SUM(L264:AV264)</f>
        <v>210.44902487538516</v>
      </c>
      <c r="G265" s="320" t="s">
        <v>29</v>
      </c>
    </row>
    <row r="266" spans="1:48" s="320" customFormat="1" ht="15" customHeight="1">
      <c r="A266" s="351"/>
      <c r="B266" s="134"/>
      <c r="C266" s="322"/>
      <c r="D266" s="724"/>
    </row>
    <row r="267" spans="1:48" s="320" customFormat="1" ht="15" customHeight="1">
      <c r="A267" s="351"/>
      <c r="B267" s="134" t="s">
        <v>1333</v>
      </c>
      <c r="C267" s="322"/>
      <c r="D267" s="724"/>
    </row>
    <row r="268" spans="1:48" s="320" customFormat="1" ht="15" customHeight="1">
      <c r="A268" s="351"/>
      <c r="B268" s="134"/>
      <c r="C268" s="322"/>
      <c r="D268" s="724"/>
      <c r="E268" s="320" t="str">
        <f xml:space="preserve"> E$265</f>
        <v>Total NPV10 of Private Royalties</v>
      </c>
      <c r="F268" s="320">
        <f xml:space="preserve"> F$265</f>
        <v>210.44902487538516</v>
      </c>
      <c r="G268" s="320" t="str">
        <f xml:space="preserve"> G$265</f>
        <v>$ mn</v>
      </c>
    </row>
    <row r="269" spans="1:48" s="320" customFormat="1" ht="15" customHeight="1">
      <c r="A269" s="351"/>
      <c r="B269" s="134"/>
      <c r="C269" s="322"/>
      <c r="D269" s="724"/>
      <c r="E269" s="132" t="str">
        <f xml:space="preserve"> InputsCon!E$144</f>
        <v>Sale to Multree of 2.5% royalties</v>
      </c>
      <c r="F269" s="112">
        <f xml:space="preserve"> InputsCon!F$144</f>
        <v>55</v>
      </c>
      <c r="G269" s="112" t="str">
        <f xml:space="preserve"> InputsCon!G$144</f>
        <v>$ mn</v>
      </c>
    </row>
    <row r="270" spans="1:48" s="136" customFormat="1" ht="15" customHeight="1">
      <c r="A270" s="574"/>
      <c r="B270" s="574"/>
      <c r="C270" s="575"/>
      <c r="D270" s="576"/>
      <c r="E270" s="136" t="str">
        <f xml:space="preserve"> B267</f>
        <v>Value at risk from sale of smelter royalties</v>
      </c>
      <c r="F270" s="187">
        <f xml:space="preserve"> F268 - F269</f>
        <v>155.44902487538516</v>
      </c>
      <c r="G270" s="187" t="s">
        <v>29</v>
      </c>
    </row>
    <row r="271" spans="1:48" s="320" customFormat="1" ht="15" customHeight="1">
      <c r="A271" s="351"/>
      <c r="B271" s="134"/>
      <c r="C271" s="322"/>
      <c r="D271" s="724"/>
    </row>
    <row r="272" spans="1:48" s="160" customFormat="1" ht="15" customHeight="1">
      <c r="A272" s="164" t="s">
        <v>1200</v>
      </c>
      <c r="B272" s="162"/>
      <c r="C272" s="315"/>
      <c r="D272" s="386"/>
      <c r="E272" s="162"/>
      <c r="F272" s="162"/>
      <c r="G272" s="162"/>
      <c r="H272" s="162"/>
    </row>
    <row r="273" spans="1:48" s="6" customFormat="1" ht="15" customHeight="1">
      <c r="A273" s="349"/>
      <c r="B273" s="95"/>
      <c r="C273" s="96"/>
      <c r="D273" s="369"/>
    </row>
    <row r="274" spans="1:48" s="6" customFormat="1" ht="15" customHeight="1">
      <c r="A274" s="349"/>
      <c r="B274" s="134" t="s">
        <v>1201</v>
      </c>
      <c r="C274" s="96"/>
      <c r="D274" s="369"/>
    </row>
    <row r="275" spans="1:48" s="6" customFormat="1" ht="15" customHeight="1">
      <c r="A275" s="349"/>
      <c r="B275" s="95"/>
      <c r="C275" s="96"/>
      <c r="D275" s="369"/>
      <c r="E275" s="70" t="str">
        <f xml:space="preserve"> InputsCon!E$77</f>
        <v>Subnational Royalty Allocation 1</v>
      </c>
      <c r="F275" s="472">
        <f xml:space="preserve"> InputsCon!F$77</f>
        <v>2019</v>
      </c>
      <c r="G275" s="70" t="str">
        <f xml:space="preserve"> InputsCon!G$77</f>
        <v>year</v>
      </c>
    </row>
    <row r="276" spans="1:48" s="6" customFormat="1" ht="15" customHeight="1">
      <c r="A276" s="349"/>
      <c r="B276" s="95"/>
      <c r="C276" s="96"/>
      <c r="D276" s="369"/>
      <c r="E276" s="70" t="str">
        <f xml:space="preserve"> InputsCon!E$78</f>
        <v>Treasury share of royalties</v>
      </c>
      <c r="F276" s="798">
        <f xml:space="preserve"> InputsCon!F$78</f>
        <v>0.5</v>
      </c>
      <c r="G276" s="70" t="str">
        <f xml:space="preserve"> InputsCon!G$78</f>
        <v>%</v>
      </c>
    </row>
    <row r="277" spans="1:48" s="6" customFormat="1" ht="15" customHeight="1">
      <c r="A277" s="349"/>
      <c r="B277" s="95"/>
      <c r="C277" s="96"/>
      <c r="D277" s="369"/>
      <c r="E277" s="70" t="str">
        <f xml:space="preserve"> InputsCon!E$79</f>
        <v>Province share of royalties</v>
      </c>
      <c r="F277" s="798">
        <f xml:space="preserve"> InputsCon!F$79</f>
        <v>0.25</v>
      </c>
      <c r="G277" s="70" t="str">
        <f xml:space="preserve"> InputsCon!G$79</f>
        <v>%</v>
      </c>
    </row>
    <row r="278" spans="1:48" s="6" customFormat="1" ht="15" customHeight="1">
      <c r="A278" s="349"/>
      <c r="B278" s="95"/>
      <c r="C278" s="96"/>
      <c r="D278" s="369"/>
      <c r="E278" s="70" t="str">
        <f xml:space="preserve"> InputsCon!E$80</f>
        <v xml:space="preserve">Entite Territoriale Decentralise royalties </v>
      </c>
      <c r="F278" s="798">
        <f xml:space="preserve"> InputsCon!F$80</f>
        <v>0.15</v>
      </c>
      <c r="G278" s="70" t="str">
        <f xml:space="preserve"> InputsCon!G$80</f>
        <v>%</v>
      </c>
    </row>
    <row r="279" spans="1:48" s="6" customFormat="1" ht="15" customHeight="1">
      <c r="A279" s="349"/>
      <c r="B279" s="95"/>
      <c r="C279" s="96"/>
      <c r="D279" s="369"/>
      <c r="E279" s="70" t="str">
        <f xml:space="preserve"> InputsCon!E$81</f>
        <v>FOMIN share of royalties</v>
      </c>
      <c r="F279" s="798">
        <f xml:space="preserve"> InputsCon!F$81</f>
        <v>0.1</v>
      </c>
      <c r="G279" s="70" t="str">
        <f xml:space="preserve"> InputsCon!G$81</f>
        <v>%</v>
      </c>
    </row>
    <row r="280" spans="1:48" s="6" customFormat="1" ht="15" customHeight="1">
      <c r="A280" s="349"/>
      <c r="B280" s="95"/>
      <c r="C280" s="96"/>
      <c r="D280" s="369"/>
      <c r="E280" s="70" t="str">
        <f xml:space="preserve"> InputsCon!E$82</f>
        <v>FONAREV share of royalties</v>
      </c>
      <c r="F280" s="70">
        <f xml:space="preserve"> InputsCon!F$82</f>
        <v>0</v>
      </c>
      <c r="G280" s="70" t="str">
        <f xml:space="preserve"> InputsCon!G$82</f>
        <v>%</v>
      </c>
    </row>
    <row r="281" spans="1:48" s="6" customFormat="1" ht="15" customHeight="1">
      <c r="A281" s="349"/>
      <c r="B281" s="95"/>
      <c r="C281" s="96"/>
      <c r="D281" s="369"/>
      <c r="E281" s="70" t="str">
        <f xml:space="preserve"> InputsCon!E$84</f>
        <v>Subnational Royalty Allocation 1</v>
      </c>
      <c r="F281" s="472">
        <f xml:space="preserve"> InputsCon!F$84</f>
        <v>2024</v>
      </c>
      <c r="G281" s="70" t="str">
        <f xml:space="preserve"> InputsCon!G$84</f>
        <v>year</v>
      </c>
    </row>
    <row r="282" spans="1:48" s="6" customFormat="1" ht="15" customHeight="1">
      <c r="A282" s="349"/>
      <c r="B282" s="95"/>
      <c r="C282" s="96"/>
      <c r="D282" s="369"/>
      <c r="E282" s="70" t="str">
        <f xml:space="preserve"> InputsCon!E$85</f>
        <v>Treasury share of royalties</v>
      </c>
      <c r="F282" s="798">
        <f xml:space="preserve"> InputsCon!F$85</f>
        <v>0.44</v>
      </c>
      <c r="G282" s="70" t="str">
        <f xml:space="preserve"> InputsCon!G$85</f>
        <v>%</v>
      </c>
    </row>
    <row r="283" spans="1:48" s="6" customFormat="1" ht="15" customHeight="1">
      <c r="A283" s="349"/>
      <c r="B283" s="95"/>
      <c r="C283" s="96"/>
      <c r="D283" s="369"/>
      <c r="E283" s="70" t="str">
        <f xml:space="preserve"> InputsCon!E$86</f>
        <v>Province share of royalties</v>
      </c>
      <c r="F283" s="798">
        <f xml:space="preserve"> InputsCon!F$86</f>
        <v>0.23</v>
      </c>
      <c r="G283" s="70" t="str">
        <f xml:space="preserve"> InputsCon!G$86</f>
        <v>%</v>
      </c>
    </row>
    <row r="284" spans="1:48" s="6" customFormat="1" ht="15" customHeight="1">
      <c r="A284" s="349"/>
      <c r="B284" s="95"/>
      <c r="C284" s="96"/>
      <c r="D284" s="369"/>
      <c r="E284" s="70" t="str">
        <f xml:space="preserve"> InputsCon!E$87</f>
        <v xml:space="preserve">Entite Territoriale Decentralise royalties </v>
      </c>
      <c r="F284" s="798">
        <f xml:space="preserve"> InputsCon!F$87</f>
        <v>0.14000000000000001</v>
      </c>
      <c r="G284" s="70" t="str">
        <f xml:space="preserve"> InputsCon!G$87</f>
        <v>%</v>
      </c>
    </row>
    <row r="285" spans="1:48" s="6" customFormat="1" ht="15" customHeight="1">
      <c r="A285" s="349"/>
      <c r="B285" s="95"/>
      <c r="C285" s="96"/>
      <c r="D285" s="369"/>
      <c r="E285" s="70" t="str">
        <f xml:space="preserve"> InputsCon!E$88</f>
        <v>FOMIN share of royalties</v>
      </c>
      <c r="F285" s="798">
        <f xml:space="preserve"> InputsCon!F$88</f>
        <v>0.08</v>
      </c>
      <c r="G285" s="70" t="str">
        <f xml:space="preserve"> InputsCon!G$88</f>
        <v>%</v>
      </c>
    </row>
    <row r="286" spans="1:48" s="6" customFormat="1" ht="15" customHeight="1">
      <c r="A286" s="349"/>
      <c r="B286" s="95"/>
      <c r="C286" s="96"/>
      <c r="D286" s="369"/>
      <c r="E286" s="70" t="str">
        <f xml:space="preserve"> InputsCon!E$89</f>
        <v>FONAREV share of royalties</v>
      </c>
      <c r="F286" s="798">
        <f xml:space="preserve"> InputsCon!F$89</f>
        <v>0.11</v>
      </c>
      <c r="G286" s="70" t="str">
        <f xml:space="preserve"> InputsCon!G$89</f>
        <v>%</v>
      </c>
    </row>
    <row r="287" spans="1:48" s="6" customFormat="1" ht="15" customHeight="1">
      <c r="A287" s="349"/>
      <c r="B287" s="95"/>
      <c r="C287" s="96"/>
      <c r="D287" s="369"/>
    </row>
    <row r="288" spans="1:48" s="132" customFormat="1" ht="15" customHeight="1">
      <c r="A288" s="133"/>
      <c r="B288" s="133"/>
      <c r="C288" s="361"/>
      <c r="D288" s="725"/>
      <c r="E288" s="176" t="str">
        <f xml:space="preserve"> 'T&amp;E'!E$9</f>
        <v>Model calendar year</v>
      </c>
      <c r="F288" s="176">
        <f xml:space="preserve"> 'T&amp;E'!F$9</f>
        <v>0</v>
      </c>
      <c r="G288" s="176" t="str">
        <f xml:space="preserve"> 'T&amp;E'!G$9</f>
        <v>year</v>
      </c>
      <c r="H288" s="176">
        <f xml:space="preserve"> 'T&amp;E'!H$9</f>
        <v>0</v>
      </c>
      <c r="I288" s="176">
        <f xml:space="preserve"> 'T&amp;E'!I$9</f>
        <v>0</v>
      </c>
      <c r="J288" s="176">
        <f xml:space="preserve"> 'T&amp;E'!J$9</f>
        <v>0</v>
      </c>
      <c r="K288" s="176">
        <f xml:space="preserve"> 'T&amp;E'!K$9</f>
        <v>0</v>
      </c>
      <c r="L288" s="176">
        <f xml:space="preserve"> 'T&amp;E'!L$9</f>
        <v>2014</v>
      </c>
      <c r="M288" s="176">
        <f xml:space="preserve"> 'T&amp;E'!M$9</f>
        <v>2015</v>
      </c>
      <c r="N288" s="176">
        <f xml:space="preserve"> 'T&amp;E'!N$9</f>
        <v>2016</v>
      </c>
      <c r="O288" s="176">
        <f xml:space="preserve"> 'T&amp;E'!O$9</f>
        <v>2017</v>
      </c>
      <c r="P288" s="176">
        <f xml:space="preserve"> 'T&amp;E'!P$9</f>
        <v>2018</v>
      </c>
      <c r="Q288" s="176">
        <f xml:space="preserve"> 'T&amp;E'!Q$9</f>
        <v>2019</v>
      </c>
      <c r="R288" s="176">
        <f xml:space="preserve"> 'T&amp;E'!R$9</f>
        <v>2020</v>
      </c>
      <c r="S288" s="176">
        <f xml:space="preserve"> 'T&amp;E'!S$9</f>
        <v>2021</v>
      </c>
      <c r="T288" s="176">
        <f xml:space="preserve"> 'T&amp;E'!T$9</f>
        <v>2022</v>
      </c>
      <c r="U288" s="176">
        <f xml:space="preserve"> 'T&amp;E'!U$9</f>
        <v>2023</v>
      </c>
      <c r="V288" s="176">
        <f xml:space="preserve"> 'T&amp;E'!V$9</f>
        <v>2024</v>
      </c>
      <c r="W288" s="176">
        <f xml:space="preserve"> 'T&amp;E'!W$9</f>
        <v>2025</v>
      </c>
      <c r="X288" s="176">
        <f xml:space="preserve"> 'T&amp;E'!X$9</f>
        <v>2026</v>
      </c>
      <c r="Y288" s="176">
        <f xml:space="preserve"> 'T&amp;E'!Y$9</f>
        <v>2027</v>
      </c>
      <c r="Z288" s="176">
        <f xml:space="preserve"> 'T&amp;E'!Z$9</f>
        <v>2028</v>
      </c>
      <c r="AA288" s="176">
        <f xml:space="preserve"> 'T&amp;E'!AA$9</f>
        <v>2029</v>
      </c>
      <c r="AB288" s="176">
        <f xml:space="preserve"> 'T&amp;E'!AB$9</f>
        <v>2030</v>
      </c>
      <c r="AC288" s="176">
        <f xml:space="preserve"> 'T&amp;E'!AC$9</f>
        <v>2031</v>
      </c>
      <c r="AD288" s="176">
        <f xml:space="preserve"> 'T&amp;E'!AD$9</f>
        <v>2032</v>
      </c>
      <c r="AE288" s="176">
        <f xml:space="preserve"> 'T&amp;E'!AE$9</f>
        <v>2033</v>
      </c>
      <c r="AF288" s="176">
        <f xml:space="preserve"> 'T&amp;E'!AF$9</f>
        <v>2034</v>
      </c>
      <c r="AG288" s="176">
        <f xml:space="preserve"> 'T&amp;E'!AG$9</f>
        <v>2035</v>
      </c>
      <c r="AH288" s="176">
        <f xml:space="preserve"> 'T&amp;E'!AH$9</f>
        <v>2036</v>
      </c>
      <c r="AI288" s="176">
        <f xml:space="preserve"> 'T&amp;E'!AI$9</f>
        <v>2037</v>
      </c>
      <c r="AJ288" s="176">
        <f xml:space="preserve"> 'T&amp;E'!AJ$9</f>
        <v>2038</v>
      </c>
      <c r="AK288" s="176">
        <f xml:space="preserve"> 'T&amp;E'!AK$9</f>
        <v>2039</v>
      </c>
      <c r="AL288" s="176">
        <f xml:space="preserve"> 'T&amp;E'!AL$9</f>
        <v>2040</v>
      </c>
      <c r="AM288" s="176">
        <f xml:space="preserve"> 'T&amp;E'!AM$9</f>
        <v>2041</v>
      </c>
      <c r="AN288" s="176">
        <f xml:space="preserve"> 'T&amp;E'!AN$9</f>
        <v>2042</v>
      </c>
      <c r="AO288" s="176">
        <f xml:space="preserve"> 'T&amp;E'!AO$9</f>
        <v>2043</v>
      </c>
      <c r="AP288" s="176">
        <f xml:space="preserve"> 'T&amp;E'!AP$9</f>
        <v>2044</v>
      </c>
      <c r="AQ288" s="176">
        <f xml:space="preserve"> 'T&amp;E'!AQ$9</f>
        <v>2045</v>
      </c>
      <c r="AR288" s="176">
        <f xml:space="preserve"> 'T&amp;E'!AR$9</f>
        <v>2046</v>
      </c>
      <c r="AS288" s="176">
        <f xml:space="preserve"> 'T&amp;E'!AS$9</f>
        <v>2047</v>
      </c>
      <c r="AT288" s="176">
        <f xml:space="preserve"> 'T&amp;E'!AT$9</f>
        <v>2048</v>
      </c>
      <c r="AU288" s="176">
        <f xml:space="preserve"> 'T&amp;E'!AU$9</f>
        <v>2049</v>
      </c>
      <c r="AV288" s="176">
        <f xml:space="preserve"> 'T&amp;E'!AV$9</f>
        <v>2050</v>
      </c>
    </row>
    <row r="289" spans="1:48" s="6" customFormat="1" ht="15" customHeight="1">
      <c r="A289" s="349"/>
      <c r="B289" s="95"/>
      <c r="C289" s="96"/>
      <c r="D289" s="369"/>
      <c r="E289" s="6" t="str">
        <f>E276</f>
        <v>Treasury share of royalties</v>
      </c>
      <c r="G289" s="6" t="s">
        <v>26</v>
      </c>
      <c r="L289" s="81">
        <f t="shared" ref="L289:AV289" si="126">_xlfn.IFS(L$288&lt;$F$275,0,AND(L$288&gt;=$F$275,L$288&lt;$F$281),$F276,L$288&gt;=$F$281,$F282)</f>
        <v>0</v>
      </c>
      <c r="M289" s="81">
        <f t="shared" si="126"/>
        <v>0</v>
      </c>
      <c r="N289" s="81">
        <f t="shared" si="126"/>
        <v>0</v>
      </c>
      <c r="O289" s="81">
        <f t="shared" si="126"/>
        <v>0</v>
      </c>
      <c r="P289" s="81">
        <f t="shared" si="126"/>
        <v>0</v>
      </c>
      <c r="Q289" s="81">
        <f>_xlfn.IFS(Q$288 &lt; $F$275, 0, AND(Q$288 &gt;= $F$275, Q$288 &lt; $F$281), $F276, Q$288 &gt;= $F$281, $F282)</f>
        <v>0.5</v>
      </c>
      <c r="R289" s="81">
        <f t="shared" si="126"/>
        <v>0.5</v>
      </c>
      <c r="S289" s="81">
        <f t="shared" si="126"/>
        <v>0.5</v>
      </c>
      <c r="T289" s="81">
        <f t="shared" si="126"/>
        <v>0.5</v>
      </c>
      <c r="U289" s="81">
        <f t="shared" si="126"/>
        <v>0.5</v>
      </c>
      <c r="V289" s="81">
        <f t="shared" si="126"/>
        <v>0.44</v>
      </c>
      <c r="W289" s="81">
        <f t="shared" si="126"/>
        <v>0.44</v>
      </c>
      <c r="X289" s="81">
        <f t="shared" si="126"/>
        <v>0.44</v>
      </c>
      <c r="Y289" s="81">
        <f t="shared" si="126"/>
        <v>0.44</v>
      </c>
      <c r="Z289" s="81">
        <f t="shared" si="126"/>
        <v>0.44</v>
      </c>
      <c r="AA289" s="81">
        <f t="shared" si="126"/>
        <v>0.44</v>
      </c>
      <c r="AB289" s="81">
        <f t="shared" si="126"/>
        <v>0.44</v>
      </c>
      <c r="AC289" s="81">
        <f t="shared" si="126"/>
        <v>0.44</v>
      </c>
      <c r="AD289" s="81">
        <f t="shared" si="126"/>
        <v>0.44</v>
      </c>
      <c r="AE289" s="81">
        <f t="shared" si="126"/>
        <v>0.44</v>
      </c>
      <c r="AF289" s="81">
        <f t="shared" si="126"/>
        <v>0.44</v>
      </c>
      <c r="AG289" s="81">
        <f t="shared" si="126"/>
        <v>0.44</v>
      </c>
      <c r="AH289" s="81">
        <f t="shared" si="126"/>
        <v>0.44</v>
      </c>
      <c r="AI289" s="81">
        <f t="shared" si="126"/>
        <v>0.44</v>
      </c>
      <c r="AJ289" s="81">
        <f t="shared" si="126"/>
        <v>0.44</v>
      </c>
      <c r="AK289" s="81">
        <f t="shared" si="126"/>
        <v>0.44</v>
      </c>
      <c r="AL289" s="81">
        <f t="shared" si="126"/>
        <v>0.44</v>
      </c>
      <c r="AM289" s="81">
        <f t="shared" si="126"/>
        <v>0.44</v>
      </c>
      <c r="AN289" s="81">
        <f t="shared" si="126"/>
        <v>0.44</v>
      </c>
      <c r="AO289" s="81">
        <f t="shared" si="126"/>
        <v>0.44</v>
      </c>
      <c r="AP289" s="81">
        <f t="shared" si="126"/>
        <v>0.44</v>
      </c>
      <c r="AQ289" s="81">
        <f t="shared" si="126"/>
        <v>0.44</v>
      </c>
      <c r="AR289" s="81">
        <f t="shared" si="126"/>
        <v>0.44</v>
      </c>
      <c r="AS289" s="81">
        <f t="shared" si="126"/>
        <v>0.44</v>
      </c>
      <c r="AT289" s="81">
        <f t="shared" si="126"/>
        <v>0.44</v>
      </c>
      <c r="AU289" s="81">
        <f t="shared" si="126"/>
        <v>0.44</v>
      </c>
      <c r="AV289" s="81">
        <f t="shared" si="126"/>
        <v>0.44</v>
      </c>
    </row>
    <row r="290" spans="1:48" s="6" customFormat="1" ht="15" customHeight="1">
      <c r="A290" s="349"/>
      <c r="B290" s="95"/>
      <c r="C290" s="96"/>
      <c r="D290" s="369"/>
      <c r="E290" s="6" t="str">
        <f>E277</f>
        <v>Province share of royalties</v>
      </c>
      <c r="G290" s="6" t="s">
        <v>26</v>
      </c>
      <c r="L290" s="81">
        <f t="shared" ref="L290:AV290" si="127">_xlfn.IFS(L$288&lt;$F$275,0,AND(L$288&gt;=$F$275,L$288&lt;$F$281),$F277,L$288&gt;=$F$281,$F283)</f>
        <v>0</v>
      </c>
      <c r="M290" s="81">
        <f t="shared" si="127"/>
        <v>0</v>
      </c>
      <c r="N290" s="81">
        <f t="shared" si="127"/>
        <v>0</v>
      </c>
      <c r="O290" s="81">
        <f t="shared" si="127"/>
        <v>0</v>
      </c>
      <c r="P290" s="81">
        <f t="shared" si="127"/>
        <v>0</v>
      </c>
      <c r="Q290" s="81">
        <f t="shared" si="127"/>
        <v>0.25</v>
      </c>
      <c r="R290" s="81">
        <f t="shared" si="127"/>
        <v>0.25</v>
      </c>
      <c r="S290" s="81">
        <f t="shared" si="127"/>
        <v>0.25</v>
      </c>
      <c r="T290" s="81">
        <f t="shared" si="127"/>
        <v>0.25</v>
      </c>
      <c r="U290" s="81">
        <f t="shared" si="127"/>
        <v>0.25</v>
      </c>
      <c r="V290" s="81">
        <f t="shared" si="127"/>
        <v>0.23</v>
      </c>
      <c r="W290" s="81">
        <f t="shared" si="127"/>
        <v>0.23</v>
      </c>
      <c r="X290" s="81">
        <f t="shared" si="127"/>
        <v>0.23</v>
      </c>
      <c r="Y290" s="81">
        <f t="shared" si="127"/>
        <v>0.23</v>
      </c>
      <c r="Z290" s="81">
        <f t="shared" si="127"/>
        <v>0.23</v>
      </c>
      <c r="AA290" s="81">
        <f t="shared" si="127"/>
        <v>0.23</v>
      </c>
      <c r="AB290" s="81">
        <f t="shared" si="127"/>
        <v>0.23</v>
      </c>
      <c r="AC290" s="81">
        <f t="shared" si="127"/>
        <v>0.23</v>
      </c>
      <c r="AD290" s="81">
        <f t="shared" si="127"/>
        <v>0.23</v>
      </c>
      <c r="AE290" s="81">
        <f t="shared" si="127"/>
        <v>0.23</v>
      </c>
      <c r="AF290" s="81">
        <f t="shared" si="127"/>
        <v>0.23</v>
      </c>
      <c r="AG290" s="81">
        <f t="shared" si="127"/>
        <v>0.23</v>
      </c>
      <c r="AH290" s="81">
        <f t="shared" si="127"/>
        <v>0.23</v>
      </c>
      <c r="AI290" s="81">
        <f t="shared" si="127"/>
        <v>0.23</v>
      </c>
      <c r="AJ290" s="81">
        <f t="shared" si="127"/>
        <v>0.23</v>
      </c>
      <c r="AK290" s="81">
        <f t="shared" si="127"/>
        <v>0.23</v>
      </c>
      <c r="AL290" s="81">
        <f t="shared" si="127"/>
        <v>0.23</v>
      </c>
      <c r="AM290" s="81">
        <f t="shared" si="127"/>
        <v>0.23</v>
      </c>
      <c r="AN290" s="81">
        <f t="shared" si="127"/>
        <v>0.23</v>
      </c>
      <c r="AO290" s="81">
        <f t="shared" si="127"/>
        <v>0.23</v>
      </c>
      <c r="AP290" s="81">
        <f t="shared" si="127"/>
        <v>0.23</v>
      </c>
      <c r="AQ290" s="81">
        <f t="shared" si="127"/>
        <v>0.23</v>
      </c>
      <c r="AR290" s="81">
        <f t="shared" si="127"/>
        <v>0.23</v>
      </c>
      <c r="AS290" s="81">
        <f t="shared" si="127"/>
        <v>0.23</v>
      </c>
      <c r="AT290" s="81">
        <f t="shared" si="127"/>
        <v>0.23</v>
      </c>
      <c r="AU290" s="81">
        <f t="shared" si="127"/>
        <v>0.23</v>
      </c>
      <c r="AV290" s="81">
        <f t="shared" si="127"/>
        <v>0.23</v>
      </c>
    </row>
    <row r="291" spans="1:48" s="6" customFormat="1" ht="15" customHeight="1">
      <c r="A291" s="349"/>
      <c r="B291" s="95"/>
      <c r="C291" s="96"/>
      <c r="D291" s="369"/>
      <c r="E291" s="6" t="str">
        <f>E278</f>
        <v xml:space="preserve">Entite Territoriale Decentralise royalties </v>
      </c>
      <c r="G291" s="6" t="s">
        <v>26</v>
      </c>
      <c r="L291" s="81">
        <f t="shared" ref="L291:AV291" si="128">_xlfn.IFS(L$288&lt;$F$275,0,AND(L$288&gt;=$F$275,L$288&lt;$F$281),$F278,L$288&gt;=$F$281,$F284)</f>
        <v>0</v>
      </c>
      <c r="M291" s="81">
        <f t="shared" si="128"/>
        <v>0</v>
      </c>
      <c r="N291" s="81">
        <f t="shared" si="128"/>
        <v>0</v>
      </c>
      <c r="O291" s="81">
        <f t="shared" si="128"/>
        <v>0</v>
      </c>
      <c r="P291" s="81">
        <f t="shared" si="128"/>
        <v>0</v>
      </c>
      <c r="Q291" s="81">
        <f t="shared" si="128"/>
        <v>0.15</v>
      </c>
      <c r="R291" s="81">
        <f t="shared" si="128"/>
        <v>0.15</v>
      </c>
      <c r="S291" s="81">
        <f t="shared" si="128"/>
        <v>0.15</v>
      </c>
      <c r="T291" s="81">
        <f t="shared" si="128"/>
        <v>0.15</v>
      </c>
      <c r="U291" s="81">
        <f t="shared" si="128"/>
        <v>0.15</v>
      </c>
      <c r="V291" s="81">
        <f t="shared" si="128"/>
        <v>0.14000000000000001</v>
      </c>
      <c r="W291" s="81">
        <f t="shared" si="128"/>
        <v>0.14000000000000001</v>
      </c>
      <c r="X291" s="81">
        <f t="shared" si="128"/>
        <v>0.14000000000000001</v>
      </c>
      <c r="Y291" s="81">
        <f t="shared" si="128"/>
        <v>0.14000000000000001</v>
      </c>
      <c r="Z291" s="81">
        <f t="shared" si="128"/>
        <v>0.14000000000000001</v>
      </c>
      <c r="AA291" s="81">
        <f t="shared" si="128"/>
        <v>0.14000000000000001</v>
      </c>
      <c r="AB291" s="81">
        <f t="shared" si="128"/>
        <v>0.14000000000000001</v>
      </c>
      <c r="AC291" s="81">
        <f t="shared" si="128"/>
        <v>0.14000000000000001</v>
      </c>
      <c r="AD291" s="81">
        <f t="shared" si="128"/>
        <v>0.14000000000000001</v>
      </c>
      <c r="AE291" s="81">
        <f t="shared" si="128"/>
        <v>0.14000000000000001</v>
      </c>
      <c r="AF291" s="81">
        <f t="shared" si="128"/>
        <v>0.14000000000000001</v>
      </c>
      <c r="AG291" s="81">
        <f t="shared" si="128"/>
        <v>0.14000000000000001</v>
      </c>
      <c r="AH291" s="81">
        <f t="shared" si="128"/>
        <v>0.14000000000000001</v>
      </c>
      <c r="AI291" s="81">
        <f t="shared" si="128"/>
        <v>0.14000000000000001</v>
      </c>
      <c r="AJ291" s="81">
        <f t="shared" si="128"/>
        <v>0.14000000000000001</v>
      </c>
      <c r="AK291" s="81">
        <f t="shared" si="128"/>
        <v>0.14000000000000001</v>
      </c>
      <c r="AL291" s="81">
        <f t="shared" si="128"/>
        <v>0.14000000000000001</v>
      </c>
      <c r="AM291" s="81">
        <f t="shared" si="128"/>
        <v>0.14000000000000001</v>
      </c>
      <c r="AN291" s="81">
        <f t="shared" si="128"/>
        <v>0.14000000000000001</v>
      </c>
      <c r="AO291" s="81">
        <f t="shared" si="128"/>
        <v>0.14000000000000001</v>
      </c>
      <c r="AP291" s="81">
        <f t="shared" si="128"/>
        <v>0.14000000000000001</v>
      </c>
      <c r="AQ291" s="81">
        <f t="shared" si="128"/>
        <v>0.14000000000000001</v>
      </c>
      <c r="AR291" s="81">
        <f t="shared" si="128"/>
        <v>0.14000000000000001</v>
      </c>
      <c r="AS291" s="81">
        <f t="shared" si="128"/>
        <v>0.14000000000000001</v>
      </c>
      <c r="AT291" s="81">
        <f t="shared" si="128"/>
        <v>0.14000000000000001</v>
      </c>
      <c r="AU291" s="81">
        <f t="shared" si="128"/>
        <v>0.14000000000000001</v>
      </c>
      <c r="AV291" s="81">
        <f t="shared" si="128"/>
        <v>0.14000000000000001</v>
      </c>
    </row>
    <row r="292" spans="1:48" s="6" customFormat="1" ht="15" customHeight="1">
      <c r="A292" s="349"/>
      <c r="B292" s="95"/>
      <c r="C292" s="96"/>
      <c r="D292" s="369"/>
      <c r="E292" s="6" t="str">
        <f>E279</f>
        <v>FOMIN share of royalties</v>
      </c>
      <c r="G292" s="6" t="s">
        <v>26</v>
      </c>
      <c r="L292" s="81">
        <f t="shared" ref="L292:AV292" si="129">_xlfn.IFS(L$288&lt;$F$275,0,AND(L$288&gt;=$F$275,L$288&lt;$F$281),$F279,L$288&gt;=$F$281,$F285)</f>
        <v>0</v>
      </c>
      <c r="M292" s="81">
        <f t="shared" si="129"/>
        <v>0</v>
      </c>
      <c r="N292" s="81">
        <f t="shared" si="129"/>
        <v>0</v>
      </c>
      <c r="O292" s="81">
        <f t="shared" si="129"/>
        <v>0</v>
      </c>
      <c r="P292" s="81">
        <f t="shared" si="129"/>
        <v>0</v>
      </c>
      <c r="Q292" s="81">
        <f t="shared" si="129"/>
        <v>0.1</v>
      </c>
      <c r="R292" s="81">
        <f t="shared" si="129"/>
        <v>0.1</v>
      </c>
      <c r="S292" s="81">
        <f t="shared" si="129"/>
        <v>0.1</v>
      </c>
      <c r="T292" s="81">
        <f t="shared" si="129"/>
        <v>0.1</v>
      </c>
      <c r="U292" s="81">
        <f t="shared" si="129"/>
        <v>0.1</v>
      </c>
      <c r="V292" s="81">
        <f t="shared" si="129"/>
        <v>0.08</v>
      </c>
      <c r="W292" s="81">
        <f t="shared" si="129"/>
        <v>0.08</v>
      </c>
      <c r="X292" s="81">
        <f t="shared" si="129"/>
        <v>0.08</v>
      </c>
      <c r="Y292" s="81">
        <f t="shared" si="129"/>
        <v>0.08</v>
      </c>
      <c r="Z292" s="81">
        <f t="shared" si="129"/>
        <v>0.08</v>
      </c>
      <c r="AA292" s="81">
        <f t="shared" si="129"/>
        <v>0.08</v>
      </c>
      <c r="AB292" s="81">
        <f t="shared" si="129"/>
        <v>0.08</v>
      </c>
      <c r="AC292" s="81">
        <f t="shared" si="129"/>
        <v>0.08</v>
      </c>
      <c r="AD292" s="81">
        <f t="shared" si="129"/>
        <v>0.08</v>
      </c>
      <c r="AE292" s="81">
        <f t="shared" si="129"/>
        <v>0.08</v>
      </c>
      <c r="AF292" s="81">
        <f t="shared" si="129"/>
        <v>0.08</v>
      </c>
      <c r="AG292" s="81">
        <f t="shared" si="129"/>
        <v>0.08</v>
      </c>
      <c r="AH292" s="81">
        <f t="shared" si="129"/>
        <v>0.08</v>
      </c>
      <c r="AI292" s="81">
        <f t="shared" si="129"/>
        <v>0.08</v>
      </c>
      <c r="AJ292" s="81">
        <f t="shared" si="129"/>
        <v>0.08</v>
      </c>
      <c r="AK292" s="81">
        <f t="shared" si="129"/>
        <v>0.08</v>
      </c>
      <c r="AL292" s="81">
        <f t="shared" si="129"/>
        <v>0.08</v>
      </c>
      <c r="AM292" s="81">
        <f t="shared" si="129"/>
        <v>0.08</v>
      </c>
      <c r="AN292" s="81">
        <f t="shared" si="129"/>
        <v>0.08</v>
      </c>
      <c r="AO292" s="81">
        <f t="shared" si="129"/>
        <v>0.08</v>
      </c>
      <c r="AP292" s="81">
        <f t="shared" si="129"/>
        <v>0.08</v>
      </c>
      <c r="AQ292" s="81">
        <f t="shared" si="129"/>
        <v>0.08</v>
      </c>
      <c r="AR292" s="81">
        <f t="shared" si="129"/>
        <v>0.08</v>
      </c>
      <c r="AS292" s="81">
        <f t="shared" si="129"/>
        <v>0.08</v>
      </c>
      <c r="AT292" s="81">
        <f t="shared" si="129"/>
        <v>0.08</v>
      </c>
      <c r="AU292" s="81">
        <f t="shared" si="129"/>
        <v>0.08</v>
      </c>
      <c r="AV292" s="81">
        <f t="shared" si="129"/>
        <v>0.08</v>
      </c>
    </row>
    <row r="293" spans="1:48" s="6" customFormat="1" ht="15" customHeight="1">
      <c r="A293" s="349"/>
      <c r="B293" s="95"/>
      <c r="C293" s="96"/>
      <c r="D293" s="369"/>
      <c r="E293" s="6" t="str">
        <f>E280</f>
        <v>FONAREV share of royalties</v>
      </c>
      <c r="G293" s="6" t="s">
        <v>26</v>
      </c>
      <c r="L293" s="81">
        <f t="shared" ref="L293:AV293" si="130">_xlfn.IFS(L$288&lt;$F$275,0,AND(L$288&gt;=$F$275,L$288&lt;$F$281),$F280,L$288&gt;=$F$281,$F286)</f>
        <v>0</v>
      </c>
      <c r="M293" s="81">
        <f t="shared" si="130"/>
        <v>0</v>
      </c>
      <c r="N293" s="81">
        <f t="shared" si="130"/>
        <v>0</v>
      </c>
      <c r="O293" s="81">
        <f t="shared" si="130"/>
        <v>0</v>
      </c>
      <c r="P293" s="81">
        <f t="shared" si="130"/>
        <v>0</v>
      </c>
      <c r="Q293" s="81">
        <f t="shared" si="130"/>
        <v>0</v>
      </c>
      <c r="R293" s="81">
        <f t="shared" si="130"/>
        <v>0</v>
      </c>
      <c r="S293" s="81">
        <f t="shared" si="130"/>
        <v>0</v>
      </c>
      <c r="T293" s="81">
        <f t="shared" si="130"/>
        <v>0</v>
      </c>
      <c r="U293" s="81">
        <f t="shared" si="130"/>
        <v>0</v>
      </c>
      <c r="V293" s="81">
        <f t="shared" si="130"/>
        <v>0.11</v>
      </c>
      <c r="W293" s="81">
        <f t="shared" si="130"/>
        <v>0.11</v>
      </c>
      <c r="X293" s="81">
        <f t="shared" si="130"/>
        <v>0.11</v>
      </c>
      <c r="Y293" s="81">
        <f t="shared" si="130"/>
        <v>0.11</v>
      </c>
      <c r="Z293" s="81">
        <f t="shared" si="130"/>
        <v>0.11</v>
      </c>
      <c r="AA293" s="81">
        <f t="shared" si="130"/>
        <v>0.11</v>
      </c>
      <c r="AB293" s="81">
        <f t="shared" si="130"/>
        <v>0.11</v>
      </c>
      <c r="AC293" s="81">
        <f t="shared" si="130"/>
        <v>0.11</v>
      </c>
      <c r="AD293" s="81">
        <f t="shared" si="130"/>
        <v>0.11</v>
      </c>
      <c r="AE293" s="81">
        <f t="shared" si="130"/>
        <v>0.11</v>
      </c>
      <c r="AF293" s="81">
        <f t="shared" si="130"/>
        <v>0.11</v>
      </c>
      <c r="AG293" s="81">
        <f t="shared" si="130"/>
        <v>0.11</v>
      </c>
      <c r="AH293" s="81">
        <f t="shared" si="130"/>
        <v>0.11</v>
      </c>
      <c r="AI293" s="81">
        <f t="shared" si="130"/>
        <v>0.11</v>
      </c>
      <c r="AJ293" s="81">
        <f t="shared" si="130"/>
        <v>0.11</v>
      </c>
      <c r="AK293" s="81">
        <f t="shared" si="130"/>
        <v>0.11</v>
      </c>
      <c r="AL293" s="81">
        <f t="shared" si="130"/>
        <v>0.11</v>
      </c>
      <c r="AM293" s="81">
        <f t="shared" si="130"/>
        <v>0.11</v>
      </c>
      <c r="AN293" s="81">
        <f t="shared" si="130"/>
        <v>0.11</v>
      </c>
      <c r="AO293" s="81">
        <f t="shared" si="130"/>
        <v>0.11</v>
      </c>
      <c r="AP293" s="81">
        <f t="shared" si="130"/>
        <v>0.11</v>
      </c>
      <c r="AQ293" s="81">
        <f t="shared" si="130"/>
        <v>0.11</v>
      </c>
      <c r="AR293" s="81">
        <f t="shared" si="130"/>
        <v>0.11</v>
      </c>
      <c r="AS293" s="81">
        <f t="shared" si="130"/>
        <v>0.11</v>
      </c>
      <c r="AT293" s="81">
        <f t="shared" si="130"/>
        <v>0.11</v>
      </c>
      <c r="AU293" s="81">
        <f t="shared" si="130"/>
        <v>0.11</v>
      </c>
      <c r="AV293" s="81">
        <f t="shared" si="130"/>
        <v>0.11</v>
      </c>
    </row>
    <row r="294" spans="1:48" s="6" customFormat="1" ht="15" customHeight="1">
      <c r="A294" s="349"/>
      <c r="B294" s="95"/>
      <c r="C294" s="96"/>
      <c r="D294" s="369"/>
    </row>
    <row r="295" spans="1:48" s="6" customFormat="1" ht="15" customHeight="1">
      <c r="A295" s="349"/>
      <c r="B295" s="95"/>
      <c r="C295" s="96"/>
      <c r="D295" s="369"/>
      <c r="E295" s="6" t="str">
        <f t="shared" ref="E295:AV295" si="131" xml:space="preserve"> E$241</f>
        <v>Cu + Co government royalty</v>
      </c>
      <c r="F295" s="6">
        <f t="shared" si="131"/>
        <v>0</v>
      </c>
      <c r="G295" s="6" t="str">
        <f t="shared" si="131"/>
        <v>$ mn</v>
      </c>
      <c r="H295" s="6">
        <f t="shared" si="131"/>
        <v>0</v>
      </c>
      <c r="I295" s="6">
        <f t="shared" si="131"/>
        <v>0</v>
      </c>
      <c r="J295" s="6">
        <f t="shared" si="131"/>
        <v>1154.1185307309543</v>
      </c>
      <c r="K295" s="6">
        <f t="shared" si="131"/>
        <v>0</v>
      </c>
      <c r="L295" s="6">
        <f t="shared" si="131"/>
        <v>0</v>
      </c>
      <c r="M295" s="6">
        <f t="shared" si="131"/>
        <v>0</v>
      </c>
      <c r="N295" s="6">
        <f t="shared" si="131"/>
        <v>0</v>
      </c>
      <c r="O295" s="6">
        <f t="shared" si="131"/>
        <v>0</v>
      </c>
      <c r="P295" s="6">
        <f t="shared" si="131"/>
        <v>1.3427250785885494</v>
      </c>
      <c r="Q295" s="6">
        <f t="shared" si="131"/>
        <v>59.696032281620234</v>
      </c>
      <c r="R295" s="6">
        <f t="shared" si="131"/>
        <v>49.751271941506673</v>
      </c>
      <c r="S295" s="6">
        <f t="shared" si="131"/>
        <v>100.44151821818988</v>
      </c>
      <c r="T295" s="6">
        <f t="shared" si="131"/>
        <v>125.24236751817006</v>
      </c>
      <c r="U295" s="6">
        <f t="shared" si="131"/>
        <v>74.909657127852839</v>
      </c>
      <c r="V295" s="6">
        <f t="shared" si="131"/>
        <v>64.166519191185927</v>
      </c>
      <c r="W295" s="6">
        <f t="shared" si="131"/>
        <v>83.797779767771601</v>
      </c>
      <c r="X295" s="6">
        <f t="shared" si="131"/>
        <v>82.486579491115037</v>
      </c>
      <c r="Y295" s="6">
        <f t="shared" si="131"/>
        <v>79.838713164114836</v>
      </c>
      <c r="Z295" s="6">
        <f t="shared" si="131"/>
        <v>83.346107494918243</v>
      </c>
      <c r="AA295" s="6">
        <f t="shared" si="131"/>
        <v>83.122063374167709</v>
      </c>
      <c r="AB295" s="6">
        <f t="shared" si="131"/>
        <v>82.215048780097291</v>
      </c>
      <c r="AC295" s="6">
        <f t="shared" si="131"/>
        <v>90.275004523844174</v>
      </c>
      <c r="AD295" s="6">
        <f t="shared" si="131"/>
        <v>93.487142777811286</v>
      </c>
      <c r="AE295" s="6">
        <f t="shared" si="131"/>
        <v>0</v>
      </c>
      <c r="AF295" s="6">
        <f t="shared" si="131"/>
        <v>0</v>
      </c>
      <c r="AG295" s="6">
        <f t="shared" si="131"/>
        <v>0</v>
      </c>
      <c r="AH295" s="6">
        <f t="shared" si="131"/>
        <v>0</v>
      </c>
      <c r="AI295" s="6">
        <f t="shared" si="131"/>
        <v>0</v>
      </c>
      <c r="AJ295" s="6">
        <f t="shared" si="131"/>
        <v>0</v>
      </c>
      <c r="AK295" s="6">
        <f t="shared" si="131"/>
        <v>0</v>
      </c>
      <c r="AL295" s="6">
        <f t="shared" si="131"/>
        <v>0</v>
      </c>
      <c r="AM295" s="6">
        <f t="shared" si="131"/>
        <v>0</v>
      </c>
      <c r="AN295" s="6">
        <f t="shared" si="131"/>
        <v>0</v>
      </c>
      <c r="AO295" s="6">
        <f t="shared" si="131"/>
        <v>0</v>
      </c>
      <c r="AP295" s="6">
        <f t="shared" si="131"/>
        <v>0</v>
      </c>
      <c r="AQ295" s="6">
        <f t="shared" si="131"/>
        <v>0</v>
      </c>
      <c r="AR295" s="6">
        <f t="shared" si="131"/>
        <v>0</v>
      </c>
      <c r="AS295" s="6">
        <f t="shared" si="131"/>
        <v>0</v>
      </c>
      <c r="AT295" s="6">
        <f t="shared" si="131"/>
        <v>0</v>
      </c>
      <c r="AU295" s="6">
        <f t="shared" si="131"/>
        <v>0</v>
      </c>
      <c r="AV295" s="6">
        <f t="shared" si="131"/>
        <v>0</v>
      </c>
    </row>
    <row r="296" spans="1:48" s="6" customFormat="1" ht="15" customHeight="1">
      <c r="A296" s="349"/>
      <c r="B296" s="95"/>
      <c r="C296" s="96"/>
      <c r="D296" s="369"/>
      <c r="E296" s="6" t="str">
        <f>E289</f>
        <v>Treasury share of royalties</v>
      </c>
      <c r="G296" s="6" t="s">
        <v>29</v>
      </c>
      <c r="L296" s="6">
        <f xml:space="preserve"> L$295 * L289</f>
        <v>0</v>
      </c>
      <c r="M296" s="6">
        <f t="shared" ref="M296:P296" si="132" xml:space="preserve"> M$295 * M289</f>
        <v>0</v>
      </c>
      <c r="N296" s="6">
        <f t="shared" si="132"/>
        <v>0</v>
      </c>
      <c r="O296" s="6">
        <f t="shared" si="132"/>
        <v>0</v>
      </c>
      <c r="P296" s="6">
        <f t="shared" si="132"/>
        <v>0</v>
      </c>
      <c r="Q296" s="6">
        <f t="shared" ref="Q296:AV296" si="133" xml:space="preserve"> Q$295 * Q289</f>
        <v>29.848016140810117</v>
      </c>
      <c r="R296" s="6">
        <f t="shared" si="133"/>
        <v>24.875635970753336</v>
      </c>
      <c r="S296" s="6">
        <f t="shared" si="133"/>
        <v>50.220759109094942</v>
      </c>
      <c r="T296" s="6">
        <f t="shared" si="133"/>
        <v>62.621183759085028</v>
      </c>
      <c r="U296" s="6">
        <f t="shared" si="133"/>
        <v>37.454828563926419</v>
      </c>
      <c r="V296" s="6">
        <f t="shared" si="133"/>
        <v>28.233268444121808</v>
      </c>
      <c r="W296" s="6">
        <f t="shared" si="133"/>
        <v>36.871023097819503</v>
      </c>
      <c r="X296" s="6">
        <f t="shared" si="133"/>
        <v>36.294094976090619</v>
      </c>
      <c r="Y296" s="6">
        <f t="shared" si="133"/>
        <v>35.129033792210528</v>
      </c>
      <c r="Z296" s="6">
        <f t="shared" si="133"/>
        <v>36.672287297764029</v>
      </c>
      <c r="AA296" s="6">
        <f t="shared" si="133"/>
        <v>36.573707884633791</v>
      </c>
      <c r="AB296" s="6">
        <f t="shared" si="133"/>
        <v>36.174621463242808</v>
      </c>
      <c r="AC296" s="6">
        <f t="shared" si="133"/>
        <v>39.721001990491438</v>
      </c>
      <c r="AD296" s="6">
        <f t="shared" si="133"/>
        <v>41.134342822236967</v>
      </c>
      <c r="AE296" s="6">
        <f t="shared" si="133"/>
        <v>0</v>
      </c>
      <c r="AF296" s="6">
        <f t="shared" si="133"/>
        <v>0</v>
      </c>
      <c r="AG296" s="6">
        <f t="shared" si="133"/>
        <v>0</v>
      </c>
      <c r="AH296" s="6">
        <f t="shared" si="133"/>
        <v>0</v>
      </c>
      <c r="AI296" s="6">
        <f t="shared" si="133"/>
        <v>0</v>
      </c>
      <c r="AJ296" s="6">
        <f t="shared" si="133"/>
        <v>0</v>
      </c>
      <c r="AK296" s="6">
        <f t="shared" si="133"/>
        <v>0</v>
      </c>
      <c r="AL296" s="6">
        <f t="shared" si="133"/>
        <v>0</v>
      </c>
      <c r="AM296" s="6">
        <f t="shared" si="133"/>
        <v>0</v>
      </c>
      <c r="AN296" s="6">
        <f t="shared" si="133"/>
        <v>0</v>
      </c>
      <c r="AO296" s="6">
        <f t="shared" si="133"/>
        <v>0</v>
      </c>
      <c r="AP296" s="6">
        <f t="shared" si="133"/>
        <v>0</v>
      </c>
      <c r="AQ296" s="6">
        <f t="shared" si="133"/>
        <v>0</v>
      </c>
      <c r="AR296" s="6">
        <f t="shared" si="133"/>
        <v>0</v>
      </c>
      <c r="AS296" s="6">
        <f t="shared" si="133"/>
        <v>0</v>
      </c>
      <c r="AT296" s="6">
        <f t="shared" si="133"/>
        <v>0</v>
      </c>
      <c r="AU296" s="6">
        <f t="shared" si="133"/>
        <v>0</v>
      </c>
      <c r="AV296" s="6">
        <f t="shared" si="133"/>
        <v>0</v>
      </c>
    </row>
    <row r="297" spans="1:48" s="6" customFormat="1" ht="15" customHeight="1">
      <c r="A297" s="349"/>
      <c r="B297" s="95"/>
      <c r="C297" s="96"/>
      <c r="D297" s="369"/>
      <c r="E297" s="6" t="str">
        <f>E290</f>
        <v>Province share of royalties</v>
      </c>
      <c r="G297" s="6" t="s">
        <v>29</v>
      </c>
      <c r="L297" s="6">
        <f t="shared" ref="L297:P297" si="134" xml:space="preserve"> L$295 * L290</f>
        <v>0</v>
      </c>
      <c r="M297" s="6">
        <f t="shared" si="134"/>
        <v>0</v>
      </c>
      <c r="N297" s="6">
        <f t="shared" si="134"/>
        <v>0</v>
      </c>
      <c r="O297" s="6">
        <f t="shared" si="134"/>
        <v>0</v>
      </c>
      <c r="P297" s="6">
        <f t="shared" si="134"/>
        <v>0</v>
      </c>
      <c r="Q297" s="6">
        <f t="shared" ref="Q297:AV297" si="135" xml:space="preserve"> Q$295 * Q290</f>
        <v>14.924008070405058</v>
      </c>
      <c r="R297" s="6">
        <f t="shared" si="135"/>
        <v>12.437817985376668</v>
      </c>
      <c r="S297" s="6">
        <f t="shared" si="135"/>
        <v>25.110379554547471</v>
      </c>
      <c r="T297" s="6">
        <f t="shared" si="135"/>
        <v>31.310591879542514</v>
      </c>
      <c r="U297" s="6">
        <f t="shared" si="135"/>
        <v>18.72741428196321</v>
      </c>
      <c r="V297" s="6">
        <f t="shared" si="135"/>
        <v>14.758299413972765</v>
      </c>
      <c r="W297" s="6">
        <f t="shared" si="135"/>
        <v>19.273489346587468</v>
      </c>
      <c r="X297" s="6">
        <f t="shared" si="135"/>
        <v>18.971913282956461</v>
      </c>
      <c r="Y297" s="6">
        <f t="shared" si="135"/>
        <v>18.362904027746414</v>
      </c>
      <c r="Z297" s="6">
        <f t="shared" si="135"/>
        <v>19.169604723831196</v>
      </c>
      <c r="AA297" s="6">
        <f t="shared" si="135"/>
        <v>19.118074576058575</v>
      </c>
      <c r="AB297" s="6">
        <f t="shared" si="135"/>
        <v>18.909461219422379</v>
      </c>
      <c r="AC297" s="6">
        <f t="shared" si="135"/>
        <v>20.76325104048416</v>
      </c>
      <c r="AD297" s="6">
        <f t="shared" si="135"/>
        <v>21.502042838896596</v>
      </c>
      <c r="AE297" s="6">
        <f t="shared" si="135"/>
        <v>0</v>
      </c>
      <c r="AF297" s="6">
        <f t="shared" si="135"/>
        <v>0</v>
      </c>
      <c r="AG297" s="6">
        <f t="shared" si="135"/>
        <v>0</v>
      </c>
      <c r="AH297" s="6">
        <f t="shared" si="135"/>
        <v>0</v>
      </c>
      <c r="AI297" s="6">
        <f t="shared" si="135"/>
        <v>0</v>
      </c>
      <c r="AJ297" s="6">
        <f t="shared" si="135"/>
        <v>0</v>
      </c>
      <c r="AK297" s="6">
        <f t="shared" si="135"/>
        <v>0</v>
      </c>
      <c r="AL297" s="6">
        <f t="shared" si="135"/>
        <v>0</v>
      </c>
      <c r="AM297" s="6">
        <f t="shared" si="135"/>
        <v>0</v>
      </c>
      <c r="AN297" s="6">
        <f t="shared" si="135"/>
        <v>0</v>
      </c>
      <c r="AO297" s="6">
        <f t="shared" si="135"/>
        <v>0</v>
      </c>
      <c r="AP297" s="6">
        <f t="shared" si="135"/>
        <v>0</v>
      </c>
      <c r="AQ297" s="6">
        <f t="shared" si="135"/>
        <v>0</v>
      </c>
      <c r="AR297" s="6">
        <f t="shared" si="135"/>
        <v>0</v>
      </c>
      <c r="AS297" s="6">
        <f t="shared" si="135"/>
        <v>0</v>
      </c>
      <c r="AT297" s="6">
        <f t="shared" si="135"/>
        <v>0</v>
      </c>
      <c r="AU297" s="6">
        <f t="shared" si="135"/>
        <v>0</v>
      </c>
      <c r="AV297" s="6">
        <f t="shared" si="135"/>
        <v>0</v>
      </c>
    </row>
    <row r="298" spans="1:48" s="6" customFormat="1" ht="15" customHeight="1">
      <c r="A298" s="349"/>
      <c r="B298" s="95"/>
      <c r="C298" s="96"/>
      <c r="D298" s="369"/>
      <c r="E298" s="6" t="str">
        <f>E291</f>
        <v xml:space="preserve">Entite Territoriale Decentralise royalties </v>
      </c>
      <c r="G298" s="6" t="s">
        <v>29</v>
      </c>
      <c r="L298" s="6">
        <f t="shared" ref="L298:P298" si="136" xml:space="preserve"> L$295 * L291</f>
        <v>0</v>
      </c>
      <c r="M298" s="6">
        <f t="shared" si="136"/>
        <v>0</v>
      </c>
      <c r="N298" s="6">
        <f t="shared" si="136"/>
        <v>0</v>
      </c>
      <c r="O298" s="6">
        <f t="shared" si="136"/>
        <v>0</v>
      </c>
      <c r="P298" s="6">
        <f t="shared" si="136"/>
        <v>0</v>
      </c>
      <c r="Q298" s="6">
        <f t="shared" ref="Q298:AV298" si="137" xml:space="preserve"> Q$295 * Q291</f>
        <v>8.9544048422430347</v>
      </c>
      <c r="R298" s="6">
        <f t="shared" si="137"/>
        <v>7.4626907912260005</v>
      </c>
      <c r="S298" s="6">
        <f t="shared" si="137"/>
        <v>15.066227732728482</v>
      </c>
      <c r="T298" s="6">
        <f t="shared" si="137"/>
        <v>18.786355127725507</v>
      </c>
      <c r="U298" s="6">
        <f t="shared" si="137"/>
        <v>11.236448569177925</v>
      </c>
      <c r="V298" s="6">
        <f t="shared" si="137"/>
        <v>8.9833126867660305</v>
      </c>
      <c r="W298" s="6">
        <f t="shared" si="137"/>
        <v>11.731689167488025</v>
      </c>
      <c r="X298" s="6">
        <f t="shared" si="137"/>
        <v>11.548121128756106</v>
      </c>
      <c r="Y298" s="6">
        <f t="shared" si="137"/>
        <v>11.177419842976079</v>
      </c>
      <c r="Z298" s="6">
        <f t="shared" si="137"/>
        <v>11.668455049288555</v>
      </c>
      <c r="AA298" s="6">
        <f t="shared" si="137"/>
        <v>11.63708887238348</v>
      </c>
      <c r="AB298" s="6">
        <f t="shared" si="137"/>
        <v>11.510106829213623</v>
      </c>
      <c r="AC298" s="6">
        <f t="shared" si="137"/>
        <v>12.638500633338186</v>
      </c>
      <c r="AD298" s="6">
        <f t="shared" si="137"/>
        <v>13.088199988893582</v>
      </c>
      <c r="AE298" s="6">
        <f t="shared" si="137"/>
        <v>0</v>
      </c>
      <c r="AF298" s="6">
        <f t="shared" si="137"/>
        <v>0</v>
      </c>
      <c r="AG298" s="6">
        <f t="shared" si="137"/>
        <v>0</v>
      </c>
      <c r="AH298" s="6">
        <f t="shared" si="137"/>
        <v>0</v>
      </c>
      <c r="AI298" s="6">
        <f t="shared" si="137"/>
        <v>0</v>
      </c>
      <c r="AJ298" s="6">
        <f t="shared" si="137"/>
        <v>0</v>
      </c>
      <c r="AK298" s="6">
        <f t="shared" si="137"/>
        <v>0</v>
      </c>
      <c r="AL298" s="6">
        <f t="shared" si="137"/>
        <v>0</v>
      </c>
      <c r="AM298" s="6">
        <f t="shared" si="137"/>
        <v>0</v>
      </c>
      <c r="AN298" s="6">
        <f t="shared" si="137"/>
        <v>0</v>
      </c>
      <c r="AO298" s="6">
        <f t="shared" si="137"/>
        <v>0</v>
      </c>
      <c r="AP298" s="6">
        <f t="shared" si="137"/>
        <v>0</v>
      </c>
      <c r="AQ298" s="6">
        <f t="shared" si="137"/>
        <v>0</v>
      </c>
      <c r="AR298" s="6">
        <f t="shared" si="137"/>
        <v>0</v>
      </c>
      <c r="AS298" s="6">
        <f t="shared" si="137"/>
        <v>0</v>
      </c>
      <c r="AT298" s="6">
        <f t="shared" si="137"/>
        <v>0</v>
      </c>
      <c r="AU298" s="6">
        <f t="shared" si="137"/>
        <v>0</v>
      </c>
      <c r="AV298" s="6">
        <f t="shared" si="137"/>
        <v>0</v>
      </c>
    </row>
    <row r="299" spans="1:48" s="6" customFormat="1" ht="15" customHeight="1">
      <c r="A299" s="349"/>
      <c r="B299" s="95"/>
      <c r="C299" s="96"/>
      <c r="D299" s="369"/>
      <c r="E299" s="6" t="str">
        <f>E292</f>
        <v>FOMIN share of royalties</v>
      </c>
      <c r="G299" s="6" t="s">
        <v>29</v>
      </c>
      <c r="L299" s="6">
        <f t="shared" ref="L299:P299" si="138" xml:space="preserve"> L$295 * L292</f>
        <v>0</v>
      </c>
      <c r="M299" s="6">
        <f t="shared" si="138"/>
        <v>0</v>
      </c>
      <c r="N299" s="6">
        <f t="shared" si="138"/>
        <v>0</v>
      </c>
      <c r="O299" s="6">
        <f t="shared" si="138"/>
        <v>0</v>
      </c>
      <c r="P299" s="6">
        <f t="shared" si="138"/>
        <v>0</v>
      </c>
      <c r="Q299" s="6">
        <f t="shared" ref="Q299:AV299" si="139" xml:space="preserve"> Q$295 * Q292</f>
        <v>5.9696032281620237</v>
      </c>
      <c r="R299" s="6">
        <f t="shared" si="139"/>
        <v>4.9751271941506676</v>
      </c>
      <c r="S299" s="6">
        <f t="shared" si="139"/>
        <v>10.044151821818989</v>
      </c>
      <c r="T299" s="6">
        <f t="shared" si="139"/>
        <v>12.524236751817007</v>
      </c>
      <c r="U299" s="6">
        <f t="shared" si="139"/>
        <v>7.4909657127852842</v>
      </c>
      <c r="V299" s="6">
        <f t="shared" si="139"/>
        <v>5.1333215352948747</v>
      </c>
      <c r="W299" s="6">
        <f t="shared" si="139"/>
        <v>6.7038223814217286</v>
      </c>
      <c r="X299" s="6">
        <f t="shared" si="139"/>
        <v>6.5989263592892033</v>
      </c>
      <c r="Y299" s="6">
        <f t="shared" si="139"/>
        <v>6.3870970531291871</v>
      </c>
      <c r="Z299" s="6">
        <f t="shared" si="139"/>
        <v>6.6676885995934594</v>
      </c>
      <c r="AA299" s="6">
        <f t="shared" si="139"/>
        <v>6.6497650699334168</v>
      </c>
      <c r="AB299" s="6">
        <f t="shared" si="139"/>
        <v>6.5772039024077831</v>
      </c>
      <c r="AC299" s="6">
        <f t="shared" si="139"/>
        <v>7.2220003619075337</v>
      </c>
      <c r="AD299" s="6">
        <f t="shared" si="139"/>
        <v>7.4789714222249026</v>
      </c>
      <c r="AE299" s="6">
        <f t="shared" si="139"/>
        <v>0</v>
      </c>
      <c r="AF299" s="6">
        <f t="shared" si="139"/>
        <v>0</v>
      </c>
      <c r="AG299" s="6">
        <f t="shared" si="139"/>
        <v>0</v>
      </c>
      <c r="AH299" s="6">
        <f t="shared" si="139"/>
        <v>0</v>
      </c>
      <c r="AI299" s="6">
        <f t="shared" si="139"/>
        <v>0</v>
      </c>
      <c r="AJ299" s="6">
        <f t="shared" si="139"/>
        <v>0</v>
      </c>
      <c r="AK299" s="6">
        <f t="shared" si="139"/>
        <v>0</v>
      </c>
      <c r="AL299" s="6">
        <f t="shared" si="139"/>
        <v>0</v>
      </c>
      <c r="AM299" s="6">
        <f t="shared" si="139"/>
        <v>0</v>
      </c>
      <c r="AN299" s="6">
        <f t="shared" si="139"/>
        <v>0</v>
      </c>
      <c r="AO299" s="6">
        <f t="shared" si="139"/>
        <v>0</v>
      </c>
      <c r="AP299" s="6">
        <f t="shared" si="139"/>
        <v>0</v>
      </c>
      <c r="AQ299" s="6">
        <f t="shared" si="139"/>
        <v>0</v>
      </c>
      <c r="AR299" s="6">
        <f t="shared" si="139"/>
        <v>0</v>
      </c>
      <c r="AS299" s="6">
        <f t="shared" si="139"/>
        <v>0</v>
      </c>
      <c r="AT299" s="6">
        <f t="shared" si="139"/>
        <v>0</v>
      </c>
      <c r="AU299" s="6">
        <f t="shared" si="139"/>
        <v>0</v>
      </c>
      <c r="AV299" s="6">
        <f t="shared" si="139"/>
        <v>0</v>
      </c>
    </row>
    <row r="300" spans="1:48" s="6" customFormat="1" ht="15" customHeight="1">
      <c r="A300" s="349"/>
      <c r="B300" s="95"/>
      <c r="C300" s="96"/>
      <c r="D300" s="369"/>
      <c r="E300" s="6" t="str">
        <f>E293</f>
        <v>FONAREV share of royalties</v>
      </c>
      <c r="G300" s="6" t="s">
        <v>29</v>
      </c>
      <c r="L300" s="6">
        <f t="shared" ref="L300:P300" si="140" xml:space="preserve"> L$295 * L293</f>
        <v>0</v>
      </c>
      <c r="M300" s="6">
        <f t="shared" si="140"/>
        <v>0</v>
      </c>
      <c r="N300" s="6">
        <f t="shared" si="140"/>
        <v>0</v>
      </c>
      <c r="O300" s="6">
        <f t="shared" si="140"/>
        <v>0</v>
      </c>
      <c r="P300" s="6">
        <f t="shared" si="140"/>
        <v>0</v>
      </c>
      <c r="Q300" s="6">
        <f t="shared" ref="Q300:AV300" si="141" xml:space="preserve"> Q$295 * Q293</f>
        <v>0</v>
      </c>
      <c r="R300" s="6">
        <f t="shared" si="141"/>
        <v>0</v>
      </c>
      <c r="S300" s="6">
        <f t="shared" si="141"/>
        <v>0</v>
      </c>
      <c r="T300" s="6">
        <f t="shared" si="141"/>
        <v>0</v>
      </c>
      <c r="U300" s="6">
        <f t="shared" si="141"/>
        <v>0</v>
      </c>
      <c r="V300" s="6">
        <f t="shared" si="141"/>
        <v>7.0583171110304521</v>
      </c>
      <c r="W300" s="6">
        <f t="shared" si="141"/>
        <v>9.2177557744548757</v>
      </c>
      <c r="X300" s="6">
        <f t="shared" si="141"/>
        <v>9.0735237440226548</v>
      </c>
      <c r="Y300" s="6">
        <f t="shared" si="141"/>
        <v>8.782258448052632</v>
      </c>
      <c r="Z300" s="6">
        <f t="shared" si="141"/>
        <v>9.1680718244410073</v>
      </c>
      <c r="AA300" s="6">
        <f t="shared" si="141"/>
        <v>9.1434269711584477</v>
      </c>
      <c r="AB300" s="6">
        <f t="shared" si="141"/>
        <v>9.043655365810702</v>
      </c>
      <c r="AC300" s="6">
        <f t="shared" si="141"/>
        <v>9.9302504976228594</v>
      </c>
      <c r="AD300" s="6">
        <f t="shared" si="141"/>
        <v>10.283585705559242</v>
      </c>
      <c r="AE300" s="6">
        <f t="shared" si="141"/>
        <v>0</v>
      </c>
      <c r="AF300" s="6">
        <f t="shared" si="141"/>
        <v>0</v>
      </c>
      <c r="AG300" s="6">
        <f t="shared" si="141"/>
        <v>0</v>
      </c>
      <c r="AH300" s="6">
        <f t="shared" si="141"/>
        <v>0</v>
      </c>
      <c r="AI300" s="6">
        <f t="shared" si="141"/>
        <v>0</v>
      </c>
      <c r="AJ300" s="6">
        <f t="shared" si="141"/>
        <v>0</v>
      </c>
      <c r="AK300" s="6">
        <f t="shared" si="141"/>
        <v>0</v>
      </c>
      <c r="AL300" s="6">
        <f t="shared" si="141"/>
        <v>0</v>
      </c>
      <c r="AM300" s="6">
        <f t="shared" si="141"/>
        <v>0</v>
      </c>
      <c r="AN300" s="6">
        <f t="shared" si="141"/>
        <v>0</v>
      </c>
      <c r="AO300" s="6">
        <f t="shared" si="141"/>
        <v>0</v>
      </c>
      <c r="AP300" s="6">
        <f t="shared" si="141"/>
        <v>0</v>
      </c>
      <c r="AQ300" s="6">
        <f t="shared" si="141"/>
        <v>0</v>
      </c>
      <c r="AR300" s="6">
        <f t="shared" si="141"/>
        <v>0</v>
      </c>
      <c r="AS300" s="6">
        <f t="shared" si="141"/>
        <v>0</v>
      </c>
      <c r="AT300" s="6">
        <f t="shared" si="141"/>
        <v>0</v>
      </c>
      <c r="AU300" s="6">
        <f t="shared" si="141"/>
        <v>0</v>
      </c>
      <c r="AV300" s="6">
        <f t="shared" si="141"/>
        <v>0</v>
      </c>
    </row>
    <row r="301" spans="1:48" s="6" customFormat="1" ht="15" customHeight="1">
      <c r="A301" s="349"/>
      <c r="B301" s="95"/>
      <c r="C301" s="96"/>
      <c r="D301" s="369"/>
    </row>
    <row r="302" spans="1:48" s="6" customFormat="1" ht="15" customHeight="1">
      <c r="A302" s="349"/>
      <c r="B302" s="134" t="s">
        <v>1208</v>
      </c>
      <c r="C302" s="96"/>
      <c r="D302" s="369"/>
    </row>
    <row r="303" spans="1:48" s="320" customFormat="1" ht="15" customHeight="1">
      <c r="A303" s="351"/>
      <c r="B303" s="134"/>
      <c r="C303" s="322"/>
      <c r="D303" s="724"/>
    </row>
    <row r="304" spans="1:48" s="320" customFormat="1" ht="15" customHeight="1">
      <c r="A304" s="351"/>
      <c r="B304" s="134"/>
      <c r="C304" s="322"/>
      <c r="D304" s="724"/>
      <c r="E304" s="132" t="str">
        <f xml:space="preserve"> InputsCon!E$120</f>
        <v>Turnover tax (Chiffre d'Affaires 0.3PC)</v>
      </c>
      <c r="F304" s="607">
        <f xml:space="preserve"> InputsCon!F$120</f>
        <v>3.0000000000000001E-3</v>
      </c>
      <c r="G304" s="132" t="str">
        <f xml:space="preserve"> InputsCon!G$120</f>
        <v>% turnover</v>
      </c>
    </row>
    <row r="305" spans="1:48" s="320" customFormat="1" ht="15" customHeight="1">
      <c r="A305" s="351"/>
      <c r="B305" s="134"/>
      <c r="C305" s="322"/>
      <c r="D305" s="724"/>
      <c r="E305" s="320" t="str">
        <f t="shared" ref="E305:AV305" si="142" xml:space="preserve"> E$216</f>
        <v>Copper &amp; Cobalt net revenue</v>
      </c>
      <c r="F305" s="320">
        <f t="shared" si="142"/>
        <v>0</v>
      </c>
      <c r="G305" s="320" t="str">
        <f t="shared" si="142"/>
        <v>$ mn</v>
      </c>
      <c r="H305" s="320">
        <f t="shared" si="142"/>
        <v>0</v>
      </c>
      <c r="I305" s="320">
        <f t="shared" si="142"/>
        <v>0</v>
      </c>
      <c r="J305" s="320">
        <f t="shared" si="142"/>
        <v>19011.922098404622</v>
      </c>
      <c r="K305" s="320">
        <f t="shared" si="142"/>
        <v>0</v>
      </c>
      <c r="L305" s="320">
        <f t="shared" si="142"/>
        <v>0</v>
      </c>
      <c r="M305" s="320">
        <f t="shared" si="142"/>
        <v>0</v>
      </c>
      <c r="N305" s="320">
        <f t="shared" si="142"/>
        <v>0</v>
      </c>
      <c r="O305" s="320">
        <f t="shared" si="142"/>
        <v>0</v>
      </c>
      <c r="P305" s="320">
        <f t="shared" si="142"/>
        <v>67.136253929427468</v>
      </c>
      <c r="Q305" s="320">
        <f t="shared" si="142"/>
        <v>946.59558436977954</v>
      </c>
      <c r="R305" s="320">
        <f t="shared" si="142"/>
        <v>800.97287781965736</v>
      </c>
      <c r="S305" s="320">
        <f t="shared" si="142"/>
        <v>1554.927232437954</v>
      </c>
      <c r="T305" s="320">
        <f t="shared" si="142"/>
        <v>1790.254007985714</v>
      </c>
      <c r="U305" s="320">
        <f t="shared" si="142"/>
        <v>1286.9954809814114</v>
      </c>
      <c r="V305" s="320">
        <f t="shared" si="142"/>
        <v>1197.6567216301939</v>
      </c>
      <c r="W305" s="320">
        <f t="shared" si="142"/>
        <v>1403.7590036412423</v>
      </c>
      <c r="X305" s="320">
        <f t="shared" si="142"/>
        <v>1391.1347298918572</v>
      </c>
      <c r="Y305" s="320">
        <f t="shared" si="142"/>
        <v>1369.2168626342282</v>
      </c>
      <c r="Z305" s="320">
        <f t="shared" si="142"/>
        <v>1398.3349958679573</v>
      </c>
      <c r="AA305" s="320">
        <f t="shared" si="142"/>
        <v>1393.351686353117</v>
      </c>
      <c r="AB305" s="320">
        <f t="shared" si="142"/>
        <v>1400.6663216951804</v>
      </c>
      <c r="AC305" s="320">
        <f t="shared" si="142"/>
        <v>1490.4682157878392</v>
      </c>
      <c r="AD305" s="320">
        <f t="shared" si="142"/>
        <v>1520.4521233790642</v>
      </c>
      <c r="AE305" s="320">
        <f t="shared" si="142"/>
        <v>0</v>
      </c>
      <c r="AF305" s="320">
        <f t="shared" si="142"/>
        <v>0</v>
      </c>
      <c r="AG305" s="320">
        <f t="shared" si="142"/>
        <v>0</v>
      </c>
      <c r="AH305" s="320">
        <f t="shared" si="142"/>
        <v>0</v>
      </c>
      <c r="AI305" s="320">
        <f t="shared" si="142"/>
        <v>0</v>
      </c>
      <c r="AJ305" s="320">
        <f t="shared" si="142"/>
        <v>0</v>
      </c>
      <c r="AK305" s="320">
        <f t="shared" si="142"/>
        <v>0</v>
      </c>
      <c r="AL305" s="320">
        <f t="shared" si="142"/>
        <v>0</v>
      </c>
      <c r="AM305" s="320">
        <f t="shared" si="142"/>
        <v>0</v>
      </c>
      <c r="AN305" s="320">
        <f t="shared" si="142"/>
        <v>0</v>
      </c>
      <c r="AO305" s="320">
        <f t="shared" si="142"/>
        <v>0</v>
      </c>
      <c r="AP305" s="320">
        <f t="shared" si="142"/>
        <v>0</v>
      </c>
      <c r="AQ305" s="320">
        <f t="shared" si="142"/>
        <v>0</v>
      </c>
      <c r="AR305" s="320">
        <f t="shared" si="142"/>
        <v>0</v>
      </c>
      <c r="AS305" s="320">
        <f t="shared" si="142"/>
        <v>0</v>
      </c>
      <c r="AT305" s="320">
        <f t="shared" si="142"/>
        <v>0</v>
      </c>
      <c r="AU305" s="320">
        <f t="shared" si="142"/>
        <v>0</v>
      </c>
      <c r="AV305" s="320">
        <f t="shared" si="142"/>
        <v>0</v>
      </c>
    </row>
    <row r="306" spans="1:48" s="320" customFormat="1" ht="15" customHeight="1">
      <c r="A306" s="351"/>
      <c r="B306" s="134"/>
      <c r="C306" s="322"/>
      <c r="D306" s="724"/>
    </row>
    <row r="307" spans="1:48" s="320" customFormat="1" ht="15" customHeight="1">
      <c r="A307" s="351"/>
      <c r="B307" s="134"/>
      <c r="C307" s="322"/>
      <c r="D307" s="724"/>
      <c r="E307" s="320" t="str">
        <f xml:space="preserve"> InputsCon!E120</f>
        <v>Turnover tax (Chiffre d'Affaires 0.3PC)</v>
      </c>
      <c r="G307" s="320" t="s">
        <v>29</v>
      </c>
      <c r="J307" s="320">
        <f xml:space="preserve"> SUM(L307:AV307)</f>
        <v>57.035766295213875</v>
      </c>
      <c r="L307" s="320">
        <f t="shared" ref="L307:AV307" si="143" xml:space="preserve"> L305 * $F$304</f>
        <v>0</v>
      </c>
      <c r="M307" s="320">
        <f t="shared" si="143"/>
        <v>0</v>
      </c>
      <c r="N307" s="320">
        <f t="shared" si="143"/>
        <v>0</v>
      </c>
      <c r="O307" s="320">
        <f t="shared" si="143"/>
        <v>0</v>
      </c>
      <c r="P307" s="320">
        <f t="shared" si="143"/>
        <v>0.2014087617882824</v>
      </c>
      <c r="Q307" s="320">
        <f t="shared" si="143"/>
        <v>2.8397867531093386</v>
      </c>
      <c r="R307" s="320">
        <f t="shared" si="143"/>
        <v>2.4029186334589721</v>
      </c>
      <c r="S307" s="320">
        <f t="shared" si="143"/>
        <v>4.6647816973138623</v>
      </c>
      <c r="T307" s="320">
        <f t="shared" si="143"/>
        <v>5.3707620239571421</v>
      </c>
      <c r="U307" s="320">
        <f t="shared" si="143"/>
        <v>3.8609864429442342</v>
      </c>
      <c r="V307" s="320">
        <f t="shared" si="143"/>
        <v>3.5929701648905819</v>
      </c>
      <c r="W307" s="320">
        <f t="shared" si="143"/>
        <v>4.2112770109237267</v>
      </c>
      <c r="X307" s="320">
        <f t="shared" si="143"/>
        <v>4.1734041896755718</v>
      </c>
      <c r="Y307" s="320">
        <f t="shared" si="143"/>
        <v>4.1076505879026843</v>
      </c>
      <c r="Z307" s="320">
        <f t="shared" si="143"/>
        <v>4.1950049876038724</v>
      </c>
      <c r="AA307" s="320">
        <f t="shared" si="143"/>
        <v>4.1800550590593506</v>
      </c>
      <c r="AB307" s="320">
        <f t="shared" si="143"/>
        <v>4.2019989650855409</v>
      </c>
      <c r="AC307" s="320">
        <f t="shared" si="143"/>
        <v>4.4714046473635181</v>
      </c>
      <c r="AD307" s="320">
        <f t="shared" si="143"/>
        <v>4.5613563701371929</v>
      </c>
      <c r="AE307" s="320">
        <f t="shared" si="143"/>
        <v>0</v>
      </c>
      <c r="AF307" s="320">
        <f t="shared" si="143"/>
        <v>0</v>
      </c>
      <c r="AG307" s="320">
        <f t="shared" si="143"/>
        <v>0</v>
      </c>
      <c r="AH307" s="320">
        <f t="shared" si="143"/>
        <v>0</v>
      </c>
      <c r="AI307" s="320">
        <f t="shared" si="143"/>
        <v>0</v>
      </c>
      <c r="AJ307" s="320">
        <f t="shared" si="143"/>
        <v>0</v>
      </c>
      <c r="AK307" s="320">
        <f t="shared" si="143"/>
        <v>0</v>
      </c>
      <c r="AL307" s="320">
        <f t="shared" si="143"/>
        <v>0</v>
      </c>
      <c r="AM307" s="320">
        <f t="shared" si="143"/>
        <v>0</v>
      </c>
      <c r="AN307" s="320">
        <f t="shared" si="143"/>
        <v>0</v>
      </c>
      <c r="AO307" s="320">
        <f t="shared" si="143"/>
        <v>0</v>
      </c>
      <c r="AP307" s="320">
        <f t="shared" si="143"/>
        <v>0</v>
      </c>
      <c r="AQ307" s="320">
        <f t="shared" si="143"/>
        <v>0</v>
      </c>
      <c r="AR307" s="320">
        <f t="shared" si="143"/>
        <v>0</v>
      </c>
      <c r="AS307" s="320">
        <f t="shared" si="143"/>
        <v>0</v>
      </c>
      <c r="AT307" s="320">
        <f t="shared" si="143"/>
        <v>0</v>
      </c>
      <c r="AU307" s="320">
        <f t="shared" si="143"/>
        <v>0</v>
      </c>
      <c r="AV307" s="320">
        <f t="shared" si="143"/>
        <v>0</v>
      </c>
    </row>
    <row r="308" spans="1:48" s="320" customFormat="1" ht="15" customHeight="1">
      <c r="A308" s="351"/>
      <c r="B308" s="134"/>
      <c r="C308" s="322"/>
      <c r="D308" s="724"/>
      <c r="E308" s="132" t="str">
        <f xml:space="preserve"> EITI_Rev!E$11</f>
        <v>Chiffre d'Affaires 0.3PC (EITI)</v>
      </c>
      <c r="F308" s="132" t="str">
        <f xml:space="preserve"> EITI_Rev!F$11</f>
        <v>yes</v>
      </c>
      <c r="G308" s="132" t="str">
        <f xml:space="preserve"> EITI_Rev!G$11</f>
        <v>$ mn</v>
      </c>
      <c r="H308" s="132">
        <f xml:space="preserve"> EITI_Rev!H$11</f>
        <v>0</v>
      </c>
      <c r="I308" s="132">
        <f xml:space="preserve"> EITI_Rev!I$11</f>
        <v>0</v>
      </c>
      <c r="J308" s="132">
        <f xml:space="preserve"> EITI_Rev!J$11</f>
        <v>0</v>
      </c>
      <c r="K308" s="132">
        <f xml:space="preserve"> EITI_Rev!K$11</f>
        <v>0</v>
      </c>
      <c r="L308" s="132">
        <f xml:space="preserve"> EITI_Rev!L$11</f>
        <v>0</v>
      </c>
      <c r="M308" s="132">
        <f xml:space="preserve"> EITI_Rev!M$11</f>
        <v>0</v>
      </c>
      <c r="N308" s="132">
        <f xml:space="preserve"> EITI_Rev!N$11</f>
        <v>0</v>
      </c>
      <c r="O308" s="132">
        <f xml:space="preserve"> EITI_Rev!O$11</f>
        <v>0</v>
      </c>
      <c r="P308" s="132">
        <f xml:space="preserve"> EITI_Rev!P$11</f>
        <v>0</v>
      </c>
      <c r="Q308" s="132">
        <f xml:space="preserve"> EITI_Rev!Q$11</f>
        <v>0</v>
      </c>
      <c r="R308" s="132">
        <f xml:space="preserve"> EITI_Rev!R$11</f>
        <v>0</v>
      </c>
      <c r="S308" s="132">
        <f xml:space="preserve"> EITI_Rev!S$11</f>
        <v>0</v>
      </c>
      <c r="T308" s="132">
        <f xml:space="preserve"> EITI_Rev!T$11</f>
        <v>0</v>
      </c>
      <c r="U308" s="132">
        <f xml:space="preserve"> EITI_Rev!U$11</f>
        <v>0</v>
      </c>
      <c r="V308" s="132">
        <f xml:space="preserve"> EITI_Rev!V$11</f>
        <v>0</v>
      </c>
      <c r="W308" s="132">
        <f xml:space="preserve"> EITI_Rev!W$11</f>
        <v>0</v>
      </c>
      <c r="X308" s="132">
        <f xml:space="preserve"> EITI_Rev!X$11</f>
        <v>0</v>
      </c>
      <c r="Y308" s="132">
        <f xml:space="preserve"> EITI_Rev!Y$11</f>
        <v>0</v>
      </c>
      <c r="Z308" s="132">
        <f xml:space="preserve"> EITI_Rev!Z$11</f>
        <v>0</v>
      </c>
      <c r="AA308" s="132">
        <f xml:space="preserve"> EITI_Rev!AA$11</f>
        <v>0</v>
      </c>
      <c r="AB308" s="132">
        <f xml:space="preserve"> EITI_Rev!AB$11</f>
        <v>0</v>
      </c>
      <c r="AC308" s="132">
        <f xml:space="preserve"> EITI_Rev!AC$11</f>
        <v>0</v>
      </c>
      <c r="AD308" s="132">
        <f xml:space="preserve"> EITI_Rev!AD$11</f>
        <v>0</v>
      </c>
      <c r="AE308" s="132">
        <f xml:space="preserve"> EITI_Rev!AE$11</f>
        <v>0</v>
      </c>
      <c r="AF308" s="132">
        <f xml:space="preserve"> EITI_Rev!AF$11</f>
        <v>0</v>
      </c>
      <c r="AG308" s="132">
        <f xml:space="preserve"> EITI_Rev!AG$11</f>
        <v>0</v>
      </c>
      <c r="AH308" s="132">
        <f xml:space="preserve"> EITI_Rev!AH$11</f>
        <v>0</v>
      </c>
      <c r="AI308" s="132">
        <f xml:space="preserve"> EITI_Rev!AI$11</f>
        <v>0</v>
      </c>
      <c r="AJ308" s="132">
        <f xml:space="preserve"> EITI_Rev!AJ$11</f>
        <v>0</v>
      </c>
      <c r="AK308" s="132">
        <f xml:space="preserve"> EITI_Rev!AK$11</f>
        <v>0</v>
      </c>
      <c r="AL308" s="132">
        <f xml:space="preserve"> EITI_Rev!AL$11</f>
        <v>0</v>
      </c>
      <c r="AM308" s="132">
        <f xml:space="preserve"> EITI_Rev!AM$11</f>
        <v>0</v>
      </c>
      <c r="AN308" s="132">
        <f xml:space="preserve"> EITI_Rev!AN$11</f>
        <v>0</v>
      </c>
      <c r="AO308" s="132">
        <f xml:space="preserve"> EITI_Rev!AO$11</f>
        <v>0</v>
      </c>
      <c r="AP308" s="132">
        <f xml:space="preserve"> EITI_Rev!AP$11</f>
        <v>0</v>
      </c>
      <c r="AQ308" s="132">
        <f xml:space="preserve"> EITI_Rev!AQ$11</f>
        <v>0</v>
      </c>
      <c r="AR308" s="132">
        <f xml:space="preserve"> EITI_Rev!AR$11</f>
        <v>0</v>
      </c>
      <c r="AS308" s="132">
        <f xml:space="preserve"> EITI_Rev!AS$11</f>
        <v>0</v>
      </c>
      <c r="AT308" s="132">
        <f xml:space="preserve"> EITI_Rev!AT$11</f>
        <v>0</v>
      </c>
      <c r="AU308" s="132">
        <f xml:space="preserve"> EITI_Rev!AU$11</f>
        <v>0</v>
      </c>
      <c r="AV308" s="132">
        <f xml:space="preserve"> EITI_Rev!AV$11</f>
        <v>0</v>
      </c>
    </row>
    <row r="309" spans="1:48" s="150" customFormat="1" ht="15" customHeight="1">
      <c r="A309" s="189"/>
      <c r="B309" s="189"/>
      <c r="C309" s="151"/>
      <c r="D309" s="854"/>
      <c r="E309" s="150" t="s">
        <v>1321</v>
      </c>
      <c r="F309" s="902">
        <v>2022</v>
      </c>
      <c r="G309" s="150" t="s">
        <v>62</v>
      </c>
    </row>
    <row r="310" spans="1:48" s="320" customFormat="1" ht="15" customHeight="1">
      <c r="A310" s="351"/>
      <c r="B310" s="134"/>
      <c r="C310" s="322"/>
      <c r="D310" s="724"/>
      <c r="E310" s="320" t="s">
        <v>1320</v>
      </c>
      <c r="G310" s="320" t="s">
        <v>29</v>
      </c>
      <c r="L310" s="320">
        <f t="shared" ref="L310:AV310" si="144">IF(L2&lt;=$F$309,L308-L307,0)</f>
        <v>0</v>
      </c>
      <c r="M310" s="320">
        <f t="shared" si="144"/>
        <v>0</v>
      </c>
      <c r="N310" s="320">
        <f t="shared" si="144"/>
        <v>0</v>
      </c>
      <c r="O310" s="320">
        <f t="shared" si="144"/>
        <v>0</v>
      </c>
      <c r="P310" s="320">
        <f t="shared" si="144"/>
        <v>-0.2014087617882824</v>
      </c>
      <c r="Q310" s="320">
        <f t="shared" si="144"/>
        <v>-2.8397867531093386</v>
      </c>
      <c r="R310" s="320">
        <f t="shared" si="144"/>
        <v>-2.4029186334589721</v>
      </c>
      <c r="S310" s="320">
        <f t="shared" si="144"/>
        <v>-4.6647816973138623</v>
      </c>
      <c r="T310" s="320">
        <f t="shared" si="144"/>
        <v>-5.3707620239571421</v>
      </c>
      <c r="U310" s="320">
        <f t="shared" si="144"/>
        <v>0</v>
      </c>
      <c r="V310" s="320">
        <f t="shared" si="144"/>
        <v>0</v>
      </c>
      <c r="W310" s="320">
        <f t="shared" si="144"/>
        <v>0</v>
      </c>
      <c r="X310" s="320">
        <f t="shared" si="144"/>
        <v>0</v>
      </c>
      <c r="Y310" s="320">
        <f t="shared" si="144"/>
        <v>0</v>
      </c>
      <c r="Z310" s="320">
        <f t="shared" si="144"/>
        <v>0</v>
      </c>
      <c r="AA310" s="320">
        <f t="shared" si="144"/>
        <v>0</v>
      </c>
      <c r="AB310" s="320">
        <f t="shared" si="144"/>
        <v>0</v>
      </c>
      <c r="AC310" s="320">
        <f t="shared" si="144"/>
        <v>0</v>
      </c>
      <c r="AD310" s="320">
        <f t="shared" si="144"/>
        <v>0</v>
      </c>
      <c r="AE310" s="320">
        <f t="shared" si="144"/>
        <v>0</v>
      </c>
      <c r="AF310" s="320">
        <f t="shared" si="144"/>
        <v>0</v>
      </c>
      <c r="AG310" s="320">
        <f t="shared" si="144"/>
        <v>0</v>
      </c>
      <c r="AH310" s="320">
        <f t="shared" si="144"/>
        <v>0</v>
      </c>
      <c r="AI310" s="320">
        <f t="shared" si="144"/>
        <v>0</v>
      </c>
      <c r="AJ310" s="320">
        <f t="shared" si="144"/>
        <v>0</v>
      </c>
      <c r="AK310" s="320">
        <f t="shared" si="144"/>
        <v>0</v>
      </c>
      <c r="AL310" s="320">
        <f t="shared" si="144"/>
        <v>0</v>
      </c>
      <c r="AM310" s="320">
        <f t="shared" si="144"/>
        <v>0</v>
      </c>
      <c r="AN310" s="320">
        <f t="shared" si="144"/>
        <v>0</v>
      </c>
      <c r="AO310" s="320">
        <f t="shared" si="144"/>
        <v>0</v>
      </c>
      <c r="AP310" s="320">
        <f t="shared" si="144"/>
        <v>0</v>
      </c>
      <c r="AQ310" s="320">
        <f t="shared" si="144"/>
        <v>0</v>
      </c>
      <c r="AR310" s="320">
        <f t="shared" si="144"/>
        <v>0</v>
      </c>
      <c r="AS310" s="320">
        <f t="shared" si="144"/>
        <v>0</v>
      </c>
      <c r="AT310" s="320">
        <f t="shared" si="144"/>
        <v>0</v>
      </c>
      <c r="AU310" s="320">
        <f t="shared" si="144"/>
        <v>0</v>
      </c>
      <c r="AV310" s="320">
        <f t="shared" si="144"/>
        <v>0</v>
      </c>
    </row>
    <row r="311" spans="1:48" s="320" customFormat="1" ht="15" customHeight="1">
      <c r="A311" s="351"/>
      <c r="B311" s="134"/>
      <c r="C311" s="322"/>
      <c r="D311" s="724"/>
    </row>
    <row r="312" spans="1:48" s="320" customFormat="1" ht="15" customHeight="1">
      <c r="A312" s="351"/>
      <c r="B312" s="134" t="s">
        <v>1201</v>
      </c>
      <c r="C312" s="322"/>
      <c r="D312" s="724"/>
    </row>
    <row r="313" spans="1:48" s="320" customFormat="1" ht="15" customHeight="1">
      <c r="A313" s="351"/>
      <c r="B313" s="134"/>
      <c r="C313" s="322"/>
      <c r="D313" s="724"/>
      <c r="E313" s="132" t="str">
        <f xml:space="preserve"> EITI_Rev!E$26</f>
        <v>RM_50%</v>
      </c>
      <c r="F313" s="132">
        <f xml:space="preserve"> EITI_Rev!F$26</f>
        <v>0</v>
      </c>
      <c r="G313" s="132" t="str">
        <f xml:space="preserve"> EITI_Rev!G$26</f>
        <v>$ mn</v>
      </c>
      <c r="H313" s="132">
        <f xml:space="preserve"> EITI_Rev!H$26</f>
        <v>0</v>
      </c>
      <c r="I313" s="132">
        <f xml:space="preserve"> EITI_Rev!I$26</f>
        <v>0</v>
      </c>
      <c r="J313" s="132">
        <f xml:space="preserve"> EITI_Rev!J$26</f>
        <v>175.26593310000001</v>
      </c>
      <c r="K313" s="132">
        <f xml:space="preserve"> EITI_Rev!K$26</f>
        <v>0</v>
      </c>
      <c r="L313" s="132">
        <f xml:space="preserve"> EITI_Rev!L$26</f>
        <v>0</v>
      </c>
      <c r="M313" s="132">
        <f xml:space="preserve"> EITI_Rev!M$26</f>
        <v>0</v>
      </c>
      <c r="N313" s="132">
        <f xml:space="preserve"> EITI_Rev!N$26</f>
        <v>0</v>
      </c>
      <c r="O313" s="132">
        <f xml:space="preserve"> EITI_Rev!O$26</f>
        <v>0</v>
      </c>
      <c r="P313" s="132">
        <f xml:space="preserve"> EITI_Rev!P$26</f>
        <v>0.50907771999999996</v>
      </c>
      <c r="Q313" s="132">
        <f xml:space="preserve"> EITI_Rev!Q$26</f>
        <v>10.722683419999999</v>
      </c>
      <c r="R313" s="132">
        <f xml:space="preserve"> EITI_Rev!R$26</f>
        <v>28.052630190000002</v>
      </c>
      <c r="S313" s="132">
        <f xml:space="preserve"> EITI_Rev!S$26</f>
        <v>60.504580770000004</v>
      </c>
      <c r="T313" s="132">
        <f xml:space="preserve"> EITI_Rev!T$26</f>
        <v>75.476961000000003</v>
      </c>
      <c r="U313" s="132">
        <f xml:space="preserve"> EITI_Rev!U$26</f>
        <v>0</v>
      </c>
      <c r="V313" s="132">
        <f xml:space="preserve"> EITI_Rev!V$26</f>
        <v>0</v>
      </c>
      <c r="W313" s="132">
        <f xml:space="preserve"> EITI_Rev!W$26</f>
        <v>0</v>
      </c>
      <c r="X313" s="132">
        <f xml:space="preserve"> EITI_Rev!X$26</f>
        <v>0</v>
      </c>
      <c r="Y313" s="132">
        <f xml:space="preserve"> EITI_Rev!Y$26</f>
        <v>0</v>
      </c>
      <c r="Z313" s="132">
        <f xml:space="preserve"> EITI_Rev!Z$26</f>
        <v>0</v>
      </c>
      <c r="AA313" s="132">
        <f xml:space="preserve"> EITI_Rev!AA$26</f>
        <v>0</v>
      </c>
      <c r="AB313" s="132">
        <f xml:space="preserve"> EITI_Rev!AB$26</f>
        <v>0</v>
      </c>
      <c r="AC313" s="132">
        <f xml:space="preserve"> EITI_Rev!AC$26</f>
        <v>0</v>
      </c>
      <c r="AD313" s="132">
        <f xml:space="preserve"> EITI_Rev!AD$26</f>
        <v>0</v>
      </c>
      <c r="AE313" s="132">
        <f xml:space="preserve"> EITI_Rev!AE$26</f>
        <v>0</v>
      </c>
      <c r="AF313" s="132">
        <f xml:space="preserve"> EITI_Rev!AF$26</f>
        <v>0</v>
      </c>
      <c r="AG313" s="132">
        <f xml:space="preserve"> EITI_Rev!AG$26</f>
        <v>0</v>
      </c>
      <c r="AH313" s="132">
        <f xml:space="preserve"> EITI_Rev!AH$26</f>
        <v>0</v>
      </c>
      <c r="AI313" s="132">
        <f xml:space="preserve"> EITI_Rev!AI$26</f>
        <v>0</v>
      </c>
      <c r="AJ313" s="132">
        <f xml:space="preserve"> EITI_Rev!AJ$26</f>
        <v>0</v>
      </c>
      <c r="AK313" s="132">
        <f xml:space="preserve"> EITI_Rev!AK$26</f>
        <v>0</v>
      </c>
      <c r="AL313" s="132">
        <f xml:space="preserve"> EITI_Rev!AL$26</f>
        <v>0</v>
      </c>
      <c r="AM313" s="132">
        <f xml:space="preserve"> EITI_Rev!AM$26</f>
        <v>0</v>
      </c>
      <c r="AN313" s="132">
        <f xml:space="preserve"> EITI_Rev!AN$26</f>
        <v>0</v>
      </c>
      <c r="AO313" s="132">
        <f xml:space="preserve"> EITI_Rev!AO$26</f>
        <v>0</v>
      </c>
      <c r="AP313" s="132">
        <f xml:space="preserve"> EITI_Rev!AP$26</f>
        <v>0</v>
      </c>
      <c r="AQ313" s="132">
        <f xml:space="preserve"> EITI_Rev!AQ$26</f>
        <v>0</v>
      </c>
      <c r="AR313" s="132">
        <f xml:space="preserve"> EITI_Rev!AR$26</f>
        <v>0</v>
      </c>
      <c r="AS313" s="132">
        <f xml:space="preserve"> EITI_Rev!AS$26</f>
        <v>0</v>
      </c>
      <c r="AT313" s="132">
        <f xml:space="preserve"> EITI_Rev!AT$26</f>
        <v>0</v>
      </c>
      <c r="AU313" s="132">
        <f xml:space="preserve"> EITI_Rev!AU$26</f>
        <v>0</v>
      </c>
      <c r="AV313" s="132">
        <f xml:space="preserve"> EITI_Rev!AV$26</f>
        <v>0</v>
      </c>
    </row>
    <row r="314" spans="1:48" s="320" customFormat="1" ht="15" customHeight="1">
      <c r="A314" s="351"/>
      <c r="B314" s="134"/>
      <c r="C314" s="322"/>
      <c r="D314" s="724"/>
      <c r="E314" s="132" t="str">
        <f xml:space="preserve"> EITI_Rev!E$27</f>
        <v>RM_25%</v>
      </c>
      <c r="F314" s="132">
        <f xml:space="preserve"> EITI_Rev!F$27</f>
        <v>0</v>
      </c>
      <c r="G314" s="132" t="str">
        <f xml:space="preserve"> EITI_Rev!G$27</f>
        <v>$ mn</v>
      </c>
      <c r="H314" s="132">
        <f xml:space="preserve"> EITI_Rev!H$27</f>
        <v>0</v>
      </c>
      <c r="I314" s="132">
        <f xml:space="preserve"> EITI_Rev!I$27</f>
        <v>0</v>
      </c>
      <c r="J314" s="132">
        <f xml:space="preserve"> EITI_Rev!J$27</f>
        <v>48.390118170000001</v>
      </c>
      <c r="K314" s="132">
        <f xml:space="preserve"> EITI_Rev!K$27</f>
        <v>0</v>
      </c>
      <c r="L314" s="132">
        <f xml:space="preserve"> EITI_Rev!L$27</f>
        <v>0</v>
      </c>
      <c r="M314" s="132">
        <f xml:space="preserve"> EITI_Rev!M$27</f>
        <v>0</v>
      </c>
      <c r="N314" s="132">
        <f xml:space="preserve"> EITI_Rev!N$27</f>
        <v>0</v>
      </c>
      <c r="O314" s="132">
        <f xml:space="preserve"> EITI_Rev!O$27</f>
        <v>0</v>
      </c>
      <c r="P314" s="132">
        <f xml:space="preserve"> EITI_Rev!P$27</f>
        <v>0.20298007000000001</v>
      </c>
      <c r="Q314" s="132">
        <f xml:space="preserve"> EITI_Rev!Q$27</f>
        <v>3.6042063399999997</v>
      </c>
      <c r="R314" s="132">
        <f xml:space="preserve"> EITI_Rev!R$27</f>
        <v>7.1893623499999997</v>
      </c>
      <c r="S314" s="132">
        <f xml:space="preserve"> EITI_Rev!S$27</f>
        <v>29.774013409999998</v>
      </c>
      <c r="T314" s="132">
        <f xml:space="preserve"> EITI_Rev!T$27</f>
        <v>7.6195560000000002</v>
      </c>
      <c r="U314" s="132">
        <f xml:space="preserve"> EITI_Rev!U$27</f>
        <v>0</v>
      </c>
      <c r="V314" s="132">
        <f xml:space="preserve"> EITI_Rev!V$27</f>
        <v>0</v>
      </c>
      <c r="W314" s="132">
        <f xml:space="preserve"> EITI_Rev!W$27</f>
        <v>0</v>
      </c>
      <c r="X314" s="132">
        <f xml:space="preserve"> EITI_Rev!X$27</f>
        <v>0</v>
      </c>
      <c r="Y314" s="132">
        <f xml:space="preserve"> EITI_Rev!Y$27</f>
        <v>0</v>
      </c>
      <c r="Z314" s="132">
        <f xml:space="preserve"> EITI_Rev!Z$27</f>
        <v>0</v>
      </c>
      <c r="AA314" s="132">
        <f xml:space="preserve"> EITI_Rev!AA$27</f>
        <v>0</v>
      </c>
      <c r="AB314" s="132">
        <f xml:space="preserve"> EITI_Rev!AB$27</f>
        <v>0</v>
      </c>
      <c r="AC314" s="132">
        <f xml:space="preserve"> EITI_Rev!AC$27</f>
        <v>0</v>
      </c>
      <c r="AD314" s="132">
        <f xml:space="preserve"> EITI_Rev!AD$27</f>
        <v>0</v>
      </c>
      <c r="AE314" s="132">
        <f xml:space="preserve"> EITI_Rev!AE$27</f>
        <v>0</v>
      </c>
      <c r="AF314" s="132">
        <f xml:space="preserve"> EITI_Rev!AF$27</f>
        <v>0</v>
      </c>
      <c r="AG314" s="132">
        <f xml:space="preserve"> EITI_Rev!AG$27</f>
        <v>0</v>
      </c>
      <c r="AH314" s="132">
        <f xml:space="preserve"> EITI_Rev!AH$27</f>
        <v>0</v>
      </c>
      <c r="AI314" s="132">
        <f xml:space="preserve"> EITI_Rev!AI$27</f>
        <v>0</v>
      </c>
      <c r="AJ314" s="132">
        <f xml:space="preserve"> EITI_Rev!AJ$27</f>
        <v>0</v>
      </c>
      <c r="AK314" s="132">
        <f xml:space="preserve"> EITI_Rev!AK$27</f>
        <v>0</v>
      </c>
      <c r="AL314" s="132">
        <f xml:space="preserve"> EITI_Rev!AL$27</f>
        <v>0</v>
      </c>
      <c r="AM314" s="132">
        <f xml:space="preserve"> EITI_Rev!AM$27</f>
        <v>0</v>
      </c>
      <c r="AN314" s="132">
        <f xml:space="preserve"> EITI_Rev!AN$27</f>
        <v>0</v>
      </c>
      <c r="AO314" s="132">
        <f xml:space="preserve"> EITI_Rev!AO$27</f>
        <v>0</v>
      </c>
      <c r="AP314" s="132">
        <f xml:space="preserve"> EITI_Rev!AP$27</f>
        <v>0</v>
      </c>
      <c r="AQ314" s="132">
        <f xml:space="preserve"> EITI_Rev!AQ$27</f>
        <v>0</v>
      </c>
      <c r="AR314" s="132">
        <f xml:space="preserve"> EITI_Rev!AR$27</f>
        <v>0</v>
      </c>
      <c r="AS314" s="132">
        <f xml:space="preserve"> EITI_Rev!AS$27</f>
        <v>0</v>
      </c>
      <c r="AT314" s="132">
        <f xml:space="preserve"> EITI_Rev!AT$27</f>
        <v>0</v>
      </c>
      <c r="AU314" s="132">
        <f xml:space="preserve"> EITI_Rev!AU$27</f>
        <v>0</v>
      </c>
      <c r="AV314" s="132">
        <f xml:space="preserve"> EITI_Rev!AV$27</f>
        <v>0</v>
      </c>
    </row>
    <row r="315" spans="1:48" s="320" customFormat="1" ht="15" customHeight="1">
      <c r="A315" s="351"/>
      <c r="B315" s="134"/>
      <c r="C315" s="322"/>
      <c r="D315" s="724"/>
      <c r="E315" s="132" t="str">
        <f xml:space="preserve"> EITI_Rev!E$28</f>
        <v>RM_ETD</v>
      </c>
      <c r="F315" s="132">
        <f xml:space="preserve"> EITI_Rev!F$28</f>
        <v>0</v>
      </c>
      <c r="G315" s="132" t="str">
        <f xml:space="preserve"> EITI_Rev!G$28</f>
        <v>$ mn</v>
      </c>
      <c r="H315" s="132">
        <f xml:space="preserve"> EITI_Rev!H$28</f>
        <v>0</v>
      </c>
      <c r="I315" s="132">
        <f xml:space="preserve"> EITI_Rev!I$28</f>
        <v>0</v>
      </c>
      <c r="J315" s="132">
        <f xml:space="preserve"> EITI_Rev!J$28</f>
        <v>24.67376767</v>
      </c>
      <c r="K315" s="132">
        <f xml:space="preserve"> EITI_Rev!K$28</f>
        <v>0</v>
      </c>
      <c r="L315" s="132">
        <f xml:space="preserve"> EITI_Rev!L$28</f>
        <v>0</v>
      </c>
      <c r="M315" s="132">
        <f xml:space="preserve"> EITI_Rev!M$28</f>
        <v>0</v>
      </c>
      <c r="N315" s="132">
        <f xml:space="preserve"> EITI_Rev!N$28</f>
        <v>0</v>
      </c>
      <c r="O315" s="132">
        <f xml:space="preserve"> EITI_Rev!O$28</f>
        <v>0</v>
      </c>
      <c r="P315" s="132">
        <f xml:space="preserve"> EITI_Rev!P$28</f>
        <v>0.15792253000000001</v>
      </c>
      <c r="Q315" s="132">
        <f xml:space="preserve"> EITI_Rev!Q$28</f>
        <v>2.50565529</v>
      </c>
      <c r="R315" s="132">
        <f xml:space="preserve"> EITI_Rev!R$28</f>
        <v>6.9677912699999993</v>
      </c>
      <c r="S315" s="132">
        <f xml:space="preserve"> EITI_Rev!S$28</f>
        <v>5.8796315799999999</v>
      </c>
      <c r="T315" s="132">
        <f xml:space="preserve"> EITI_Rev!T$28</f>
        <v>9.1627670000000006</v>
      </c>
      <c r="U315" s="132">
        <f xml:space="preserve"> EITI_Rev!U$28</f>
        <v>0</v>
      </c>
      <c r="V315" s="132">
        <f xml:space="preserve"> EITI_Rev!V$28</f>
        <v>0</v>
      </c>
      <c r="W315" s="132">
        <f xml:space="preserve"> EITI_Rev!W$28</f>
        <v>0</v>
      </c>
      <c r="X315" s="132">
        <f xml:space="preserve"> EITI_Rev!X$28</f>
        <v>0</v>
      </c>
      <c r="Y315" s="132">
        <f xml:space="preserve"> EITI_Rev!Y$28</f>
        <v>0</v>
      </c>
      <c r="Z315" s="132">
        <f xml:space="preserve"> EITI_Rev!Z$28</f>
        <v>0</v>
      </c>
      <c r="AA315" s="132">
        <f xml:space="preserve"> EITI_Rev!AA$28</f>
        <v>0</v>
      </c>
      <c r="AB315" s="132">
        <f xml:space="preserve"> EITI_Rev!AB$28</f>
        <v>0</v>
      </c>
      <c r="AC315" s="132">
        <f xml:space="preserve"> EITI_Rev!AC$28</f>
        <v>0</v>
      </c>
      <c r="AD315" s="132">
        <f xml:space="preserve"> EITI_Rev!AD$28</f>
        <v>0</v>
      </c>
      <c r="AE315" s="132">
        <f xml:space="preserve"> EITI_Rev!AE$28</f>
        <v>0</v>
      </c>
      <c r="AF315" s="132">
        <f xml:space="preserve"> EITI_Rev!AF$28</f>
        <v>0</v>
      </c>
      <c r="AG315" s="132">
        <f xml:space="preserve"> EITI_Rev!AG$28</f>
        <v>0</v>
      </c>
      <c r="AH315" s="132">
        <f xml:space="preserve"> EITI_Rev!AH$28</f>
        <v>0</v>
      </c>
      <c r="AI315" s="132">
        <f xml:space="preserve"> EITI_Rev!AI$28</f>
        <v>0</v>
      </c>
      <c r="AJ315" s="132">
        <f xml:space="preserve"> EITI_Rev!AJ$28</f>
        <v>0</v>
      </c>
      <c r="AK315" s="132">
        <f xml:space="preserve"> EITI_Rev!AK$28</f>
        <v>0</v>
      </c>
      <c r="AL315" s="132">
        <f xml:space="preserve"> EITI_Rev!AL$28</f>
        <v>0</v>
      </c>
      <c r="AM315" s="132">
        <f xml:space="preserve"> EITI_Rev!AM$28</f>
        <v>0</v>
      </c>
      <c r="AN315" s="132">
        <f xml:space="preserve"> EITI_Rev!AN$28</f>
        <v>0</v>
      </c>
      <c r="AO315" s="132">
        <f xml:space="preserve"> EITI_Rev!AO$28</f>
        <v>0</v>
      </c>
      <c r="AP315" s="132">
        <f xml:space="preserve"> EITI_Rev!AP$28</f>
        <v>0</v>
      </c>
      <c r="AQ315" s="132">
        <f xml:space="preserve"> EITI_Rev!AQ$28</f>
        <v>0</v>
      </c>
      <c r="AR315" s="132">
        <f xml:space="preserve"> EITI_Rev!AR$28</f>
        <v>0</v>
      </c>
      <c r="AS315" s="132">
        <f xml:space="preserve"> EITI_Rev!AS$28</f>
        <v>0</v>
      </c>
      <c r="AT315" s="132">
        <f xml:space="preserve"> EITI_Rev!AT$28</f>
        <v>0</v>
      </c>
      <c r="AU315" s="132">
        <f xml:space="preserve"> EITI_Rev!AU$28</f>
        <v>0</v>
      </c>
      <c r="AV315" s="132">
        <f xml:space="preserve"> EITI_Rev!AV$28</f>
        <v>0</v>
      </c>
    </row>
    <row r="316" spans="1:48" s="132" customFormat="1" ht="15" customHeight="1">
      <c r="E316" s="132" t="str">
        <f xml:space="preserve"> EITI_Rev!E$29</f>
        <v>FOMIN</v>
      </c>
      <c r="F316" s="132">
        <f xml:space="preserve"> EITI_Rev!F$29</f>
        <v>0</v>
      </c>
      <c r="G316" s="132" t="str">
        <f xml:space="preserve"> EITI_Rev!G$29</f>
        <v>$ mn</v>
      </c>
      <c r="H316" s="132">
        <f xml:space="preserve"> EITI_Rev!H$29</f>
        <v>0</v>
      </c>
      <c r="I316" s="132">
        <f xml:space="preserve"> EITI_Rev!I$29</f>
        <v>0</v>
      </c>
      <c r="J316" s="132">
        <f xml:space="preserve"> EITI_Rev!J$29</f>
        <v>25.775279999999999</v>
      </c>
      <c r="K316" s="132">
        <f xml:space="preserve"> EITI_Rev!K$29</f>
        <v>0</v>
      </c>
      <c r="L316" s="132">
        <f xml:space="preserve"> EITI_Rev!L$29</f>
        <v>0</v>
      </c>
      <c r="M316" s="132">
        <f xml:space="preserve"> EITI_Rev!M$29</f>
        <v>0</v>
      </c>
      <c r="N316" s="132">
        <f xml:space="preserve"> EITI_Rev!N$29</f>
        <v>0</v>
      </c>
      <c r="O316" s="132">
        <f xml:space="preserve"> EITI_Rev!O$29</f>
        <v>0</v>
      </c>
      <c r="P316" s="132">
        <f xml:space="preserve"> EITI_Rev!P$29</f>
        <v>0</v>
      </c>
      <c r="Q316" s="132">
        <f xml:space="preserve"> EITI_Rev!Q$29</f>
        <v>0</v>
      </c>
      <c r="R316" s="132">
        <f xml:space="preserve"> EITI_Rev!R$29</f>
        <v>0</v>
      </c>
      <c r="S316" s="132">
        <f xml:space="preserve"> EITI_Rev!S$29</f>
        <v>0</v>
      </c>
      <c r="T316" s="132">
        <f xml:space="preserve"> EITI_Rev!T$29</f>
        <v>25.775279999999999</v>
      </c>
      <c r="U316" s="132">
        <f xml:space="preserve"> EITI_Rev!U$29</f>
        <v>0</v>
      </c>
      <c r="V316" s="132">
        <f xml:space="preserve"> EITI_Rev!V$29</f>
        <v>0</v>
      </c>
      <c r="W316" s="132">
        <f xml:space="preserve"> EITI_Rev!W$29</f>
        <v>0</v>
      </c>
      <c r="X316" s="132">
        <f xml:space="preserve"> EITI_Rev!X$29</f>
        <v>0</v>
      </c>
      <c r="Y316" s="132">
        <f xml:space="preserve"> EITI_Rev!Y$29</f>
        <v>0</v>
      </c>
      <c r="Z316" s="132">
        <f xml:space="preserve"> EITI_Rev!Z$29</f>
        <v>0</v>
      </c>
      <c r="AA316" s="132">
        <f xml:space="preserve"> EITI_Rev!AA$29</f>
        <v>0</v>
      </c>
      <c r="AB316" s="132">
        <f xml:space="preserve"> EITI_Rev!AB$29</f>
        <v>0</v>
      </c>
      <c r="AC316" s="132">
        <f xml:space="preserve"> EITI_Rev!AC$29</f>
        <v>0</v>
      </c>
      <c r="AD316" s="132">
        <f xml:space="preserve"> EITI_Rev!AD$29</f>
        <v>0</v>
      </c>
      <c r="AE316" s="132">
        <f xml:space="preserve"> EITI_Rev!AE$29</f>
        <v>0</v>
      </c>
      <c r="AF316" s="132">
        <f xml:space="preserve"> EITI_Rev!AF$29</f>
        <v>0</v>
      </c>
      <c r="AG316" s="132">
        <f xml:space="preserve"> EITI_Rev!AG$29</f>
        <v>0</v>
      </c>
      <c r="AH316" s="132">
        <f xml:space="preserve"> EITI_Rev!AH$29</f>
        <v>0</v>
      </c>
      <c r="AI316" s="132">
        <f xml:space="preserve"> EITI_Rev!AI$29</f>
        <v>0</v>
      </c>
      <c r="AJ316" s="132">
        <f xml:space="preserve"> EITI_Rev!AJ$29</f>
        <v>0</v>
      </c>
      <c r="AK316" s="132">
        <f xml:space="preserve"> EITI_Rev!AK$29</f>
        <v>0</v>
      </c>
      <c r="AL316" s="132">
        <f xml:space="preserve"> EITI_Rev!AL$29</f>
        <v>0</v>
      </c>
      <c r="AM316" s="132">
        <f xml:space="preserve"> EITI_Rev!AM$29</f>
        <v>0</v>
      </c>
      <c r="AN316" s="132">
        <f xml:space="preserve"> EITI_Rev!AN$29</f>
        <v>0</v>
      </c>
      <c r="AO316" s="132">
        <f xml:space="preserve"> EITI_Rev!AO$29</f>
        <v>0</v>
      </c>
      <c r="AP316" s="132">
        <f xml:space="preserve"> EITI_Rev!AP$29</f>
        <v>0</v>
      </c>
      <c r="AQ316" s="132">
        <f xml:space="preserve"> EITI_Rev!AQ$29</f>
        <v>0</v>
      </c>
      <c r="AR316" s="132">
        <f xml:space="preserve"> EITI_Rev!AR$29</f>
        <v>0</v>
      </c>
      <c r="AS316" s="132">
        <f xml:space="preserve"> EITI_Rev!AS$29</f>
        <v>0</v>
      </c>
      <c r="AT316" s="132">
        <f xml:space="preserve"> EITI_Rev!AT$29</f>
        <v>0</v>
      </c>
      <c r="AU316" s="132">
        <f xml:space="preserve"> EITI_Rev!AU$29</f>
        <v>0</v>
      </c>
      <c r="AV316" s="132">
        <f xml:space="preserve"> EITI_Rev!AV$29</f>
        <v>0</v>
      </c>
    </row>
    <row r="317" spans="1:48" s="320" customFormat="1" ht="15" customHeight="1">
      <c r="A317" s="351"/>
      <c r="B317" s="134"/>
      <c r="C317" s="322"/>
      <c r="D317" s="724"/>
      <c r="E317" s="807" t="s">
        <v>1363</v>
      </c>
      <c r="F317" s="807"/>
      <c r="G317" s="807" t="s">
        <v>29</v>
      </c>
      <c r="H317" s="807"/>
      <c r="I317" s="807"/>
      <c r="J317" s="807">
        <f xml:space="preserve"> SUM(L317:AV317)</f>
        <v>274.10509894</v>
      </c>
      <c r="K317" s="807"/>
      <c r="L317" s="807">
        <f t="shared" ref="L317:AV317" si="145">SUM(L313:L316)</f>
        <v>0</v>
      </c>
      <c r="M317" s="807">
        <f t="shared" si="145"/>
        <v>0</v>
      </c>
      <c r="N317" s="807">
        <f t="shared" si="145"/>
        <v>0</v>
      </c>
      <c r="O317" s="807">
        <f t="shared" si="145"/>
        <v>0</v>
      </c>
      <c r="P317" s="807">
        <f t="shared" si="145"/>
        <v>0.86998032000000003</v>
      </c>
      <c r="Q317" s="807">
        <f t="shared" si="145"/>
        <v>16.83254505</v>
      </c>
      <c r="R317" s="807">
        <f t="shared" si="145"/>
        <v>42.209783809999998</v>
      </c>
      <c r="S317" s="807">
        <f t="shared" si="145"/>
        <v>96.158225759999993</v>
      </c>
      <c r="T317" s="807">
        <f t="shared" si="145"/>
        <v>118.034564</v>
      </c>
      <c r="U317" s="807">
        <f t="shared" si="145"/>
        <v>0</v>
      </c>
      <c r="V317" s="807">
        <f t="shared" si="145"/>
        <v>0</v>
      </c>
      <c r="W317" s="807">
        <f t="shared" si="145"/>
        <v>0</v>
      </c>
      <c r="X317" s="807">
        <f t="shared" si="145"/>
        <v>0</v>
      </c>
      <c r="Y317" s="807">
        <f t="shared" si="145"/>
        <v>0</v>
      </c>
      <c r="Z317" s="807">
        <f t="shared" si="145"/>
        <v>0</v>
      </c>
      <c r="AA317" s="807">
        <f t="shared" si="145"/>
        <v>0</v>
      </c>
      <c r="AB317" s="807">
        <f t="shared" si="145"/>
        <v>0</v>
      </c>
      <c r="AC317" s="807">
        <f t="shared" si="145"/>
        <v>0</v>
      </c>
      <c r="AD317" s="807">
        <f t="shared" si="145"/>
        <v>0</v>
      </c>
      <c r="AE317" s="807">
        <f t="shared" si="145"/>
        <v>0</v>
      </c>
      <c r="AF317" s="807">
        <f t="shared" si="145"/>
        <v>0</v>
      </c>
      <c r="AG317" s="807">
        <f t="shared" si="145"/>
        <v>0</v>
      </c>
      <c r="AH317" s="807">
        <f t="shared" si="145"/>
        <v>0</v>
      </c>
      <c r="AI317" s="807">
        <f t="shared" si="145"/>
        <v>0</v>
      </c>
      <c r="AJ317" s="807">
        <f t="shared" si="145"/>
        <v>0</v>
      </c>
      <c r="AK317" s="807">
        <f t="shared" si="145"/>
        <v>0</v>
      </c>
      <c r="AL317" s="807">
        <f t="shared" si="145"/>
        <v>0</v>
      </c>
      <c r="AM317" s="807">
        <f t="shared" si="145"/>
        <v>0</v>
      </c>
      <c r="AN317" s="807">
        <f t="shared" si="145"/>
        <v>0</v>
      </c>
      <c r="AO317" s="807">
        <f t="shared" si="145"/>
        <v>0</v>
      </c>
      <c r="AP317" s="807">
        <f t="shared" si="145"/>
        <v>0</v>
      </c>
      <c r="AQ317" s="807">
        <f t="shared" si="145"/>
        <v>0</v>
      </c>
      <c r="AR317" s="807">
        <f t="shared" si="145"/>
        <v>0</v>
      </c>
      <c r="AS317" s="807">
        <f t="shared" si="145"/>
        <v>0</v>
      </c>
      <c r="AT317" s="807">
        <f t="shared" si="145"/>
        <v>0</v>
      </c>
      <c r="AU317" s="807">
        <f t="shared" si="145"/>
        <v>0</v>
      </c>
      <c r="AV317" s="807">
        <f t="shared" si="145"/>
        <v>0</v>
      </c>
    </row>
    <row r="318" spans="1:48" s="320" customFormat="1" ht="15" customHeight="1">
      <c r="A318" s="351"/>
      <c r="B318" s="134"/>
      <c r="C318" s="322"/>
      <c r="D318" s="724"/>
    </row>
    <row r="319" spans="1:48" s="320" customFormat="1" ht="15" customHeight="1">
      <c r="A319" s="351"/>
      <c r="B319" s="134"/>
      <c r="C319" s="322" t="s">
        <v>1319</v>
      </c>
      <c r="D319" s="724"/>
    </row>
    <row r="320" spans="1:48" s="6" customFormat="1" ht="15" customHeight="1">
      <c r="E320" s="320" t="str">
        <f xml:space="preserve"> E314 &amp; ": shortfall"</f>
        <v>RM_25%: shortfall</v>
      </c>
      <c r="G320" s="6" t="s">
        <v>29</v>
      </c>
      <c r="J320" s="6">
        <f xml:space="preserve"> SUM(L320:AV320)</f>
        <v>-39.242848380000005</v>
      </c>
      <c r="L320" s="6">
        <f xml:space="preserve"> L314 - ( L$313 *  ( $F$277 / $F$276 ) )</f>
        <v>0</v>
      </c>
      <c r="M320" s="6">
        <f t="shared" ref="M320:AV320" si="146" xml:space="preserve"> M314 - ( M$313 *  ( $F$277 / $F$276 ) )</f>
        <v>0</v>
      </c>
      <c r="N320" s="6">
        <f t="shared" si="146"/>
        <v>0</v>
      </c>
      <c r="O320" s="6">
        <f t="shared" si="146"/>
        <v>0</v>
      </c>
      <c r="P320" s="6">
        <f t="shared" si="146"/>
        <v>-5.1558789999999965E-2</v>
      </c>
      <c r="Q320" s="6">
        <f t="shared" si="146"/>
        <v>-1.7571353699999999</v>
      </c>
      <c r="R320" s="6">
        <f t="shared" si="146"/>
        <v>-6.8369527450000014</v>
      </c>
      <c r="S320" s="6">
        <f t="shared" si="146"/>
        <v>-0.47827697500000355</v>
      </c>
      <c r="T320" s="6">
        <f t="shared" si="146"/>
        <v>-30.118924500000002</v>
      </c>
      <c r="U320" s="6">
        <f t="shared" si="146"/>
        <v>0</v>
      </c>
      <c r="V320" s="6">
        <f t="shared" si="146"/>
        <v>0</v>
      </c>
      <c r="W320" s="6">
        <f t="shared" si="146"/>
        <v>0</v>
      </c>
      <c r="X320" s="6">
        <f t="shared" si="146"/>
        <v>0</v>
      </c>
      <c r="Y320" s="6">
        <f t="shared" si="146"/>
        <v>0</v>
      </c>
      <c r="Z320" s="6">
        <f t="shared" si="146"/>
        <v>0</v>
      </c>
      <c r="AA320" s="6">
        <f t="shared" si="146"/>
        <v>0</v>
      </c>
      <c r="AB320" s="6">
        <f t="shared" si="146"/>
        <v>0</v>
      </c>
      <c r="AC320" s="6">
        <f t="shared" si="146"/>
        <v>0</v>
      </c>
      <c r="AD320" s="6">
        <f t="shared" si="146"/>
        <v>0</v>
      </c>
      <c r="AE320" s="6">
        <f t="shared" si="146"/>
        <v>0</v>
      </c>
      <c r="AF320" s="6">
        <f t="shared" si="146"/>
        <v>0</v>
      </c>
      <c r="AG320" s="6">
        <f t="shared" si="146"/>
        <v>0</v>
      </c>
      <c r="AH320" s="6">
        <f t="shared" si="146"/>
        <v>0</v>
      </c>
      <c r="AI320" s="6">
        <f t="shared" si="146"/>
        <v>0</v>
      </c>
      <c r="AJ320" s="6">
        <f t="shared" si="146"/>
        <v>0</v>
      </c>
      <c r="AK320" s="6">
        <f t="shared" si="146"/>
        <v>0</v>
      </c>
      <c r="AL320" s="6">
        <f t="shared" si="146"/>
        <v>0</v>
      </c>
      <c r="AM320" s="6">
        <f t="shared" si="146"/>
        <v>0</v>
      </c>
      <c r="AN320" s="6">
        <f t="shared" si="146"/>
        <v>0</v>
      </c>
      <c r="AO320" s="6">
        <f t="shared" si="146"/>
        <v>0</v>
      </c>
      <c r="AP320" s="6">
        <f t="shared" si="146"/>
        <v>0</v>
      </c>
      <c r="AQ320" s="6">
        <f t="shared" si="146"/>
        <v>0</v>
      </c>
      <c r="AR320" s="6">
        <f t="shared" si="146"/>
        <v>0</v>
      </c>
      <c r="AS320" s="6">
        <f t="shared" si="146"/>
        <v>0</v>
      </c>
      <c r="AT320" s="6">
        <f t="shared" si="146"/>
        <v>0</v>
      </c>
      <c r="AU320" s="6">
        <f t="shared" si="146"/>
        <v>0</v>
      </c>
      <c r="AV320" s="6">
        <f t="shared" si="146"/>
        <v>0</v>
      </c>
    </row>
    <row r="321" spans="1:48" s="320" customFormat="1" ht="15" customHeight="1">
      <c r="A321" s="351"/>
      <c r="B321" s="134"/>
      <c r="C321" s="322"/>
      <c r="D321" s="724"/>
      <c r="E321" s="320" t="str">
        <f xml:space="preserve"> E315 &amp; ": shortfall"</f>
        <v>RM_ETD: shortfall</v>
      </c>
      <c r="G321" s="6" t="s">
        <v>29</v>
      </c>
      <c r="J321" s="6">
        <f t="shared" ref="J321:J322" si="147" xml:space="preserve"> SUM(L321:AV321)</f>
        <v>-27.906012260000001</v>
      </c>
      <c r="L321" s="6">
        <f t="shared" ref="L321:AV321" si="148" xml:space="preserve"> L315 - ( L$313 *  ( $F$278 / $F$276 ) )</f>
        <v>0</v>
      </c>
      <c r="M321" s="6">
        <f t="shared" si="148"/>
        <v>0</v>
      </c>
      <c r="N321" s="6">
        <f t="shared" si="148"/>
        <v>0</v>
      </c>
      <c r="O321" s="6">
        <f t="shared" si="148"/>
        <v>0</v>
      </c>
      <c r="P321" s="6">
        <f t="shared" si="148"/>
        <v>5.1992140000000353E-3</v>
      </c>
      <c r="Q321" s="6">
        <f t="shared" si="148"/>
        <v>-0.71114973599999987</v>
      </c>
      <c r="R321" s="6">
        <f t="shared" si="148"/>
        <v>-1.4479977870000003</v>
      </c>
      <c r="S321" s="6">
        <f t="shared" si="148"/>
        <v>-12.271742651000002</v>
      </c>
      <c r="T321" s="6">
        <f t="shared" si="148"/>
        <v>-13.480321299999998</v>
      </c>
      <c r="U321" s="6">
        <f t="shared" si="148"/>
        <v>0</v>
      </c>
      <c r="V321" s="6">
        <f t="shared" si="148"/>
        <v>0</v>
      </c>
      <c r="W321" s="6">
        <f t="shared" si="148"/>
        <v>0</v>
      </c>
      <c r="X321" s="6">
        <f t="shared" si="148"/>
        <v>0</v>
      </c>
      <c r="Y321" s="6">
        <f t="shared" si="148"/>
        <v>0</v>
      </c>
      <c r="Z321" s="6">
        <f t="shared" si="148"/>
        <v>0</v>
      </c>
      <c r="AA321" s="6">
        <f t="shared" si="148"/>
        <v>0</v>
      </c>
      <c r="AB321" s="6">
        <f t="shared" si="148"/>
        <v>0</v>
      </c>
      <c r="AC321" s="6">
        <f t="shared" si="148"/>
        <v>0</v>
      </c>
      <c r="AD321" s="6">
        <f t="shared" si="148"/>
        <v>0</v>
      </c>
      <c r="AE321" s="6">
        <f t="shared" si="148"/>
        <v>0</v>
      </c>
      <c r="AF321" s="6">
        <f t="shared" si="148"/>
        <v>0</v>
      </c>
      <c r="AG321" s="6">
        <f t="shared" si="148"/>
        <v>0</v>
      </c>
      <c r="AH321" s="6">
        <f t="shared" si="148"/>
        <v>0</v>
      </c>
      <c r="AI321" s="6">
        <f t="shared" si="148"/>
        <v>0</v>
      </c>
      <c r="AJ321" s="6">
        <f t="shared" si="148"/>
        <v>0</v>
      </c>
      <c r="AK321" s="6">
        <f t="shared" si="148"/>
        <v>0</v>
      </c>
      <c r="AL321" s="6">
        <f t="shared" si="148"/>
        <v>0</v>
      </c>
      <c r="AM321" s="6">
        <f t="shared" si="148"/>
        <v>0</v>
      </c>
      <c r="AN321" s="6">
        <f t="shared" si="148"/>
        <v>0</v>
      </c>
      <c r="AO321" s="6">
        <f t="shared" si="148"/>
        <v>0</v>
      </c>
      <c r="AP321" s="6">
        <f t="shared" si="148"/>
        <v>0</v>
      </c>
      <c r="AQ321" s="6">
        <f t="shared" si="148"/>
        <v>0</v>
      </c>
      <c r="AR321" s="6">
        <f t="shared" si="148"/>
        <v>0</v>
      </c>
      <c r="AS321" s="6">
        <f t="shared" si="148"/>
        <v>0</v>
      </c>
      <c r="AT321" s="6">
        <f t="shared" si="148"/>
        <v>0</v>
      </c>
      <c r="AU321" s="6">
        <f t="shared" si="148"/>
        <v>0</v>
      </c>
      <c r="AV321" s="6">
        <f t="shared" si="148"/>
        <v>0</v>
      </c>
    </row>
    <row r="322" spans="1:48" s="320" customFormat="1" ht="15" customHeight="1">
      <c r="A322" s="351"/>
      <c r="B322" s="134"/>
      <c r="C322" s="322"/>
      <c r="D322" s="724"/>
      <c r="E322" s="320" t="str">
        <f xml:space="preserve"> E316 &amp; ": shortfall"</f>
        <v>FOMIN: shortfall</v>
      </c>
      <c r="G322" s="6" t="s">
        <v>29</v>
      </c>
      <c r="J322" s="6">
        <f t="shared" si="147"/>
        <v>-9.2779066200000049</v>
      </c>
      <c r="L322" s="6">
        <f t="shared" ref="L322:AV322" si="149" xml:space="preserve"> L316 - ( L$313 *  ( $F$279 / $F$276 ) )</f>
        <v>0</v>
      </c>
      <c r="M322" s="6">
        <f t="shared" si="149"/>
        <v>0</v>
      </c>
      <c r="N322" s="6">
        <f t="shared" si="149"/>
        <v>0</v>
      </c>
      <c r="O322" s="6">
        <f t="shared" si="149"/>
        <v>0</v>
      </c>
      <c r="P322" s="6">
        <f t="shared" si="149"/>
        <v>-0.10181554399999999</v>
      </c>
      <c r="Q322" s="6">
        <f t="shared" si="149"/>
        <v>-2.1445366839999997</v>
      </c>
      <c r="R322" s="6">
        <f t="shared" si="149"/>
        <v>-5.6105260380000006</v>
      </c>
      <c r="S322" s="6">
        <f t="shared" si="149"/>
        <v>-12.100916154000002</v>
      </c>
      <c r="T322" s="6">
        <f t="shared" si="149"/>
        <v>10.679887799999998</v>
      </c>
      <c r="U322" s="6">
        <f t="shared" si="149"/>
        <v>0</v>
      </c>
      <c r="V322" s="6">
        <f t="shared" si="149"/>
        <v>0</v>
      </c>
      <c r="W322" s="6">
        <f t="shared" si="149"/>
        <v>0</v>
      </c>
      <c r="X322" s="6">
        <f t="shared" si="149"/>
        <v>0</v>
      </c>
      <c r="Y322" s="6">
        <f t="shared" si="149"/>
        <v>0</v>
      </c>
      <c r="Z322" s="6">
        <f t="shared" si="149"/>
        <v>0</v>
      </c>
      <c r="AA322" s="6">
        <f t="shared" si="149"/>
        <v>0</v>
      </c>
      <c r="AB322" s="6">
        <f t="shared" si="149"/>
        <v>0</v>
      </c>
      <c r="AC322" s="6">
        <f t="shared" si="149"/>
        <v>0</v>
      </c>
      <c r="AD322" s="6">
        <f t="shared" si="149"/>
        <v>0</v>
      </c>
      <c r="AE322" s="6">
        <f t="shared" si="149"/>
        <v>0</v>
      </c>
      <c r="AF322" s="6">
        <f t="shared" si="149"/>
        <v>0</v>
      </c>
      <c r="AG322" s="6">
        <f t="shared" si="149"/>
        <v>0</v>
      </c>
      <c r="AH322" s="6">
        <f t="shared" si="149"/>
        <v>0</v>
      </c>
      <c r="AI322" s="6">
        <f t="shared" si="149"/>
        <v>0</v>
      </c>
      <c r="AJ322" s="6">
        <f t="shared" si="149"/>
        <v>0</v>
      </c>
      <c r="AK322" s="6">
        <f t="shared" si="149"/>
        <v>0</v>
      </c>
      <c r="AL322" s="6">
        <f t="shared" si="149"/>
        <v>0</v>
      </c>
      <c r="AM322" s="6">
        <f t="shared" si="149"/>
        <v>0</v>
      </c>
      <c r="AN322" s="6">
        <f t="shared" si="149"/>
        <v>0</v>
      </c>
      <c r="AO322" s="6">
        <f t="shared" si="149"/>
        <v>0</v>
      </c>
      <c r="AP322" s="6">
        <f t="shared" si="149"/>
        <v>0</v>
      </c>
      <c r="AQ322" s="6">
        <f t="shared" si="149"/>
        <v>0</v>
      </c>
      <c r="AR322" s="6">
        <f t="shared" si="149"/>
        <v>0</v>
      </c>
      <c r="AS322" s="6">
        <f t="shared" si="149"/>
        <v>0</v>
      </c>
      <c r="AT322" s="6">
        <f t="shared" si="149"/>
        <v>0</v>
      </c>
      <c r="AU322" s="6">
        <f t="shared" si="149"/>
        <v>0</v>
      </c>
      <c r="AV322" s="6">
        <f t="shared" si="149"/>
        <v>0</v>
      </c>
    </row>
    <row r="323" spans="1:48" s="320" customFormat="1" ht="15" customHeight="1">
      <c r="A323" s="351"/>
      <c r="B323" s="134"/>
      <c r="C323" s="322"/>
      <c r="D323" s="724"/>
      <c r="E323" s="807" t="str">
        <f xml:space="preserve"> C319</f>
        <v>Subnational royalty shortfall</v>
      </c>
      <c r="F323" s="807"/>
      <c r="G323" s="807" t="s">
        <v>29</v>
      </c>
      <c r="H323" s="807"/>
      <c r="I323" s="807"/>
      <c r="J323" s="807">
        <f xml:space="preserve"> SUM(L323:AV323)</f>
        <v>-76.42676726000002</v>
      </c>
      <c r="K323" s="807"/>
      <c r="L323" s="807">
        <f t="shared" ref="L323:AV323" si="150">SUM(L320:L322)</f>
        <v>0</v>
      </c>
      <c r="M323" s="807">
        <f t="shared" si="150"/>
        <v>0</v>
      </c>
      <c r="N323" s="807">
        <f t="shared" si="150"/>
        <v>0</v>
      </c>
      <c r="O323" s="807">
        <f t="shared" si="150"/>
        <v>0</v>
      </c>
      <c r="P323" s="807">
        <f t="shared" si="150"/>
        <v>-0.14817511999999994</v>
      </c>
      <c r="Q323" s="807">
        <f t="shared" si="150"/>
        <v>-4.6128217899999999</v>
      </c>
      <c r="R323" s="807">
        <f t="shared" si="150"/>
        <v>-13.895476570000003</v>
      </c>
      <c r="S323" s="807">
        <f t="shared" si="150"/>
        <v>-24.850935780000007</v>
      </c>
      <c r="T323" s="807">
        <f t="shared" si="150"/>
        <v>-32.919358000000003</v>
      </c>
      <c r="U323" s="807">
        <f t="shared" si="150"/>
        <v>0</v>
      </c>
      <c r="V323" s="807">
        <f t="shared" si="150"/>
        <v>0</v>
      </c>
      <c r="W323" s="807">
        <f t="shared" si="150"/>
        <v>0</v>
      </c>
      <c r="X323" s="807">
        <f t="shared" si="150"/>
        <v>0</v>
      </c>
      <c r="Y323" s="807">
        <f t="shared" si="150"/>
        <v>0</v>
      </c>
      <c r="Z323" s="807">
        <f t="shared" si="150"/>
        <v>0</v>
      </c>
      <c r="AA323" s="807">
        <f t="shared" si="150"/>
        <v>0</v>
      </c>
      <c r="AB323" s="807">
        <f t="shared" si="150"/>
        <v>0</v>
      </c>
      <c r="AC323" s="807">
        <f t="shared" si="150"/>
        <v>0</v>
      </c>
      <c r="AD323" s="807">
        <f t="shared" si="150"/>
        <v>0</v>
      </c>
      <c r="AE323" s="807">
        <f t="shared" si="150"/>
        <v>0</v>
      </c>
      <c r="AF323" s="807">
        <f t="shared" si="150"/>
        <v>0</v>
      </c>
      <c r="AG323" s="807">
        <f t="shared" si="150"/>
        <v>0</v>
      </c>
      <c r="AH323" s="807">
        <f t="shared" si="150"/>
        <v>0</v>
      </c>
      <c r="AI323" s="807">
        <f t="shared" si="150"/>
        <v>0</v>
      </c>
      <c r="AJ323" s="807">
        <f t="shared" si="150"/>
        <v>0</v>
      </c>
      <c r="AK323" s="807">
        <f t="shared" si="150"/>
        <v>0</v>
      </c>
      <c r="AL323" s="807">
        <f t="shared" si="150"/>
        <v>0</v>
      </c>
      <c r="AM323" s="807">
        <f t="shared" si="150"/>
        <v>0</v>
      </c>
      <c r="AN323" s="807">
        <f t="shared" si="150"/>
        <v>0</v>
      </c>
      <c r="AO323" s="807">
        <f t="shared" si="150"/>
        <v>0</v>
      </c>
      <c r="AP323" s="807">
        <f t="shared" si="150"/>
        <v>0</v>
      </c>
      <c r="AQ323" s="807">
        <f t="shared" si="150"/>
        <v>0</v>
      </c>
      <c r="AR323" s="807">
        <f t="shared" si="150"/>
        <v>0</v>
      </c>
      <c r="AS323" s="807">
        <f t="shared" si="150"/>
        <v>0</v>
      </c>
      <c r="AT323" s="807">
        <f t="shared" si="150"/>
        <v>0</v>
      </c>
      <c r="AU323" s="807">
        <f t="shared" si="150"/>
        <v>0</v>
      </c>
      <c r="AV323" s="807">
        <f t="shared" si="150"/>
        <v>0</v>
      </c>
    </row>
    <row r="324" spans="1:48" s="320" customFormat="1" ht="15" customHeight="1">
      <c r="A324" s="351"/>
      <c r="B324" s="134"/>
      <c r="C324" s="322"/>
      <c r="D324" s="724"/>
      <c r="E324" s="807" t="str">
        <f xml:space="preserve"> "Total " &amp; C319</f>
        <v>Total Subnational royalty shortfall</v>
      </c>
      <c r="F324" s="807">
        <f>SUM(L323:AV323)</f>
        <v>-76.42676726000002</v>
      </c>
      <c r="G324" s="807" t="s">
        <v>29</v>
      </c>
    </row>
    <row r="325" spans="1:48" s="320" customFormat="1" ht="15" customHeight="1">
      <c r="A325" s="351"/>
      <c r="B325" s="134"/>
      <c r="C325" s="322"/>
      <c r="D325" s="724"/>
    </row>
    <row r="326" spans="1:48" s="320" customFormat="1" ht="15" customHeight="1">
      <c r="A326" s="351"/>
      <c r="B326" s="134"/>
      <c r="C326" s="322" t="s">
        <v>1322</v>
      </c>
      <c r="D326" s="724"/>
    </row>
    <row r="327" spans="1:48" s="320" customFormat="1" ht="15" customHeight="1">
      <c r="A327" s="351"/>
      <c r="B327" s="134"/>
      <c r="C327" s="322"/>
      <c r="D327" s="724"/>
      <c r="E327" s="320" t="str">
        <f t="shared" ref="E327:AV327" si="151" xml:space="preserve"> E$310</f>
        <v>Turnover Tax Arrears</v>
      </c>
      <c r="F327" s="320">
        <f t="shared" si="151"/>
        <v>0</v>
      </c>
      <c r="G327" s="320" t="str">
        <f t="shared" si="151"/>
        <v>$ mn</v>
      </c>
      <c r="H327" s="320">
        <f t="shared" si="151"/>
        <v>0</v>
      </c>
      <c r="I327" s="320">
        <f t="shared" si="151"/>
        <v>0</v>
      </c>
      <c r="J327" s="320">
        <f t="shared" si="151"/>
        <v>0</v>
      </c>
      <c r="K327" s="320">
        <f t="shared" si="151"/>
        <v>0</v>
      </c>
      <c r="L327" s="320">
        <f t="shared" si="151"/>
        <v>0</v>
      </c>
      <c r="M327" s="320">
        <f t="shared" si="151"/>
        <v>0</v>
      </c>
      <c r="N327" s="320">
        <f t="shared" si="151"/>
        <v>0</v>
      </c>
      <c r="O327" s="320">
        <f t="shared" si="151"/>
        <v>0</v>
      </c>
      <c r="P327" s="320">
        <f t="shared" si="151"/>
        <v>-0.2014087617882824</v>
      </c>
      <c r="Q327" s="320">
        <f t="shared" si="151"/>
        <v>-2.8397867531093386</v>
      </c>
      <c r="R327" s="320">
        <f t="shared" si="151"/>
        <v>-2.4029186334589721</v>
      </c>
      <c r="S327" s="320">
        <f t="shared" si="151"/>
        <v>-4.6647816973138623</v>
      </c>
      <c r="T327" s="320">
        <f t="shared" si="151"/>
        <v>-5.3707620239571421</v>
      </c>
      <c r="U327" s="320">
        <f t="shared" si="151"/>
        <v>0</v>
      </c>
      <c r="V327" s="320">
        <f t="shared" si="151"/>
        <v>0</v>
      </c>
      <c r="W327" s="320">
        <f t="shared" si="151"/>
        <v>0</v>
      </c>
      <c r="X327" s="320">
        <f t="shared" si="151"/>
        <v>0</v>
      </c>
      <c r="Y327" s="320">
        <f t="shared" si="151"/>
        <v>0</v>
      </c>
      <c r="Z327" s="320">
        <f t="shared" si="151"/>
        <v>0</v>
      </c>
      <c r="AA327" s="320">
        <f t="shared" si="151"/>
        <v>0</v>
      </c>
      <c r="AB327" s="320">
        <f t="shared" si="151"/>
        <v>0</v>
      </c>
      <c r="AC327" s="320">
        <f t="shared" si="151"/>
        <v>0</v>
      </c>
      <c r="AD327" s="320">
        <f t="shared" si="151"/>
        <v>0</v>
      </c>
      <c r="AE327" s="320">
        <f t="shared" si="151"/>
        <v>0</v>
      </c>
      <c r="AF327" s="320">
        <f t="shared" si="151"/>
        <v>0</v>
      </c>
      <c r="AG327" s="320">
        <f t="shared" si="151"/>
        <v>0</v>
      </c>
      <c r="AH327" s="320">
        <f t="shared" si="151"/>
        <v>0</v>
      </c>
      <c r="AI327" s="320">
        <f t="shared" si="151"/>
        <v>0</v>
      </c>
      <c r="AJ327" s="320">
        <f t="shared" si="151"/>
        <v>0</v>
      </c>
      <c r="AK327" s="320">
        <f t="shared" si="151"/>
        <v>0</v>
      </c>
      <c r="AL327" s="320">
        <f t="shared" si="151"/>
        <v>0</v>
      </c>
      <c r="AM327" s="320">
        <f t="shared" si="151"/>
        <v>0</v>
      </c>
      <c r="AN327" s="320">
        <f t="shared" si="151"/>
        <v>0</v>
      </c>
      <c r="AO327" s="320">
        <f t="shared" si="151"/>
        <v>0</v>
      </c>
      <c r="AP327" s="320">
        <f t="shared" si="151"/>
        <v>0</v>
      </c>
      <c r="AQ327" s="320">
        <f t="shared" si="151"/>
        <v>0</v>
      </c>
      <c r="AR327" s="320">
        <f t="shared" si="151"/>
        <v>0</v>
      </c>
      <c r="AS327" s="320">
        <f t="shared" si="151"/>
        <v>0</v>
      </c>
      <c r="AT327" s="320">
        <f t="shared" si="151"/>
        <v>0</v>
      </c>
      <c r="AU327" s="320">
        <f t="shared" si="151"/>
        <v>0</v>
      </c>
      <c r="AV327" s="320">
        <f t="shared" si="151"/>
        <v>0</v>
      </c>
    </row>
    <row r="328" spans="1:48" s="320" customFormat="1" ht="15" customHeight="1">
      <c r="A328" s="351"/>
      <c r="B328" s="134"/>
      <c r="C328" s="322"/>
      <c r="D328" s="724"/>
      <c r="E328" s="320" t="str">
        <f t="shared" ref="E328:AV328" si="152" xml:space="preserve"> E$323</f>
        <v>Subnational royalty shortfall</v>
      </c>
      <c r="F328" s="320">
        <f t="shared" si="152"/>
        <v>0</v>
      </c>
      <c r="G328" s="320" t="str">
        <f t="shared" si="152"/>
        <v>$ mn</v>
      </c>
      <c r="H328" s="320">
        <f t="shared" si="152"/>
        <v>0</v>
      </c>
      <c r="I328" s="320">
        <f t="shared" si="152"/>
        <v>0</v>
      </c>
      <c r="J328" s="320">
        <f t="shared" si="152"/>
        <v>-76.42676726000002</v>
      </c>
      <c r="K328" s="320">
        <f t="shared" si="152"/>
        <v>0</v>
      </c>
      <c r="L328" s="320">
        <f t="shared" si="152"/>
        <v>0</v>
      </c>
      <c r="M328" s="320">
        <f t="shared" si="152"/>
        <v>0</v>
      </c>
      <c r="N328" s="320">
        <f t="shared" si="152"/>
        <v>0</v>
      </c>
      <c r="O328" s="320">
        <f t="shared" si="152"/>
        <v>0</v>
      </c>
      <c r="P328" s="320">
        <f t="shared" si="152"/>
        <v>-0.14817511999999994</v>
      </c>
      <c r="Q328" s="320">
        <f t="shared" si="152"/>
        <v>-4.6128217899999999</v>
      </c>
      <c r="R328" s="320">
        <f t="shared" si="152"/>
        <v>-13.895476570000003</v>
      </c>
      <c r="S328" s="320">
        <f t="shared" si="152"/>
        <v>-24.850935780000007</v>
      </c>
      <c r="T328" s="320">
        <f t="shared" si="152"/>
        <v>-32.919358000000003</v>
      </c>
      <c r="U328" s="320">
        <f t="shared" si="152"/>
        <v>0</v>
      </c>
      <c r="V328" s="320">
        <f t="shared" si="152"/>
        <v>0</v>
      </c>
      <c r="W328" s="320">
        <f t="shared" si="152"/>
        <v>0</v>
      </c>
      <c r="X328" s="320">
        <f t="shared" si="152"/>
        <v>0</v>
      </c>
      <c r="Y328" s="320">
        <f t="shared" si="152"/>
        <v>0</v>
      </c>
      <c r="Z328" s="320">
        <f t="shared" si="152"/>
        <v>0</v>
      </c>
      <c r="AA328" s="320">
        <f t="shared" si="152"/>
        <v>0</v>
      </c>
      <c r="AB328" s="320">
        <f t="shared" si="152"/>
        <v>0</v>
      </c>
      <c r="AC328" s="320">
        <f t="shared" si="152"/>
        <v>0</v>
      </c>
      <c r="AD328" s="320">
        <f t="shared" si="152"/>
        <v>0</v>
      </c>
      <c r="AE328" s="320">
        <f t="shared" si="152"/>
        <v>0</v>
      </c>
      <c r="AF328" s="320">
        <f t="shared" si="152"/>
        <v>0</v>
      </c>
      <c r="AG328" s="320">
        <f t="shared" si="152"/>
        <v>0</v>
      </c>
      <c r="AH328" s="320">
        <f t="shared" si="152"/>
        <v>0</v>
      </c>
      <c r="AI328" s="320">
        <f t="shared" si="152"/>
        <v>0</v>
      </c>
      <c r="AJ328" s="320">
        <f t="shared" si="152"/>
        <v>0</v>
      </c>
      <c r="AK328" s="320">
        <f t="shared" si="152"/>
        <v>0</v>
      </c>
      <c r="AL328" s="320">
        <f t="shared" si="152"/>
        <v>0</v>
      </c>
      <c r="AM328" s="320">
        <f t="shared" si="152"/>
        <v>0</v>
      </c>
      <c r="AN328" s="320">
        <f t="shared" si="152"/>
        <v>0</v>
      </c>
      <c r="AO328" s="320">
        <f t="shared" si="152"/>
        <v>0</v>
      </c>
      <c r="AP328" s="320">
        <f t="shared" si="152"/>
        <v>0</v>
      </c>
      <c r="AQ328" s="320">
        <f t="shared" si="152"/>
        <v>0</v>
      </c>
      <c r="AR328" s="320">
        <f t="shared" si="152"/>
        <v>0</v>
      </c>
      <c r="AS328" s="320">
        <f t="shared" si="152"/>
        <v>0</v>
      </c>
      <c r="AT328" s="320">
        <f t="shared" si="152"/>
        <v>0</v>
      </c>
      <c r="AU328" s="320">
        <f t="shared" si="152"/>
        <v>0</v>
      </c>
      <c r="AV328" s="320">
        <f t="shared" si="152"/>
        <v>0</v>
      </c>
    </row>
    <row r="329" spans="1:48" s="320" customFormat="1" ht="15" customHeight="1">
      <c r="A329" s="351"/>
      <c r="B329" s="134"/>
      <c r="C329" s="322"/>
      <c r="D329" s="724"/>
      <c r="E329" s="807" t="str">
        <f xml:space="preserve"> C326</f>
        <v>Combined Subnational Revenue Arrears</v>
      </c>
      <c r="F329" s="807"/>
      <c r="G329" s="807" t="s">
        <v>29</v>
      </c>
      <c r="H329" s="807"/>
      <c r="I329" s="807"/>
      <c r="J329" s="807">
        <f xml:space="preserve"> SUM(L329:AV329)</f>
        <v>91.906425129627607</v>
      </c>
      <c r="K329" s="807"/>
      <c r="L329" s="807">
        <f t="shared" ref="L329:AV329" si="153" xml:space="preserve"> ABS(L327+L328)</f>
        <v>0</v>
      </c>
      <c r="M329" s="807">
        <f t="shared" si="153"/>
        <v>0</v>
      </c>
      <c r="N329" s="807">
        <f t="shared" si="153"/>
        <v>0</v>
      </c>
      <c r="O329" s="807">
        <f t="shared" si="153"/>
        <v>0</v>
      </c>
      <c r="P329" s="807">
        <f t="shared" si="153"/>
        <v>0.34958388178828237</v>
      </c>
      <c r="Q329" s="807">
        <f t="shared" si="153"/>
        <v>7.4526085431093385</v>
      </c>
      <c r="R329" s="807">
        <f t="shared" si="153"/>
        <v>16.298395203458973</v>
      </c>
      <c r="S329" s="807">
        <f t="shared" si="153"/>
        <v>29.515717477313871</v>
      </c>
      <c r="T329" s="807">
        <f t="shared" si="153"/>
        <v>38.290120023957144</v>
      </c>
      <c r="U329" s="807">
        <f t="shared" si="153"/>
        <v>0</v>
      </c>
      <c r="V329" s="807">
        <f t="shared" si="153"/>
        <v>0</v>
      </c>
      <c r="W329" s="807">
        <f t="shared" si="153"/>
        <v>0</v>
      </c>
      <c r="X329" s="807">
        <f t="shared" si="153"/>
        <v>0</v>
      </c>
      <c r="Y329" s="807">
        <f t="shared" si="153"/>
        <v>0</v>
      </c>
      <c r="Z329" s="807">
        <f t="shared" si="153"/>
        <v>0</v>
      </c>
      <c r="AA329" s="807">
        <f t="shared" si="153"/>
        <v>0</v>
      </c>
      <c r="AB329" s="807">
        <f t="shared" si="153"/>
        <v>0</v>
      </c>
      <c r="AC329" s="807">
        <f t="shared" si="153"/>
        <v>0</v>
      </c>
      <c r="AD329" s="807">
        <f t="shared" si="153"/>
        <v>0</v>
      </c>
      <c r="AE329" s="807">
        <f t="shared" si="153"/>
        <v>0</v>
      </c>
      <c r="AF329" s="807">
        <f t="shared" si="153"/>
        <v>0</v>
      </c>
      <c r="AG329" s="807">
        <f t="shared" si="153"/>
        <v>0</v>
      </c>
      <c r="AH329" s="807">
        <f t="shared" si="153"/>
        <v>0</v>
      </c>
      <c r="AI329" s="807">
        <f t="shared" si="153"/>
        <v>0</v>
      </c>
      <c r="AJ329" s="807">
        <f t="shared" si="153"/>
        <v>0</v>
      </c>
      <c r="AK329" s="807">
        <f t="shared" si="153"/>
        <v>0</v>
      </c>
      <c r="AL329" s="807">
        <f t="shared" si="153"/>
        <v>0</v>
      </c>
      <c r="AM329" s="807">
        <f t="shared" si="153"/>
        <v>0</v>
      </c>
      <c r="AN329" s="807">
        <f t="shared" si="153"/>
        <v>0</v>
      </c>
      <c r="AO329" s="807">
        <f t="shared" si="153"/>
        <v>0</v>
      </c>
      <c r="AP329" s="807">
        <f t="shared" si="153"/>
        <v>0</v>
      </c>
      <c r="AQ329" s="807">
        <f t="shared" si="153"/>
        <v>0</v>
      </c>
      <c r="AR329" s="807">
        <f t="shared" si="153"/>
        <v>0</v>
      </c>
      <c r="AS329" s="807">
        <f t="shared" si="153"/>
        <v>0</v>
      </c>
      <c r="AT329" s="807">
        <f t="shared" si="153"/>
        <v>0</v>
      </c>
      <c r="AU329" s="807">
        <f t="shared" si="153"/>
        <v>0</v>
      </c>
      <c r="AV329" s="807">
        <f t="shared" si="153"/>
        <v>0</v>
      </c>
    </row>
    <row r="330" spans="1:48" s="320" customFormat="1" ht="15" customHeight="1">
      <c r="A330" s="351"/>
      <c r="B330" s="134"/>
      <c r="C330" s="322"/>
      <c r="D330" s="724"/>
    </row>
    <row r="331" spans="1:48" s="160" customFormat="1" ht="15" customHeight="1">
      <c r="A331" s="164" t="s">
        <v>671</v>
      </c>
      <c r="B331" s="162"/>
      <c r="C331" s="315"/>
      <c r="D331" s="386"/>
      <c r="E331" s="162"/>
      <c r="F331" s="162"/>
      <c r="G331" s="162"/>
      <c r="H331" s="162"/>
    </row>
    <row r="332" spans="1:48" s="229" customFormat="1" ht="15" customHeight="1">
      <c r="A332" s="225"/>
      <c r="B332" s="226"/>
      <c r="C332" s="325"/>
      <c r="D332" s="387"/>
      <c r="E332" s="226"/>
      <c r="F332" s="226"/>
      <c r="G332" s="226"/>
      <c r="H332" s="226"/>
    </row>
    <row r="333" spans="1:48" s="320" customFormat="1" ht="15" customHeight="1">
      <c r="A333" s="351"/>
      <c r="B333" s="134" t="s">
        <v>1210</v>
      </c>
      <c r="C333" s="322"/>
      <c r="D333" s="724"/>
    </row>
    <row r="334" spans="1:48" s="320" customFormat="1" ht="15" customHeight="1">
      <c r="A334" s="351"/>
      <c r="B334" s="134"/>
      <c r="C334" s="322" t="s">
        <v>1273</v>
      </c>
      <c r="D334" s="724"/>
    </row>
    <row r="335" spans="1:48" s="176" customFormat="1" ht="15" customHeight="1">
      <c r="D335" s="856"/>
      <c r="E335" s="176" t="str">
        <f xml:space="preserve"> InputsTS!E$63</f>
        <v>Musonoi Dredging (USDm)</v>
      </c>
      <c r="F335" s="176">
        <f xml:space="preserve"> InputsTS!F$63</f>
        <v>0</v>
      </c>
      <c r="G335" s="176" t="str">
        <f xml:space="preserve"> InputsTS!G$63</f>
        <v>$ mn (2019 real)</v>
      </c>
      <c r="H335" s="176">
        <f xml:space="preserve"> InputsTS!H$63</f>
        <v>0</v>
      </c>
      <c r="I335" s="176">
        <f xml:space="preserve"> InputsTS!I$63</f>
        <v>0</v>
      </c>
      <c r="J335" s="176">
        <f xml:space="preserve"> InputsTS!J$63</f>
        <v>0</v>
      </c>
      <c r="K335" s="176">
        <f xml:space="preserve"> InputsTS!K$63</f>
        <v>0</v>
      </c>
      <c r="L335" s="176">
        <f xml:space="preserve"> InputsTS!L$63</f>
        <v>0</v>
      </c>
      <c r="M335" s="176">
        <f xml:space="preserve"> InputsTS!M$63</f>
        <v>0</v>
      </c>
      <c r="N335" s="176">
        <f xml:space="preserve"> InputsTS!N$63</f>
        <v>0</v>
      </c>
      <c r="O335" s="176">
        <f xml:space="preserve"> InputsTS!O$63</f>
        <v>0</v>
      </c>
      <c r="P335" s="176">
        <f xml:space="preserve"> InputsTS!P$63</f>
        <v>0</v>
      </c>
      <c r="Q335" s="176">
        <f xml:space="preserve"> InputsTS!Q$63</f>
        <v>0</v>
      </c>
      <c r="R335" s="176">
        <f xml:space="preserve"> InputsTS!R$63</f>
        <v>3</v>
      </c>
      <c r="S335" s="176">
        <f xml:space="preserve"> InputsTS!S$63</f>
        <v>5</v>
      </c>
      <c r="T335" s="176">
        <f xml:space="preserve"> InputsTS!T$63</f>
        <v>5</v>
      </c>
      <c r="U335" s="176">
        <f xml:space="preserve"> InputsTS!U$63</f>
        <v>5</v>
      </c>
      <c r="V335" s="176">
        <f xml:space="preserve"> InputsTS!V$63</f>
        <v>5</v>
      </c>
      <c r="W335" s="176">
        <f xml:space="preserve"> InputsTS!W$63</f>
        <v>5</v>
      </c>
      <c r="X335" s="176">
        <f xml:space="preserve"> InputsTS!X$63</f>
        <v>5</v>
      </c>
      <c r="Y335" s="176">
        <f xml:space="preserve"> InputsTS!Y$63</f>
        <v>5</v>
      </c>
      <c r="Z335" s="176">
        <f xml:space="preserve"> InputsTS!Z$63</f>
        <v>5</v>
      </c>
      <c r="AA335" s="176">
        <f xml:space="preserve"> InputsTS!AA$63</f>
        <v>5</v>
      </c>
      <c r="AB335" s="176">
        <f xml:space="preserve"> InputsTS!AB$63</f>
        <v>5</v>
      </c>
      <c r="AC335" s="176">
        <f xml:space="preserve"> InputsTS!AC$63</f>
        <v>5</v>
      </c>
      <c r="AD335" s="176">
        <f xml:space="preserve"> InputsTS!AD$63</f>
        <v>6</v>
      </c>
      <c r="AE335" s="176">
        <f xml:space="preserve"> InputsTS!AE$63</f>
        <v>0</v>
      </c>
      <c r="AF335" s="176">
        <f xml:space="preserve"> InputsTS!AF$63</f>
        <v>0</v>
      </c>
      <c r="AG335" s="176">
        <f xml:space="preserve"> InputsTS!AG$63</f>
        <v>0</v>
      </c>
      <c r="AH335" s="176">
        <f xml:space="preserve"> InputsTS!AH$63</f>
        <v>0</v>
      </c>
      <c r="AI335" s="176">
        <f xml:space="preserve"> InputsTS!AI$63</f>
        <v>0</v>
      </c>
      <c r="AJ335" s="176">
        <f xml:space="preserve"> InputsTS!AJ$63</f>
        <v>0</v>
      </c>
      <c r="AK335" s="176">
        <f xml:space="preserve"> InputsTS!AK$63</f>
        <v>0</v>
      </c>
      <c r="AL335" s="176">
        <f xml:space="preserve"> InputsTS!AL$63</f>
        <v>0</v>
      </c>
      <c r="AM335" s="176">
        <f xml:space="preserve"> InputsTS!AM$63</f>
        <v>0</v>
      </c>
      <c r="AN335" s="176">
        <f xml:space="preserve"> InputsTS!AN$63</f>
        <v>0</v>
      </c>
      <c r="AO335" s="176">
        <f xml:space="preserve"> InputsTS!AO$63</f>
        <v>0</v>
      </c>
      <c r="AP335" s="176">
        <f xml:space="preserve"> InputsTS!AP$63</f>
        <v>0</v>
      </c>
      <c r="AQ335" s="176">
        <f xml:space="preserve"> InputsTS!AQ$63</f>
        <v>0</v>
      </c>
      <c r="AR335" s="176">
        <f xml:space="preserve"> InputsTS!AR$63</f>
        <v>0</v>
      </c>
      <c r="AS335" s="176">
        <f xml:space="preserve"> InputsTS!AS$63</f>
        <v>0</v>
      </c>
      <c r="AT335" s="176">
        <f xml:space="preserve"> InputsTS!AT$63</f>
        <v>0</v>
      </c>
      <c r="AU335" s="176">
        <f xml:space="preserve"> InputsTS!AU$63</f>
        <v>0</v>
      </c>
      <c r="AV335" s="176">
        <f xml:space="preserve"> InputsTS!AV$63</f>
        <v>0</v>
      </c>
    </row>
    <row r="336" spans="1:48" s="176" customFormat="1" ht="15" customHeight="1">
      <c r="D336" s="856"/>
      <c r="E336" s="176" t="str">
        <f xml:space="preserve"> InputsTS!E$64</f>
        <v>Hydrolavage (USDm)</v>
      </c>
      <c r="F336" s="176">
        <f xml:space="preserve"> InputsTS!F$64</f>
        <v>0</v>
      </c>
      <c r="G336" s="176" t="str">
        <f xml:space="preserve"> InputsTS!G$64</f>
        <v>$ mn (2019 real)</v>
      </c>
      <c r="H336" s="176">
        <f xml:space="preserve"> InputsTS!H$64</f>
        <v>0</v>
      </c>
      <c r="I336" s="176">
        <f xml:space="preserve"> InputsTS!I$64</f>
        <v>0</v>
      </c>
      <c r="J336" s="176">
        <f xml:space="preserve"> InputsTS!J$64</f>
        <v>0</v>
      </c>
      <c r="K336" s="176">
        <f xml:space="preserve"> InputsTS!K$64</f>
        <v>0</v>
      </c>
      <c r="L336" s="176">
        <f xml:space="preserve"> InputsTS!L$64</f>
        <v>0</v>
      </c>
      <c r="M336" s="176">
        <f xml:space="preserve"> InputsTS!M$64</f>
        <v>0</v>
      </c>
      <c r="N336" s="176">
        <f xml:space="preserve"> InputsTS!N$64</f>
        <v>0</v>
      </c>
      <c r="O336" s="176">
        <f xml:space="preserve"> InputsTS!O$64</f>
        <v>0</v>
      </c>
      <c r="P336" s="176">
        <f xml:space="preserve"> InputsTS!P$64</f>
        <v>0</v>
      </c>
      <c r="Q336" s="176">
        <f xml:space="preserve"> InputsTS!Q$64</f>
        <v>0</v>
      </c>
      <c r="R336" s="176">
        <f xml:space="preserve"> InputsTS!R$64</f>
        <v>6</v>
      </c>
      <c r="S336" s="176">
        <f xml:space="preserve"> InputsTS!S$64</f>
        <v>16</v>
      </c>
      <c r="T336" s="176">
        <f xml:space="preserve"> InputsTS!T$64</f>
        <v>26</v>
      </c>
      <c r="U336" s="176">
        <f xml:space="preserve"> InputsTS!U$64</f>
        <v>27</v>
      </c>
      <c r="V336" s="176">
        <f xml:space="preserve"> InputsTS!V$64</f>
        <v>27</v>
      </c>
      <c r="W336" s="176">
        <f xml:space="preserve"> InputsTS!W$64</f>
        <v>28</v>
      </c>
      <c r="X336" s="176">
        <f xml:space="preserve"> InputsTS!X$64</f>
        <v>29</v>
      </c>
      <c r="Y336" s="176">
        <f xml:space="preserve"> InputsTS!Y$64</f>
        <v>29</v>
      </c>
      <c r="Z336" s="176">
        <f xml:space="preserve"> InputsTS!Z$64</f>
        <v>30</v>
      </c>
      <c r="AA336" s="176">
        <f xml:space="preserve"> InputsTS!AA$64</f>
        <v>31</v>
      </c>
      <c r="AB336" s="176">
        <f xml:space="preserve"> InputsTS!AB$64</f>
        <v>31</v>
      </c>
      <c r="AC336" s="176">
        <f xml:space="preserve"> InputsTS!AC$64</f>
        <v>32</v>
      </c>
      <c r="AD336" s="176">
        <f xml:space="preserve"> InputsTS!AD$64</f>
        <v>33</v>
      </c>
      <c r="AE336" s="176">
        <f xml:space="preserve"> InputsTS!AE$64</f>
        <v>0</v>
      </c>
      <c r="AF336" s="176">
        <f xml:space="preserve"> InputsTS!AF$64</f>
        <v>0</v>
      </c>
      <c r="AG336" s="176">
        <f xml:space="preserve"> InputsTS!AG$64</f>
        <v>0</v>
      </c>
      <c r="AH336" s="176">
        <f xml:space="preserve"> InputsTS!AH$64</f>
        <v>0</v>
      </c>
      <c r="AI336" s="176">
        <f xml:space="preserve"> InputsTS!AI$64</f>
        <v>0</v>
      </c>
      <c r="AJ336" s="176">
        <f xml:space="preserve"> InputsTS!AJ$64</f>
        <v>0</v>
      </c>
      <c r="AK336" s="176">
        <f xml:space="preserve"> InputsTS!AK$64</f>
        <v>0</v>
      </c>
      <c r="AL336" s="176">
        <f xml:space="preserve"> InputsTS!AL$64</f>
        <v>0</v>
      </c>
      <c r="AM336" s="176">
        <f xml:space="preserve"> InputsTS!AM$64</f>
        <v>0</v>
      </c>
      <c r="AN336" s="176">
        <f xml:space="preserve"> InputsTS!AN$64</f>
        <v>0</v>
      </c>
      <c r="AO336" s="176">
        <f xml:space="preserve"> InputsTS!AO$64</f>
        <v>0</v>
      </c>
      <c r="AP336" s="176">
        <f xml:space="preserve"> InputsTS!AP$64</f>
        <v>0</v>
      </c>
      <c r="AQ336" s="176">
        <f xml:space="preserve"> InputsTS!AQ$64</f>
        <v>0</v>
      </c>
      <c r="AR336" s="176">
        <f xml:space="preserve"> InputsTS!AR$64</f>
        <v>0</v>
      </c>
      <c r="AS336" s="176">
        <f xml:space="preserve"> InputsTS!AS$64</f>
        <v>0</v>
      </c>
      <c r="AT336" s="176">
        <f xml:space="preserve"> InputsTS!AT$64</f>
        <v>0</v>
      </c>
      <c r="AU336" s="176">
        <f xml:space="preserve"> InputsTS!AU$64</f>
        <v>0</v>
      </c>
      <c r="AV336" s="176">
        <f xml:space="preserve"> InputsTS!AV$64</f>
        <v>0</v>
      </c>
    </row>
    <row r="337" spans="1:48" s="176" customFormat="1" ht="15" customHeight="1">
      <c r="D337" s="856"/>
      <c r="E337" s="176" t="str">
        <f xml:space="preserve"> InputsTS!E$65</f>
        <v>Water Management (USDm)</v>
      </c>
      <c r="F337" s="176">
        <f xml:space="preserve"> InputsTS!F$65</f>
        <v>0</v>
      </c>
      <c r="G337" s="176" t="str">
        <f xml:space="preserve"> InputsTS!G$65</f>
        <v>$ mn (2019 real)</v>
      </c>
      <c r="H337" s="176">
        <f xml:space="preserve"> InputsTS!H$65</f>
        <v>0</v>
      </c>
      <c r="I337" s="176">
        <f xml:space="preserve"> InputsTS!I$65</f>
        <v>0</v>
      </c>
      <c r="J337" s="176">
        <f xml:space="preserve"> InputsTS!J$65</f>
        <v>0</v>
      </c>
      <c r="K337" s="176">
        <f xml:space="preserve"> InputsTS!K$65</f>
        <v>0</v>
      </c>
      <c r="L337" s="176">
        <f xml:space="preserve"> InputsTS!L$65</f>
        <v>0</v>
      </c>
      <c r="M337" s="176">
        <f xml:space="preserve"> InputsTS!M$65</f>
        <v>0</v>
      </c>
      <c r="N337" s="176">
        <f xml:space="preserve"> InputsTS!N$65</f>
        <v>0</v>
      </c>
      <c r="O337" s="176">
        <f xml:space="preserve"> InputsTS!O$65</f>
        <v>0</v>
      </c>
      <c r="P337" s="176">
        <f xml:space="preserve"> InputsTS!P$65</f>
        <v>0</v>
      </c>
      <c r="Q337" s="176">
        <f xml:space="preserve"> InputsTS!Q$65</f>
        <v>0</v>
      </c>
      <c r="R337" s="176">
        <f xml:space="preserve"> InputsTS!R$65</f>
        <v>2</v>
      </c>
      <c r="S337" s="176">
        <f xml:space="preserve"> InputsTS!S$65</f>
        <v>2</v>
      </c>
      <c r="T337" s="176">
        <f xml:space="preserve"> InputsTS!T$65</f>
        <v>3</v>
      </c>
      <c r="U337" s="176">
        <f xml:space="preserve"> InputsTS!U$65</f>
        <v>3</v>
      </c>
      <c r="V337" s="176">
        <f xml:space="preserve"> InputsTS!V$65</f>
        <v>3</v>
      </c>
      <c r="W337" s="176">
        <f xml:space="preserve"> InputsTS!W$65</f>
        <v>3</v>
      </c>
      <c r="X337" s="176">
        <f xml:space="preserve"> InputsTS!X$65</f>
        <v>3</v>
      </c>
      <c r="Y337" s="176">
        <f xml:space="preserve"> InputsTS!Y$65</f>
        <v>3</v>
      </c>
      <c r="Z337" s="176">
        <f xml:space="preserve"> InputsTS!Z$65</f>
        <v>3</v>
      </c>
      <c r="AA337" s="176">
        <f xml:space="preserve"> InputsTS!AA$65</f>
        <v>3</v>
      </c>
      <c r="AB337" s="176">
        <f xml:space="preserve"> InputsTS!AB$65</f>
        <v>3</v>
      </c>
      <c r="AC337" s="176">
        <f xml:space="preserve"> InputsTS!AC$65</f>
        <v>3</v>
      </c>
      <c r="AD337" s="176">
        <f xml:space="preserve"> InputsTS!AD$65</f>
        <v>3</v>
      </c>
      <c r="AE337" s="176">
        <f xml:space="preserve"> InputsTS!AE$65</f>
        <v>0</v>
      </c>
      <c r="AF337" s="176">
        <f xml:space="preserve"> InputsTS!AF$65</f>
        <v>0</v>
      </c>
      <c r="AG337" s="176">
        <f xml:space="preserve"> InputsTS!AG$65</f>
        <v>0</v>
      </c>
      <c r="AH337" s="176">
        <f xml:space="preserve"> InputsTS!AH$65</f>
        <v>0</v>
      </c>
      <c r="AI337" s="176">
        <f xml:space="preserve"> InputsTS!AI$65</f>
        <v>0</v>
      </c>
      <c r="AJ337" s="176">
        <f xml:space="preserve"> InputsTS!AJ$65</f>
        <v>0</v>
      </c>
      <c r="AK337" s="176">
        <f xml:space="preserve"> InputsTS!AK$65</f>
        <v>0</v>
      </c>
      <c r="AL337" s="176">
        <f xml:space="preserve"> InputsTS!AL$65</f>
        <v>0</v>
      </c>
      <c r="AM337" s="176">
        <f xml:space="preserve"> InputsTS!AM$65</f>
        <v>0</v>
      </c>
      <c r="AN337" s="176">
        <f xml:space="preserve"> InputsTS!AN$65</f>
        <v>0</v>
      </c>
      <c r="AO337" s="176">
        <f xml:space="preserve"> InputsTS!AO$65</f>
        <v>0</v>
      </c>
      <c r="AP337" s="176">
        <f xml:space="preserve"> InputsTS!AP$65</f>
        <v>0</v>
      </c>
      <c r="AQ337" s="176">
        <f xml:space="preserve"> InputsTS!AQ$65</f>
        <v>0</v>
      </c>
      <c r="AR337" s="176">
        <f xml:space="preserve"> InputsTS!AR$65</f>
        <v>0</v>
      </c>
      <c r="AS337" s="176">
        <f xml:space="preserve"> InputsTS!AS$65</f>
        <v>0</v>
      </c>
      <c r="AT337" s="176">
        <f xml:space="preserve"> InputsTS!AT$65</f>
        <v>0</v>
      </c>
      <c r="AU337" s="176">
        <f xml:space="preserve"> InputsTS!AU$65</f>
        <v>0</v>
      </c>
      <c r="AV337" s="176">
        <f xml:space="preserve"> InputsTS!AV$65</f>
        <v>0</v>
      </c>
    </row>
    <row r="338" spans="1:48" s="176" customFormat="1" ht="15" customHeight="1">
      <c r="D338" s="856"/>
      <c r="E338" s="176" t="str">
        <f xml:space="preserve"> InputsTS!E$66</f>
        <v>Power (USDm)</v>
      </c>
      <c r="F338" s="176">
        <f xml:space="preserve"> InputsTS!F$66</f>
        <v>0</v>
      </c>
      <c r="G338" s="176" t="str">
        <f xml:space="preserve"> InputsTS!G$66</f>
        <v>$ mn (2019 real)</v>
      </c>
      <c r="H338" s="176">
        <f xml:space="preserve"> InputsTS!H$66</f>
        <v>0</v>
      </c>
      <c r="I338" s="176">
        <f xml:space="preserve"> InputsTS!I$66</f>
        <v>0</v>
      </c>
      <c r="J338" s="176">
        <f xml:space="preserve"> InputsTS!J$66</f>
        <v>0</v>
      </c>
      <c r="K338" s="176">
        <f xml:space="preserve"> InputsTS!K$66</f>
        <v>0</v>
      </c>
      <c r="L338" s="176">
        <f xml:space="preserve"> InputsTS!L$66</f>
        <v>0</v>
      </c>
      <c r="M338" s="176">
        <f xml:space="preserve"> InputsTS!M$66</f>
        <v>0</v>
      </c>
      <c r="N338" s="176">
        <f xml:space="preserve"> InputsTS!N$66</f>
        <v>0</v>
      </c>
      <c r="O338" s="176">
        <f xml:space="preserve"> InputsTS!O$66</f>
        <v>0</v>
      </c>
      <c r="P338" s="176">
        <f xml:space="preserve"> InputsTS!P$66</f>
        <v>0</v>
      </c>
      <c r="Q338" s="176">
        <f xml:space="preserve"> InputsTS!Q$66</f>
        <v>0</v>
      </c>
      <c r="R338" s="176">
        <f xml:space="preserve"> InputsTS!R$66</f>
        <v>34</v>
      </c>
      <c r="S338" s="176">
        <f xml:space="preserve"> InputsTS!S$66</f>
        <v>50</v>
      </c>
      <c r="T338" s="176">
        <f xml:space="preserve"> InputsTS!T$66</f>
        <v>45</v>
      </c>
      <c r="U338" s="176">
        <f xml:space="preserve"> InputsTS!U$66</f>
        <v>39</v>
      </c>
      <c r="V338" s="176">
        <f xml:space="preserve"> InputsTS!V$66</f>
        <v>40</v>
      </c>
      <c r="W338" s="176">
        <f xml:space="preserve"> InputsTS!W$66</f>
        <v>40</v>
      </c>
      <c r="X338" s="176">
        <f xml:space="preserve"> InputsTS!X$66</f>
        <v>41</v>
      </c>
      <c r="Y338" s="176">
        <f xml:space="preserve"> InputsTS!Y$66</f>
        <v>41</v>
      </c>
      <c r="Z338" s="176">
        <f xml:space="preserve"> InputsTS!Z$66</f>
        <v>41</v>
      </c>
      <c r="AA338" s="176">
        <f xml:space="preserve"> InputsTS!AA$66</f>
        <v>42</v>
      </c>
      <c r="AB338" s="176">
        <f xml:space="preserve"> InputsTS!AB$66</f>
        <v>43</v>
      </c>
      <c r="AC338" s="176">
        <f xml:space="preserve"> InputsTS!AC$66</f>
        <v>43</v>
      </c>
      <c r="AD338" s="176">
        <f xml:space="preserve"> InputsTS!AD$66</f>
        <v>44</v>
      </c>
      <c r="AE338" s="176">
        <f xml:space="preserve"> InputsTS!AE$66</f>
        <v>0</v>
      </c>
      <c r="AF338" s="176">
        <f xml:space="preserve"> InputsTS!AF$66</f>
        <v>0</v>
      </c>
      <c r="AG338" s="176">
        <f xml:space="preserve"> InputsTS!AG$66</f>
        <v>0</v>
      </c>
      <c r="AH338" s="176">
        <f xml:space="preserve"> InputsTS!AH$66</f>
        <v>0</v>
      </c>
      <c r="AI338" s="176">
        <f xml:space="preserve"> InputsTS!AI$66</f>
        <v>0</v>
      </c>
      <c r="AJ338" s="176">
        <f xml:space="preserve"> InputsTS!AJ$66</f>
        <v>0</v>
      </c>
      <c r="AK338" s="176">
        <f xml:space="preserve"> InputsTS!AK$66</f>
        <v>0</v>
      </c>
      <c r="AL338" s="176">
        <f xml:space="preserve"> InputsTS!AL$66</f>
        <v>0</v>
      </c>
      <c r="AM338" s="176">
        <f xml:space="preserve"> InputsTS!AM$66</f>
        <v>0</v>
      </c>
      <c r="AN338" s="176">
        <f xml:space="preserve"> InputsTS!AN$66</f>
        <v>0</v>
      </c>
      <c r="AO338" s="176">
        <f xml:space="preserve"> InputsTS!AO$66</f>
        <v>0</v>
      </c>
      <c r="AP338" s="176">
        <f xml:space="preserve"> InputsTS!AP$66</f>
        <v>0</v>
      </c>
      <c r="AQ338" s="176">
        <f xml:space="preserve"> InputsTS!AQ$66</f>
        <v>0</v>
      </c>
      <c r="AR338" s="176">
        <f xml:space="preserve"> InputsTS!AR$66</f>
        <v>0</v>
      </c>
      <c r="AS338" s="176">
        <f xml:space="preserve"> InputsTS!AS$66</f>
        <v>0</v>
      </c>
      <c r="AT338" s="176">
        <f xml:space="preserve"> InputsTS!AT$66</f>
        <v>0</v>
      </c>
      <c r="AU338" s="176">
        <f xml:space="preserve"> InputsTS!AU$66</f>
        <v>0</v>
      </c>
      <c r="AV338" s="176">
        <f xml:space="preserve"> InputsTS!AV$66</f>
        <v>0</v>
      </c>
    </row>
    <row r="339" spans="1:48" s="176" customFormat="1" ht="15" customHeight="1">
      <c r="D339" s="856"/>
      <c r="E339" s="176" t="str">
        <f xml:space="preserve"> InputsTS!E$67</f>
        <v>Processing Plant (USDm)</v>
      </c>
      <c r="F339" s="176">
        <f xml:space="preserve"> InputsTS!F$67</f>
        <v>0</v>
      </c>
      <c r="G339" s="176" t="str">
        <f xml:space="preserve"> InputsTS!G$67</f>
        <v>$ mn (2019 real)</v>
      </c>
      <c r="H339" s="176">
        <f xml:space="preserve"> InputsTS!H$67</f>
        <v>0</v>
      </c>
      <c r="I339" s="176">
        <f xml:space="preserve"> InputsTS!I$67</f>
        <v>0</v>
      </c>
      <c r="J339" s="176">
        <f xml:space="preserve"> InputsTS!J$67</f>
        <v>0</v>
      </c>
      <c r="K339" s="176">
        <f xml:space="preserve"> InputsTS!K$67</f>
        <v>0</v>
      </c>
      <c r="L339" s="176">
        <f xml:space="preserve"> InputsTS!L$67</f>
        <v>0</v>
      </c>
      <c r="M339" s="176">
        <f xml:space="preserve"> InputsTS!M$67</f>
        <v>0</v>
      </c>
      <c r="N339" s="176">
        <f xml:space="preserve"> InputsTS!N$67</f>
        <v>0</v>
      </c>
      <c r="O339" s="176">
        <f xml:space="preserve"> InputsTS!O$67</f>
        <v>0</v>
      </c>
      <c r="P339" s="176">
        <f xml:space="preserve"> InputsTS!P$67</f>
        <v>0</v>
      </c>
      <c r="Q339" s="176">
        <f xml:space="preserve"> InputsTS!Q$67</f>
        <v>0</v>
      </c>
      <c r="R339" s="176">
        <f xml:space="preserve"> InputsTS!R$67</f>
        <v>196</v>
      </c>
      <c r="S339" s="176">
        <f xml:space="preserve"> InputsTS!S$67</f>
        <v>209</v>
      </c>
      <c r="T339" s="176">
        <f xml:space="preserve"> InputsTS!T$67</f>
        <v>348</v>
      </c>
      <c r="U339" s="176">
        <f xml:space="preserve"> InputsTS!U$67</f>
        <v>425</v>
      </c>
      <c r="V339" s="176">
        <f xml:space="preserve"> InputsTS!V$67</f>
        <v>400</v>
      </c>
      <c r="W339" s="176">
        <f xml:space="preserve"> InputsTS!W$67</f>
        <v>438</v>
      </c>
      <c r="X339" s="176">
        <f xml:space="preserve"> InputsTS!X$67</f>
        <v>416</v>
      </c>
      <c r="Y339" s="176">
        <f xml:space="preserve"> InputsTS!Y$67</f>
        <v>409</v>
      </c>
      <c r="Z339" s="176">
        <f xml:space="preserve"> InputsTS!Z$67</f>
        <v>391</v>
      </c>
      <c r="AA339" s="176">
        <f xml:space="preserve"> InputsTS!AA$67</f>
        <v>414</v>
      </c>
      <c r="AB339" s="176">
        <f xml:space="preserve"> InputsTS!AB$67</f>
        <v>404</v>
      </c>
      <c r="AC339" s="176">
        <f xml:space="preserve"> InputsTS!AC$67</f>
        <v>429</v>
      </c>
      <c r="AD339" s="176">
        <f xml:space="preserve"> InputsTS!AD$67</f>
        <v>437</v>
      </c>
      <c r="AE339" s="176">
        <f xml:space="preserve"> InputsTS!AE$67</f>
        <v>0</v>
      </c>
      <c r="AF339" s="176">
        <f xml:space="preserve"> InputsTS!AF$67</f>
        <v>0</v>
      </c>
      <c r="AG339" s="176">
        <f xml:space="preserve"> InputsTS!AG$67</f>
        <v>0</v>
      </c>
      <c r="AH339" s="176">
        <f xml:space="preserve"> InputsTS!AH$67</f>
        <v>0</v>
      </c>
      <c r="AI339" s="176">
        <f xml:space="preserve"> InputsTS!AI$67</f>
        <v>0</v>
      </c>
      <c r="AJ339" s="176">
        <f xml:space="preserve"> InputsTS!AJ$67</f>
        <v>0</v>
      </c>
      <c r="AK339" s="176">
        <f xml:space="preserve"> InputsTS!AK$67</f>
        <v>0</v>
      </c>
      <c r="AL339" s="176">
        <f xml:space="preserve"> InputsTS!AL$67</f>
        <v>0</v>
      </c>
      <c r="AM339" s="176">
        <f xml:space="preserve"> InputsTS!AM$67</f>
        <v>0</v>
      </c>
      <c r="AN339" s="176">
        <f xml:space="preserve"> InputsTS!AN$67</f>
        <v>0</v>
      </c>
      <c r="AO339" s="176">
        <f xml:space="preserve"> InputsTS!AO$67</f>
        <v>0</v>
      </c>
      <c r="AP339" s="176">
        <f xml:space="preserve"> InputsTS!AP$67</f>
        <v>0</v>
      </c>
      <c r="AQ339" s="176">
        <f xml:space="preserve"> InputsTS!AQ$67</f>
        <v>0</v>
      </c>
      <c r="AR339" s="176">
        <f xml:space="preserve"> InputsTS!AR$67</f>
        <v>0</v>
      </c>
      <c r="AS339" s="176">
        <f xml:space="preserve"> InputsTS!AS$67</f>
        <v>0</v>
      </c>
      <c r="AT339" s="176">
        <f xml:space="preserve"> InputsTS!AT$67</f>
        <v>0</v>
      </c>
      <c r="AU339" s="176">
        <f xml:space="preserve"> InputsTS!AU$67</f>
        <v>0</v>
      </c>
      <c r="AV339" s="176">
        <f xml:space="preserve"> InputsTS!AV$67</f>
        <v>0</v>
      </c>
    </row>
    <row r="340" spans="1:48" s="176" customFormat="1" ht="15" customHeight="1">
      <c r="D340" s="856"/>
      <c r="E340" s="176" t="str">
        <f xml:space="preserve"> InputsTS!E$68</f>
        <v>G&amp;A (USDm)</v>
      </c>
      <c r="F340" s="176">
        <f xml:space="preserve"> InputsTS!F$68</f>
        <v>0</v>
      </c>
      <c r="G340" s="176" t="str">
        <f xml:space="preserve"> InputsTS!G$68</f>
        <v>$ mn (2019 real)</v>
      </c>
      <c r="H340" s="176">
        <f xml:space="preserve"> InputsTS!H$68</f>
        <v>0</v>
      </c>
      <c r="I340" s="176">
        <f xml:space="preserve"> InputsTS!I$68</f>
        <v>0</v>
      </c>
      <c r="J340" s="176">
        <f xml:space="preserve"> InputsTS!J$68</f>
        <v>0</v>
      </c>
      <c r="K340" s="176">
        <f xml:space="preserve"> InputsTS!K$68</f>
        <v>0</v>
      </c>
      <c r="L340" s="176">
        <f xml:space="preserve"> InputsTS!L$68</f>
        <v>0</v>
      </c>
      <c r="M340" s="176">
        <f xml:space="preserve"> InputsTS!M$68</f>
        <v>0</v>
      </c>
      <c r="N340" s="176">
        <f xml:space="preserve"> InputsTS!N$68</f>
        <v>0</v>
      </c>
      <c r="O340" s="176">
        <f xml:space="preserve"> InputsTS!O$68</f>
        <v>0</v>
      </c>
      <c r="P340" s="176">
        <f xml:space="preserve"> InputsTS!P$68</f>
        <v>0</v>
      </c>
      <c r="Q340" s="176">
        <f xml:space="preserve"> InputsTS!Q$68</f>
        <v>0</v>
      </c>
      <c r="R340" s="176">
        <f xml:space="preserve"> InputsTS!R$68</f>
        <v>59</v>
      </c>
      <c r="S340" s="176">
        <f xml:space="preserve"> InputsTS!S$68</f>
        <v>41</v>
      </c>
      <c r="T340" s="176">
        <f xml:space="preserve"> InputsTS!T$68</f>
        <v>63</v>
      </c>
      <c r="U340" s="176">
        <f xml:space="preserve"> InputsTS!U$68</f>
        <v>75</v>
      </c>
      <c r="V340" s="176">
        <f xml:space="preserve"> InputsTS!V$68</f>
        <v>79</v>
      </c>
      <c r="W340" s="176">
        <f xml:space="preserve"> InputsTS!W$68</f>
        <v>80</v>
      </c>
      <c r="X340" s="176">
        <f xml:space="preserve"> InputsTS!X$68</f>
        <v>87</v>
      </c>
      <c r="Y340" s="176">
        <f xml:space="preserve"> InputsTS!Y$68</f>
        <v>96</v>
      </c>
      <c r="Z340" s="176">
        <f xml:space="preserve"> InputsTS!Z$68</f>
        <v>97</v>
      </c>
      <c r="AA340" s="176">
        <f xml:space="preserve"> InputsTS!AA$68</f>
        <v>87</v>
      </c>
      <c r="AB340" s="176">
        <f xml:space="preserve"> InputsTS!AB$68</f>
        <v>87</v>
      </c>
      <c r="AC340" s="176">
        <f xml:space="preserve"> InputsTS!AC$68</f>
        <v>88</v>
      </c>
      <c r="AD340" s="176">
        <f xml:space="preserve"> InputsTS!AD$68</f>
        <v>88</v>
      </c>
      <c r="AE340" s="176">
        <f xml:space="preserve"> InputsTS!AE$68</f>
        <v>0</v>
      </c>
      <c r="AF340" s="176">
        <f xml:space="preserve"> InputsTS!AF$68</f>
        <v>0</v>
      </c>
      <c r="AG340" s="176">
        <f xml:space="preserve"> InputsTS!AG$68</f>
        <v>0</v>
      </c>
      <c r="AH340" s="176">
        <f xml:space="preserve"> InputsTS!AH$68</f>
        <v>0</v>
      </c>
      <c r="AI340" s="176">
        <f xml:space="preserve"> InputsTS!AI$68</f>
        <v>0</v>
      </c>
      <c r="AJ340" s="176">
        <f xml:space="preserve"> InputsTS!AJ$68</f>
        <v>0</v>
      </c>
      <c r="AK340" s="176">
        <f xml:space="preserve"> InputsTS!AK$68</f>
        <v>0</v>
      </c>
      <c r="AL340" s="176">
        <f xml:space="preserve"> InputsTS!AL$68</f>
        <v>0</v>
      </c>
      <c r="AM340" s="176">
        <f xml:space="preserve"> InputsTS!AM$68</f>
        <v>0</v>
      </c>
      <c r="AN340" s="176">
        <f xml:space="preserve"> InputsTS!AN$68</f>
        <v>0</v>
      </c>
      <c r="AO340" s="176">
        <f xml:space="preserve"> InputsTS!AO$68</f>
        <v>0</v>
      </c>
      <c r="AP340" s="176">
        <f xml:space="preserve"> InputsTS!AP$68</f>
        <v>0</v>
      </c>
      <c r="AQ340" s="176">
        <f xml:space="preserve"> InputsTS!AQ$68</f>
        <v>0</v>
      </c>
      <c r="AR340" s="176">
        <f xml:space="preserve"> InputsTS!AR$68</f>
        <v>0</v>
      </c>
      <c r="AS340" s="176">
        <f xml:space="preserve"> InputsTS!AS$68</f>
        <v>0</v>
      </c>
      <c r="AT340" s="176">
        <f xml:space="preserve"> InputsTS!AT$68</f>
        <v>0</v>
      </c>
      <c r="AU340" s="176">
        <f xml:space="preserve"> InputsTS!AU$68</f>
        <v>0</v>
      </c>
      <c r="AV340" s="176">
        <f xml:space="preserve"> InputsTS!AV$68</f>
        <v>0</v>
      </c>
    </row>
    <row r="341" spans="1:48" s="176" customFormat="1" ht="15" customHeight="1">
      <c r="D341" s="856"/>
      <c r="E341" s="176" t="str">
        <f xml:space="preserve"> InputsTS!E$71</f>
        <v>Selling Costs (USDm)</v>
      </c>
      <c r="F341" s="176">
        <f xml:space="preserve"> InputsTS!F$71</f>
        <v>0</v>
      </c>
      <c r="G341" s="176" t="str">
        <f xml:space="preserve"> InputsTS!G$71</f>
        <v>$ mn (2019 real)</v>
      </c>
      <c r="H341" s="176">
        <f xml:space="preserve"> InputsTS!H$71</f>
        <v>0</v>
      </c>
      <c r="I341" s="176">
        <f xml:space="preserve"> InputsTS!I$71</f>
        <v>0</v>
      </c>
      <c r="J341" s="176">
        <f xml:space="preserve"> InputsTS!J$71</f>
        <v>0</v>
      </c>
      <c r="K341" s="176">
        <f xml:space="preserve"> InputsTS!K$71</f>
        <v>0</v>
      </c>
      <c r="L341" s="176">
        <f xml:space="preserve"> InputsTS!L$71</f>
        <v>0</v>
      </c>
      <c r="M341" s="176">
        <f xml:space="preserve"> InputsTS!M$71</f>
        <v>0</v>
      </c>
      <c r="N341" s="176">
        <f xml:space="preserve"> InputsTS!N$71</f>
        <v>0</v>
      </c>
      <c r="O341" s="176">
        <f xml:space="preserve"> InputsTS!O$71</f>
        <v>0</v>
      </c>
      <c r="P341" s="176">
        <f xml:space="preserve"> InputsTS!P$71</f>
        <v>0</v>
      </c>
      <c r="Q341" s="176">
        <f xml:space="preserve"> InputsTS!Q$71</f>
        <v>0</v>
      </c>
      <c r="R341" s="176">
        <f xml:space="preserve"> InputsTS!R$71</f>
        <v>127</v>
      </c>
      <c r="S341" s="176">
        <f xml:space="preserve"> InputsTS!S$71</f>
        <v>209</v>
      </c>
      <c r="T341" s="176">
        <f xml:space="preserve"> InputsTS!T$71</f>
        <v>215</v>
      </c>
      <c r="U341" s="176">
        <f xml:space="preserve"> InputsTS!U$71</f>
        <v>249</v>
      </c>
      <c r="V341" s="176">
        <f xml:space="preserve"> InputsTS!V$71</f>
        <v>298</v>
      </c>
      <c r="W341" s="176">
        <f xml:space="preserve"> InputsTS!W$71</f>
        <v>355</v>
      </c>
      <c r="X341" s="176">
        <f xml:space="preserve"> InputsTS!X$71</f>
        <v>373</v>
      </c>
      <c r="Y341" s="176">
        <f xml:space="preserve"> InputsTS!Y$71</f>
        <v>268</v>
      </c>
      <c r="Z341" s="176">
        <f xml:space="preserve"> InputsTS!Z$71</f>
        <v>273</v>
      </c>
      <c r="AA341" s="176">
        <f xml:space="preserve"> InputsTS!AA$71</f>
        <v>272</v>
      </c>
      <c r="AB341" s="176">
        <f xml:space="preserve"> InputsTS!AB$71</f>
        <v>262</v>
      </c>
      <c r="AC341" s="176">
        <f xml:space="preserve"> InputsTS!AC$71</f>
        <v>286</v>
      </c>
      <c r="AD341" s="176">
        <f xml:space="preserve"> InputsTS!AD$71</f>
        <v>297</v>
      </c>
      <c r="AE341" s="176">
        <f xml:space="preserve"> InputsTS!AE$71</f>
        <v>0</v>
      </c>
      <c r="AF341" s="176">
        <f xml:space="preserve"> InputsTS!AF$71</f>
        <v>0</v>
      </c>
      <c r="AG341" s="176">
        <f xml:space="preserve"> InputsTS!AG$71</f>
        <v>0</v>
      </c>
      <c r="AH341" s="176">
        <f xml:space="preserve"> InputsTS!AH$71</f>
        <v>0</v>
      </c>
      <c r="AI341" s="176">
        <f xml:space="preserve"> InputsTS!AI$71</f>
        <v>0</v>
      </c>
      <c r="AJ341" s="176">
        <f xml:space="preserve"> InputsTS!AJ$71</f>
        <v>0</v>
      </c>
      <c r="AK341" s="176">
        <f xml:space="preserve"> InputsTS!AK$71</f>
        <v>0</v>
      </c>
      <c r="AL341" s="176">
        <f xml:space="preserve"> InputsTS!AL$71</f>
        <v>0</v>
      </c>
      <c r="AM341" s="176">
        <f xml:space="preserve"> InputsTS!AM$71</f>
        <v>0</v>
      </c>
      <c r="AN341" s="176">
        <f xml:space="preserve"> InputsTS!AN$71</f>
        <v>0</v>
      </c>
      <c r="AO341" s="176">
        <f xml:space="preserve"> InputsTS!AO$71</f>
        <v>0</v>
      </c>
      <c r="AP341" s="176">
        <f xml:space="preserve"> InputsTS!AP$71</f>
        <v>0</v>
      </c>
      <c r="AQ341" s="176">
        <f xml:space="preserve"> InputsTS!AQ$71</f>
        <v>0</v>
      </c>
      <c r="AR341" s="176">
        <f xml:space="preserve"> InputsTS!AR$71</f>
        <v>0</v>
      </c>
      <c r="AS341" s="176">
        <f xml:space="preserve"> InputsTS!AS$71</f>
        <v>0</v>
      </c>
      <c r="AT341" s="176">
        <f xml:space="preserve"> InputsTS!AT$71</f>
        <v>0</v>
      </c>
      <c r="AU341" s="176">
        <f xml:space="preserve"> InputsTS!AU$71</f>
        <v>0</v>
      </c>
      <c r="AV341" s="176">
        <f xml:space="preserve"> InputsTS!AV$71</f>
        <v>0</v>
      </c>
    </row>
    <row r="342" spans="1:48" s="320" customFormat="1" ht="15" customHeight="1">
      <c r="A342" s="351"/>
      <c r="B342" s="134"/>
      <c r="C342" s="322"/>
      <c r="D342" s="724"/>
      <c r="E342" s="320" t="str">
        <f xml:space="preserve"> B333</f>
        <v>Operating costs (FS22)</v>
      </c>
      <c r="G342" s="320" t="s">
        <v>1214</v>
      </c>
      <c r="J342" s="320">
        <f xml:space="preserve"> SUM(L342:AV342)</f>
        <v>10416</v>
      </c>
      <c r="L342" s="320">
        <f t="shared" ref="L342:AV342" si="154">SUM(L335:L341)</f>
        <v>0</v>
      </c>
      <c r="M342" s="320">
        <f t="shared" si="154"/>
        <v>0</v>
      </c>
      <c r="N342" s="320">
        <f t="shared" si="154"/>
        <v>0</v>
      </c>
      <c r="O342" s="320">
        <f t="shared" si="154"/>
        <v>0</v>
      </c>
      <c r="P342" s="320">
        <f t="shared" si="154"/>
        <v>0</v>
      </c>
      <c r="Q342" s="320">
        <f t="shared" si="154"/>
        <v>0</v>
      </c>
      <c r="R342" s="320">
        <f t="shared" si="154"/>
        <v>427</v>
      </c>
      <c r="S342" s="320">
        <f t="shared" si="154"/>
        <v>532</v>
      </c>
      <c r="T342" s="320">
        <f t="shared" si="154"/>
        <v>705</v>
      </c>
      <c r="U342" s="320">
        <f t="shared" si="154"/>
        <v>823</v>
      </c>
      <c r="V342" s="320">
        <f t="shared" si="154"/>
        <v>852</v>
      </c>
      <c r="W342" s="320">
        <f t="shared" si="154"/>
        <v>949</v>
      </c>
      <c r="X342" s="320">
        <f t="shared" si="154"/>
        <v>954</v>
      </c>
      <c r="Y342" s="320">
        <f t="shared" si="154"/>
        <v>851</v>
      </c>
      <c r="Z342" s="320">
        <f t="shared" si="154"/>
        <v>840</v>
      </c>
      <c r="AA342" s="320">
        <f t="shared" si="154"/>
        <v>854</v>
      </c>
      <c r="AB342" s="320">
        <f t="shared" si="154"/>
        <v>835</v>
      </c>
      <c r="AC342" s="320">
        <f t="shared" si="154"/>
        <v>886</v>
      </c>
      <c r="AD342" s="320">
        <f t="shared" si="154"/>
        <v>908</v>
      </c>
      <c r="AE342" s="320">
        <f t="shared" si="154"/>
        <v>0</v>
      </c>
      <c r="AF342" s="320">
        <f t="shared" si="154"/>
        <v>0</v>
      </c>
      <c r="AG342" s="320">
        <f t="shared" si="154"/>
        <v>0</v>
      </c>
      <c r="AH342" s="320">
        <f t="shared" si="154"/>
        <v>0</v>
      </c>
      <c r="AI342" s="320">
        <f t="shared" si="154"/>
        <v>0</v>
      </c>
      <c r="AJ342" s="320">
        <f t="shared" si="154"/>
        <v>0</v>
      </c>
      <c r="AK342" s="320">
        <f t="shared" si="154"/>
        <v>0</v>
      </c>
      <c r="AL342" s="320">
        <f t="shared" si="154"/>
        <v>0</v>
      </c>
      <c r="AM342" s="320">
        <f t="shared" si="154"/>
        <v>0</v>
      </c>
      <c r="AN342" s="320">
        <f t="shared" si="154"/>
        <v>0</v>
      </c>
      <c r="AO342" s="320">
        <f t="shared" si="154"/>
        <v>0</v>
      </c>
      <c r="AP342" s="320">
        <f t="shared" si="154"/>
        <v>0</v>
      </c>
      <c r="AQ342" s="320">
        <f t="shared" si="154"/>
        <v>0</v>
      </c>
      <c r="AR342" s="320">
        <f t="shared" si="154"/>
        <v>0</v>
      </c>
      <c r="AS342" s="320">
        <f t="shared" si="154"/>
        <v>0</v>
      </c>
      <c r="AT342" s="320">
        <f t="shared" si="154"/>
        <v>0</v>
      </c>
      <c r="AU342" s="320">
        <f t="shared" si="154"/>
        <v>0</v>
      </c>
      <c r="AV342" s="320">
        <f t="shared" si="154"/>
        <v>0</v>
      </c>
    </row>
    <row r="343" spans="1:48" s="320" customFormat="1" ht="15" customHeight="1">
      <c r="A343" s="351"/>
      <c r="B343" s="134"/>
      <c r="C343" s="322"/>
      <c r="D343" s="724"/>
    </row>
    <row r="344" spans="1:48" s="320" customFormat="1" ht="15" customHeight="1">
      <c r="A344" s="351"/>
      <c r="B344" s="134"/>
      <c r="C344" s="322" t="s">
        <v>1215</v>
      </c>
      <c r="D344" s="724"/>
    </row>
    <row r="345" spans="1:48" s="320" customFormat="1" ht="15" customHeight="1">
      <c r="A345" s="351"/>
      <c r="B345" s="134"/>
      <c r="C345" s="322"/>
      <c r="D345" s="724"/>
      <c r="E345" s="610" t="str">
        <f xml:space="preserve"> 'T&amp;E'!E$42</f>
        <v>USD CPI Inflation (incl forecast) from 2019</v>
      </c>
      <c r="F345" s="610">
        <f xml:space="preserve"> 'T&amp;E'!F$42</f>
        <v>0</v>
      </c>
      <c r="G345" s="610" t="str">
        <f xml:space="preserve"> 'T&amp;E'!G$42</f>
        <v>index</v>
      </c>
      <c r="H345" s="610">
        <f xml:space="preserve"> 'T&amp;E'!H$42</f>
        <v>0</v>
      </c>
      <c r="I345" s="610">
        <f xml:space="preserve"> 'T&amp;E'!I$42</f>
        <v>0</v>
      </c>
      <c r="J345" s="610">
        <f xml:space="preserve"> 'T&amp;E'!J$42</f>
        <v>0</v>
      </c>
      <c r="K345" s="610">
        <f xml:space="preserve"> 'T&amp;E'!K$42</f>
        <v>0</v>
      </c>
      <c r="L345" s="610">
        <f xml:space="preserve"> 'T&amp;E'!L$42</f>
        <v>1</v>
      </c>
      <c r="M345" s="610">
        <f xml:space="preserve"> 'T&amp;E'!M$42</f>
        <v>1</v>
      </c>
      <c r="N345" s="610">
        <f xml:space="preserve"> 'T&amp;E'!N$42</f>
        <v>1</v>
      </c>
      <c r="O345" s="610">
        <f xml:space="preserve"> 'T&amp;E'!O$42</f>
        <v>1</v>
      </c>
      <c r="P345" s="610">
        <f xml:space="preserve"> 'T&amp;E'!P$42</f>
        <v>1</v>
      </c>
      <c r="Q345" s="610">
        <f xml:space="preserve"> 'T&amp;E'!Q$42</f>
        <v>1</v>
      </c>
      <c r="R345" s="610">
        <f xml:space="preserve"> 'T&amp;E'!R$42</f>
        <v>1.0125287010127009</v>
      </c>
      <c r="S345" s="610">
        <f xml:space="preserve"> 'T&amp;E'!S$42</f>
        <v>1.0599054186729671</v>
      </c>
      <c r="T345" s="610">
        <f xml:space="preserve"> 'T&amp;E'!T$42</f>
        <v>1.1446179000442005</v>
      </c>
      <c r="U345" s="610">
        <f xml:space="preserve"> 'T&amp;E'!U$42</f>
        <v>1.1918655364889128</v>
      </c>
      <c r="V345" s="610">
        <f xml:space="preserve"> 'T&amp;E'!V$42</f>
        <v>1.2270460350553289</v>
      </c>
      <c r="W345" s="610">
        <f xml:space="preserve"> 'T&amp;E'!W$42</f>
        <v>1.2637051002726352</v>
      </c>
      <c r="X345" s="610">
        <f xml:space="preserve"> 'T&amp;E'!X$42</f>
        <v>1.2948606118449619</v>
      </c>
      <c r="Y345" s="610">
        <f xml:space="preserve"> 'T&amp;E'!Y$42</f>
        <v>1.3221867140225227</v>
      </c>
      <c r="Z345" s="610">
        <f xml:space="preserve"> 'T&amp;E'!Z$42</f>
        <v>1.3506862817960283</v>
      </c>
      <c r="AA345" s="610">
        <f xml:space="preserve"> 'T&amp;E'!AA$42</f>
        <v>1.379983806174776</v>
      </c>
      <c r="AB345" s="610">
        <f xml:space="preserve"> 'T&amp;E'!AB$42</f>
        <v>1.4099971445670501</v>
      </c>
      <c r="AC345" s="610">
        <f xml:space="preserve"> 'T&amp;E'!AC$42</f>
        <v>1.4381970874583911</v>
      </c>
      <c r="AD345" s="610">
        <f xml:space="preserve"> 'T&amp;E'!AD$42</f>
        <v>1.466961029207559</v>
      </c>
      <c r="AE345" s="610">
        <f xml:space="preserve"> 'T&amp;E'!AE$42</f>
        <v>1.4963002497917102</v>
      </c>
      <c r="AF345" s="610">
        <f xml:space="preserve"> 'T&amp;E'!AF$42</f>
        <v>1.5262262547875443</v>
      </c>
      <c r="AG345" s="610">
        <f xml:space="preserve"> 'T&amp;E'!AG$42</f>
        <v>1.5567507798832954</v>
      </c>
      <c r="AH345" s="610">
        <f xml:space="preserve"> 'T&amp;E'!AH$42</f>
        <v>1.5878857954809611</v>
      </c>
      <c r="AI345" s="610">
        <f xml:space="preserve"> 'T&amp;E'!AI$42</f>
        <v>1.6196435113905805</v>
      </c>
      <c r="AJ345" s="610">
        <f xml:space="preserve"> 'T&amp;E'!AJ$42</f>
        <v>1.6520363816183923</v>
      </c>
      <c r="AK345" s="610">
        <f xml:space="preserve"> 'T&amp;E'!AK$42</f>
        <v>1.6850771092507602</v>
      </c>
      <c r="AL345" s="610">
        <f xml:space="preserve"> 'T&amp;E'!AL$42</f>
        <v>1.7187786514357755</v>
      </c>
      <c r="AM345" s="610">
        <f xml:space="preserve"> 'T&amp;E'!AM$42</f>
        <v>1.7531542244644909</v>
      </c>
      <c r="AN345" s="610">
        <f xml:space="preserve"> 'T&amp;E'!AN$42</f>
        <v>1.7882173089537807</v>
      </c>
      <c r="AO345" s="610">
        <f xml:space="preserve"> 'T&amp;E'!AO$42</f>
        <v>1.8239816551328565</v>
      </c>
      <c r="AP345" s="610">
        <f xml:space="preserve"> 'T&amp;E'!AP$42</f>
        <v>1.8604612882355136</v>
      </c>
      <c r="AQ345" s="610">
        <f xml:space="preserve"> 'T&amp;E'!AQ$42</f>
        <v>1.8976705140002237</v>
      </c>
      <c r="AR345" s="610">
        <f xml:space="preserve"> 'T&amp;E'!AR$42</f>
        <v>1.9356239242802284</v>
      </c>
      <c r="AS345" s="610">
        <f xml:space="preserve"> 'T&amp;E'!AS$42</f>
        <v>1.974336402765833</v>
      </c>
      <c r="AT345" s="610">
        <f xml:space="preserve"> 'T&amp;E'!AT$42</f>
        <v>2.0138231308211498</v>
      </c>
      <c r="AU345" s="610">
        <f xml:space="preserve"> 'T&amp;E'!AU$42</f>
        <v>2.0540995934375732</v>
      </c>
      <c r="AV345" s="610">
        <f xml:space="preserve"> 'T&amp;E'!AV$42</f>
        <v>2.0951815853063245</v>
      </c>
    </row>
    <row r="346" spans="1:48" s="320" customFormat="1" ht="15" customHeight="1">
      <c r="A346" s="351"/>
      <c r="B346" s="134"/>
      <c r="C346" s="322"/>
      <c r="D346" s="724"/>
      <c r="E346" s="320" t="s">
        <v>1225</v>
      </c>
      <c r="G346" s="320" t="s">
        <v>29</v>
      </c>
      <c r="L346" s="320">
        <f t="shared" ref="L346:AV346" si="155" xml:space="preserve"> L342 * L345</f>
        <v>0</v>
      </c>
      <c r="M346" s="320">
        <f t="shared" si="155"/>
        <v>0</v>
      </c>
      <c r="N346" s="320">
        <f t="shared" si="155"/>
        <v>0</v>
      </c>
      <c r="O346" s="320">
        <f t="shared" si="155"/>
        <v>0</v>
      </c>
      <c r="P346" s="320">
        <f t="shared" si="155"/>
        <v>0</v>
      </c>
      <c r="Q346" s="320">
        <f t="shared" si="155"/>
        <v>0</v>
      </c>
      <c r="R346" s="320">
        <f t="shared" si="155"/>
        <v>432.34975533242329</v>
      </c>
      <c r="S346" s="320">
        <f t="shared" si="155"/>
        <v>563.86968273401851</v>
      </c>
      <c r="T346" s="320">
        <f t="shared" si="155"/>
        <v>806.95561953116135</v>
      </c>
      <c r="U346" s="320">
        <f t="shared" si="155"/>
        <v>980.90533653037528</v>
      </c>
      <c r="V346" s="320">
        <f t="shared" si="155"/>
        <v>1045.4432218671402</v>
      </c>
      <c r="W346" s="320">
        <f t="shared" si="155"/>
        <v>1199.2561401587307</v>
      </c>
      <c r="X346" s="320">
        <f t="shared" si="155"/>
        <v>1235.2970237000936</v>
      </c>
      <c r="Y346" s="320">
        <f t="shared" si="155"/>
        <v>1125.1808936331668</v>
      </c>
      <c r="Z346" s="320">
        <f t="shared" si="155"/>
        <v>1134.5764767086639</v>
      </c>
      <c r="AA346" s="320">
        <f t="shared" si="155"/>
        <v>1178.5061704732586</v>
      </c>
      <c r="AB346" s="320">
        <f t="shared" si="155"/>
        <v>1177.3476157134869</v>
      </c>
      <c r="AC346" s="320">
        <f t="shared" si="155"/>
        <v>1274.2426194881346</v>
      </c>
      <c r="AD346" s="320">
        <f t="shared" si="155"/>
        <v>1332.0006145204636</v>
      </c>
      <c r="AE346" s="320">
        <f t="shared" si="155"/>
        <v>0</v>
      </c>
      <c r="AF346" s="320">
        <f t="shared" si="155"/>
        <v>0</v>
      </c>
      <c r="AG346" s="320">
        <f t="shared" si="155"/>
        <v>0</v>
      </c>
      <c r="AH346" s="320">
        <f t="shared" si="155"/>
        <v>0</v>
      </c>
      <c r="AI346" s="320">
        <f t="shared" si="155"/>
        <v>0</v>
      </c>
      <c r="AJ346" s="320">
        <f t="shared" si="155"/>
        <v>0</v>
      </c>
      <c r="AK346" s="320">
        <f t="shared" si="155"/>
        <v>0</v>
      </c>
      <c r="AL346" s="320">
        <f t="shared" si="155"/>
        <v>0</v>
      </c>
      <c r="AM346" s="320">
        <f t="shared" si="155"/>
        <v>0</v>
      </c>
      <c r="AN346" s="320">
        <f t="shared" si="155"/>
        <v>0</v>
      </c>
      <c r="AO346" s="320">
        <f t="shared" si="155"/>
        <v>0</v>
      </c>
      <c r="AP346" s="320">
        <f t="shared" si="155"/>
        <v>0</v>
      </c>
      <c r="AQ346" s="320">
        <f t="shared" si="155"/>
        <v>0</v>
      </c>
      <c r="AR346" s="320">
        <f t="shared" si="155"/>
        <v>0</v>
      </c>
      <c r="AS346" s="320">
        <f t="shared" si="155"/>
        <v>0</v>
      </c>
      <c r="AT346" s="320">
        <f t="shared" si="155"/>
        <v>0</v>
      </c>
      <c r="AU346" s="320">
        <f t="shared" si="155"/>
        <v>0</v>
      </c>
      <c r="AV346" s="320">
        <f t="shared" si="155"/>
        <v>0</v>
      </c>
    </row>
    <row r="347" spans="1:48" s="320" customFormat="1" ht="15" customHeight="1">
      <c r="A347" s="351"/>
      <c r="B347" s="134"/>
      <c r="C347" s="322"/>
      <c r="D347" s="724"/>
    </row>
    <row r="348" spans="1:48" s="320" customFormat="1" ht="15" customHeight="1">
      <c r="A348" s="351"/>
      <c r="B348" s="134"/>
      <c r="C348" s="322" t="s">
        <v>1216</v>
      </c>
      <c r="D348" s="724"/>
    </row>
    <row r="349" spans="1:48" s="320" customFormat="1" ht="15" customHeight="1">
      <c r="A349" s="351"/>
      <c r="B349" s="134"/>
      <c r="C349" s="322"/>
      <c r="D349" s="724"/>
      <c r="E349" s="320" t="str">
        <f t="shared" ref="E349:AV349" si="156" xml:space="preserve"> E$16</f>
        <v>Copper production 2022Fs + actuals</v>
      </c>
      <c r="F349" s="320">
        <f t="shared" si="156"/>
        <v>0</v>
      </c>
      <c r="G349" s="320" t="str">
        <f t="shared" si="156"/>
        <v>KT Cu</v>
      </c>
      <c r="H349" s="320">
        <f t="shared" si="156"/>
        <v>0</v>
      </c>
      <c r="I349" s="320">
        <f t="shared" si="156"/>
        <v>0</v>
      </c>
      <c r="J349" s="320">
        <f t="shared" si="156"/>
        <v>1421.0743320093752</v>
      </c>
      <c r="K349" s="320">
        <f t="shared" si="156"/>
        <v>0</v>
      </c>
      <c r="L349" s="320">
        <f t="shared" si="156"/>
        <v>0</v>
      </c>
      <c r="M349" s="320">
        <f t="shared" si="156"/>
        <v>0</v>
      </c>
      <c r="N349" s="320">
        <f t="shared" si="156"/>
        <v>0</v>
      </c>
      <c r="O349" s="320">
        <f t="shared" si="156"/>
        <v>0</v>
      </c>
      <c r="P349" s="320">
        <f t="shared" si="156"/>
        <v>9.2255633513999982</v>
      </c>
      <c r="Q349" s="320">
        <f t="shared" si="156"/>
        <v>95.205768657975369</v>
      </c>
      <c r="R349" s="320">
        <f t="shared" si="156"/>
        <v>80.311999999999998</v>
      </c>
      <c r="S349" s="320">
        <f t="shared" si="156"/>
        <v>94.807000000000002</v>
      </c>
      <c r="T349" s="320">
        <f t="shared" si="156"/>
        <v>97.94</v>
      </c>
      <c r="U349" s="320">
        <f t="shared" si="156"/>
        <v>102.006</v>
      </c>
      <c r="V349" s="320">
        <f t="shared" si="156"/>
        <v>104.669</v>
      </c>
      <c r="W349" s="320">
        <f t="shared" si="156"/>
        <v>105.101</v>
      </c>
      <c r="X349" s="320">
        <f t="shared" si="156"/>
        <v>105.002</v>
      </c>
      <c r="Y349" s="320">
        <f t="shared" si="156"/>
        <v>105.956</v>
      </c>
      <c r="Z349" s="320">
        <f t="shared" si="156"/>
        <v>105.003</v>
      </c>
      <c r="AA349" s="320">
        <f t="shared" si="156"/>
        <v>104.33199999999999</v>
      </c>
      <c r="AB349" s="320">
        <f t="shared" si="156"/>
        <v>105.002</v>
      </c>
      <c r="AC349" s="320">
        <f t="shared" si="156"/>
        <v>104.504</v>
      </c>
      <c r="AD349" s="320">
        <f t="shared" si="156"/>
        <v>102.009</v>
      </c>
      <c r="AE349" s="320">
        <f t="shared" si="156"/>
        <v>0</v>
      </c>
      <c r="AF349" s="320">
        <f t="shared" si="156"/>
        <v>0</v>
      </c>
      <c r="AG349" s="320">
        <f t="shared" si="156"/>
        <v>0</v>
      </c>
      <c r="AH349" s="320">
        <f t="shared" si="156"/>
        <v>0</v>
      </c>
      <c r="AI349" s="320">
        <f t="shared" si="156"/>
        <v>0</v>
      </c>
      <c r="AJ349" s="320">
        <f t="shared" si="156"/>
        <v>0</v>
      </c>
      <c r="AK349" s="320">
        <f t="shared" si="156"/>
        <v>0</v>
      </c>
      <c r="AL349" s="320">
        <f t="shared" si="156"/>
        <v>0</v>
      </c>
      <c r="AM349" s="320">
        <f t="shared" si="156"/>
        <v>0</v>
      </c>
      <c r="AN349" s="320">
        <f t="shared" si="156"/>
        <v>0</v>
      </c>
      <c r="AO349" s="320">
        <f t="shared" si="156"/>
        <v>0</v>
      </c>
      <c r="AP349" s="320">
        <f t="shared" si="156"/>
        <v>0</v>
      </c>
      <c r="AQ349" s="320">
        <f t="shared" si="156"/>
        <v>0</v>
      </c>
      <c r="AR349" s="320">
        <f t="shared" si="156"/>
        <v>0</v>
      </c>
      <c r="AS349" s="320">
        <f t="shared" si="156"/>
        <v>0</v>
      </c>
      <c r="AT349" s="320">
        <f t="shared" si="156"/>
        <v>0</v>
      </c>
      <c r="AU349" s="320">
        <f t="shared" si="156"/>
        <v>0</v>
      </c>
      <c r="AV349" s="320">
        <f t="shared" si="156"/>
        <v>0</v>
      </c>
    </row>
    <row r="350" spans="1:48" s="320" customFormat="1" ht="15" customHeight="1">
      <c r="A350" s="351"/>
      <c r="B350" s="134"/>
      <c r="C350" s="322"/>
      <c r="D350" s="724"/>
      <c r="E350" s="320" t="str">
        <f t="shared" ref="E350:AV350" si="157" xml:space="preserve"> E$26</f>
        <v xml:space="preserve">Cobalt production 2022FS + actuals </v>
      </c>
      <c r="F350" s="320">
        <f t="shared" si="157"/>
        <v>0</v>
      </c>
      <c r="G350" s="320" t="str">
        <f t="shared" si="157"/>
        <v>KT</v>
      </c>
      <c r="H350" s="320">
        <f t="shared" si="157"/>
        <v>0</v>
      </c>
      <c r="I350" s="320">
        <f t="shared" si="157"/>
        <v>0</v>
      </c>
      <c r="J350" s="320">
        <f t="shared" si="157"/>
        <v>280.82510633243999</v>
      </c>
      <c r="K350" s="320">
        <f t="shared" si="157"/>
        <v>0</v>
      </c>
      <c r="L350" s="320">
        <f t="shared" si="157"/>
        <v>0</v>
      </c>
      <c r="M350" s="320">
        <f t="shared" si="157"/>
        <v>0</v>
      </c>
      <c r="N350" s="320">
        <f t="shared" si="157"/>
        <v>0</v>
      </c>
      <c r="O350" s="320">
        <f t="shared" si="157"/>
        <v>0</v>
      </c>
      <c r="P350" s="320">
        <f t="shared" si="157"/>
        <v>0.20840302079999998</v>
      </c>
      <c r="Q350" s="320">
        <f t="shared" si="157"/>
        <v>18.932703311639997</v>
      </c>
      <c r="R350" s="320">
        <f t="shared" si="157"/>
        <v>16.391999999999999</v>
      </c>
      <c r="S350" s="320">
        <f t="shared" si="157"/>
        <v>20.74</v>
      </c>
      <c r="T350" s="320">
        <f t="shared" si="157"/>
        <v>22.472999999999999</v>
      </c>
      <c r="U350" s="320">
        <f t="shared" si="157"/>
        <v>20.558</v>
      </c>
      <c r="V350" s="320">
        <f t="shared" si="157"/>
        <v>20.343</v>
      </c>
      <c r="W350" s="320">
        <f t="shared" si="157"/>
        <v>20.257000000000001</v>
      </c>
      <c r="X350" s="320">
        <f t="shared" si="157"/>
        <v>19.748999999999999</v>
      </c>
      <c r="Y350" s="320">
        <f t="shared" si="157"/>
        <v>18.649999999999999</v>
      </c>
      <c r="Z350" s="320">
        <f t="shared" si="157"/>
        <v>20.103999999999999</v>
      </c>
      <c r="AA350" s="320">
        <f t="shared" si="157"/>
        <v>20.074999999999999</v>
      </c>
      <c r="AB350" s="320">
        <f t="shared" si="157"/>
        <v>18.96</v>
      </c>
      <c r="AC350" s="320">
        <f t="shared" si="157"/>
        <v>21.318999999999999</v>
      </c>
      <c r="AD350" s="320">
        <f t="shared" si="157"/>
        <v>22.064</v>
      </c>
      <c r="AE350" s="320">
        <f t="shared" si="157"/>
        <v>0</v>
      </c>
      <c r="AF350" s="320">
        <f t="shared" si="157"/>
        <v>0</v>
      </c>
      <c r="AG350" s="320">
        <f t="shared" si="157"/>
        <v>0</v>
      </c>
      <c r="AH350" s="320">
        <f t="shared" si="157"/>
        <v>0</v>
      </c>
      <c r="AI350" s="320">
        <f t="shared" si="157"/>
        <v>0</v>
      </c>
      <c r="AJ350" s="320">
        <f t="shared" si="157"/>
        <v>0</v>
      </c>
      <c r="AK350" s="320">
        <f t="shared" si="157"/>
        <v>0</v>
      </c>
      <c r="AL350" s="320">
        <f t="shared" si="157"/>
        <v>0</v>
      </c>
      <c r="AM350" s="320">
        <f t="shared" si="157"/>
        <v>0</v>
      </c>
      <c r="AN350" s="320">
        <f t="shared" si="157"/>
        <v>0</v>
      </c>
      <c r="AO350" s="320">
        <f t="shared" si="157"/>
        <v>0</v>
      </c>
      <c r="AP350" s="320">
        <f t="shared" si="157"/>
        <v>0</v>
      </c>
      <c r="AQ350" s="320">
        <f t="shared" si="157"/>
        <v>0</v>
      </c>
      <c r="AR350" s="320">
        <f t="shared" si="157"/>
        <v>0</v>
      </c>
      <c r="AS350" s="320">
        <f t="shared" si="157"/>
        <v>0</v>
      </c>
      <c r="AT350" s="320">
        <f t="shared" si="157"/>
        <v>0</v>
      </c>
      <c r="AU350" s="320">
        <f t="shared" si="157"/>
        <v>0</v>
      </c>
      <c r="AV350" s="320">
        <f t="shared" si="157"/>
        <v>0</v>
      </c>
    </row>
    <row r="351" spans="1:48" s="320" customFormat="1" ht="15" customHeight="1">
      <c r="A351" s="351"/>
      <c r="B351" s="134"/>
      <c r="C351" s="322"/>
      <c r="D351" s="724"/>
      <c r="E351" s="320" t="str">
        <f t="shared" ref="E351:AV351" si="158" xml:space="preserve"> E$342</f>
        <v>Operating costs (FS22)</v>
      </c>
      <c r="F351" s="320">
        <f t="shared" si="158"/>
        <v>0</v>
      </c>
      <c r="G351" s="320" t="str">
        <f t="shared" si="158"/>
        <v>$ mn (2019 real)</v>
      </c>
      <c r="H351" s="320">
        <f t="shared" si="158"/>
        <v>0</v>
      </c>
      <c r="I351" s="320">
        <f t="shared" si="158"/>
        <v>0</v>
      </c>
      <c r="J351" s="320">
        <f t="shared" si="158"/>
        <v>10416</v>
      </c>
      <c r="K351" s="320">
        <f t="shared" si="158"/>
        <v>0</v>
      </c>
      <c r="L351" s="320">
        <f t="shared" si="158"/>
        <v>0</v>
      </c>
      <c r="M351" s="320">
        <f t="shared" si="158"/>
        <v>0</v>
      </c>
      <c r="N351" s="320">
        <f t="shared" si="158"/>
        <v>0</v>
      </c>
      <c r="O351" s="320">
        <f t="shared" si="158"/>
        <v>0</v>
      </c>
      <c r="P351" s="320">
        <f t="shared" si="158"/>
        <v>0</v>
      </c>
      <c r="Q351" s="320">
        <f t="shared" si="158"/>
        <v>0</v>
      </c>
      <c r="R351" s="320">
        <f t="shared" si="158"/>
        <v>427</v>
      </c>
      <c r="S351" s="320">
        <f t="shared" si="158"/>
        <v>532</v>
      </c>
      <c r="T351" s="320">
        <f t="shared" si="158"/>
        <v>705</v>
      </c>
      <c r="U351" s="320">
        <f t="shared" si="158"/>
        <v>823</v>
      </c>
      <c r="V351" s="320">
        <f t="shared" si="158"/>
        <v>852</v>
      </c>
      <c r="W351" s="320">
        <f t="shared" si="158"/>
        <v>949</v>
      </c>
      <c r="X351" s="320">
        <f t="shared" si="158"/>
        <v>954</v>
      </c>
      <c r="Y351" s="320">
        <f t="shared" si="158"/>
        <v>851</v>
      </c>
      <c r="Z351" s="320">
        <f t="shared" si="158"/>
        <v>840</v>
      </c>
      <c r="AA351" s="320">
        <f t="shared" si="158"/>
        <v>854</v>
      </c>
      <c r="AB351" s="320">
        <f t="shared" si="158"/>
        <v>835</v>
      </c>
      <c r="AC351" s="320">
        <f t="shared" si="158"/>
        <v>886</v>
      </c>
      <c r="AD351" s="320">
        <f t="shared" si="158"/>
        <v>908</v>
      </c>
      <c r="AE351" s="320">
        <f t="shared" si="158"/>
        <v>0</v>
      </c>
      <c r="AF351" s="320">
        <f t="shared" si="158"/>
        <v>0</v>
      </c>
      <c r="AG351" s="320">
        <f t="shared" si="158"/>
        <v>0</v>
      </c>
      <c r="AH351" s="320">
        <f t="shared" si="158"/>
        <v>0</v>
      </c>
      <c r="AI351" s="320">
        <f t="shared" si="158"/>
        <v>0</v>
      </c>
      <c r="AJ351" s="320">
        <f t="shared" si="158"/>
        <v>0</v>
      </c>
      <c r="AK351" s="320">
        <f t="shared" si="158"/>
        <v>0</v>
      </c>
      <c r="AL351" s="320">
        <f t="shared" si="158"/>
        <v>0</v>
      </c>
      <c r="AM351" s="320">
        <f t="shared" si="158"/>
        <v>0</v>
      </c>
      <c r="AN351" s="320">
        <f t="shared" si="158"/>
        <v>0</v>
      </c>
      <c r="AO351" s="320">
        <f t="shared" si="158"/>
        <v>0</v>
      </c>
      <c r="AP351" s="320">
        <f t="shared" si="158"/>
        <v>0</v>
      </c>
      <c r="AQ351" s="320">
        <f t="shared" si="158"/>
        <v>0</v>
      </c>
      <c r="AR351" s="320">
        <f t="shared" si="158"/>
        <v>0</v>
      </c>
      <c r="AS351" s="320">
        <f t="shared" si="158"/>
        <v>0</v>
      </c>
      <c r="AT351" s="320">
        <f t="shared" si="158"/>
        <v>0</v>
      </c>
      <c r="AU351" s="320">
        <f t="shared" si="158"/>
        <v>0</v>
      </c>
      <c r="AV351" s="320">
        <f t="shared" si="158"/>
        <v>0</v>
      </c>
    </row>
    <row r="352" spans="1:48" s="320" customFormat="1" ht="15" customHeight="1">
      <c r="A352" s="351"/>
      <c r="B352" s="134"/>
      <c r="C352" s="322"/>
      <c r="D352" s="724"/>
      <c r="E352" s="320" t="s">
        <v>1217</v>
      </c>
      <c r="G352" s="320" t="s">
        <v>14</v>
      </c>
      <c r="L352" s="320">
        <f t="shared" ref="L352:AV352" si="159" xml:space="preserve"> IFERROR( ( L351 * 1000 )/ ( L349 + L350 ), 0 )</f>
        <v>0</v>
      </c>
      <c r="M352" s="320">
        <f t="shared" si="159"/>
        <v>0</v>
      </c>
      <c r="N352" s="320">
        <f t="shared" si="159"/>
        <v>0</v>
      </c>
      <c r="O352" s="320">
        <f t="shared" si="159"/>
        <v>0</v>
      </c>
      <c r="P352" s="320">
        <f t="shared" si="159"/>
        <v>0</v>
      </c>
      <c r="Q352" s="320">
        <f t="shared" si="159"/>
        <v>0</v>
      </c>
      <c r="R352" s="320">
        <f t="shared" si="159"/>
        <v>4415.5360688285909</v>
      </c>
      <c r="S352" s="320">
        <f t="shared" si="159"/>
        <v>4604.1870407712877</v>
      </c>
      <c r="T352" s="320">
        <f t="shared" si="159"/>
        <v>5854.8495594329515</v>
      </c>
      <c r="U352" s="320">
        <f t="shared" si="159"/>
        <v>6714.8591756143733</v>
      </c>
      <c r="V352" s="320">
        <f t="shared" si="159"/>
        <v>6815.3457268102266</v>
      </c>
      <c r="W352" s="320">
        <f t="shared" si="159"/>
        <v>7570.3186075080966</v>
      </c>
      <c r="X352" s="320">
        <f t="shared" si="159"/>
        <v>7647.2332887111133</v>
      </c>
      <c r="Y352" s="320">
        <f t="shared" si="159"/>
        <v>6829.5266680577179</v>
      </c>
      <c r="Z352" s="320">
        <f t="shared" si="159"/>
        <v>6714.2525997745934</v>
      </c>
      <c r="AA352" s="320">
        <f t="shared" si="159"/>
        <v>6864.5654987259559</v>
      </c>
      <c r="AB352" s="320">
        <f t="shared" si="159"/>
        <v>6735.9352059502107</v>
      </c>
      <c r="AC352" s="320">
        <f t="shared" si="159"/>
        <v>7041.6378563537664</v>
      </c>
      <c r="AD352" s="320">
        <f t="shared" si="159"/>
        <v>7318.2723074319147</v>
      </c>
      <c r="AE352" s="320">
        <f t="shared" si="159"/>
        <v>0</v>
      </c>
      <c r="AF352" s="320">
        <f t="shared" si="159"/>
        <v>0</v>
      </c>
      <c r="AG352" s="320">
        <f t="shared" si="159"/>
        <v>0</v>
      </c>
      <c r="AH352" s="320">
        <f t="shared" si="159"/>
        <v>0</v>
      </c>
      <c r="AI352" s="320">
        <f t="shared" si="159"/>
        <v>0</v>
      </c>
      <c r="AJ352" s="320">
        <f t="shared" si="159"/>
        <v>0</v>
      </c>
      <c r="AK352" s="320">
        <f t="shared" si="159"/>
        <v>0</v>
      </c>
      <c r="AL352" s="320">
        <f t="shared" si="159"/>
        <v>0</v>
      </c>
      <c r="AM352" s="320">
        <f t="shared" si="159"/>
        <v>0</v>
      </c>
      <c r="AN352" s="320">
        <f t="shared" si="159"/>
        <v>0</v>
      </c>
      <c r="AO352" s="320">
        <f t="shared" si="159"/>
        <v>0</v>
      </c>
      <c r="AP352" s="320">
        <f t="shared" si="159"/>
        <v>0</v>
      </c>
      <c r="AQ352" s="320">
        <f t="shared" si="159"/>
        <v>0</v>
      </c>
      <c r="AR352" s="320">
        <f t="shared" si="159"/>
        <v>0</v>
      </c>
      <c r="AS352" s="320">
        <f t="shared" si="159"/>
        <v>0</v>
      </c>
      <c r="AT352" s="320">
        <f t="shared" si="159"/>
        <v>0</v>
      </c>
      <c r="AU352" s="320">
        <f t="shared" si="159"/>
        <v>0</v>
      </c>
      <c r="AV352" s="320">
        <f t="shared" si="159"/>
        <v>0</v>
      </c>
    </row>
    <row r="353" spans="1:48" s="320" customFormat="1" ht="15" customHeight="1">
      <c r="A353" s="351"/>
      <c r="B353" s="134"/>
      <c r="C353" s="322"/>
      <c r="D353" s="724"/>
      <c r="E353" s="802" t="str">
        <f xml:space="preserve"> InputsCon!E$31</f>
        <v>Feasibility Study Year</v>
      </c>
      <c r="F353" s="802">
        <f xml:space="preserve"> InputsCon!F$31</f>
        <v>2023</v>
      </c>
      <c r="G353" s="112" t="str">
        <f xml:space="preserve"> InputsCon!G$31</f>
        <v>year</v>
      </c>
    </row>
    <row r="354" spans="1:48" s="150" customFormat="1" ht="15" customHeight="1">
      <c r="A354" s="189"/>
      <c r="B354" s="189"/>
      <c r="C354" s="151"/>
      <c r="D354" s="854"/>
      <c r="E354" s="804" t="s">
        <v>1222</v>
      </c>
      <c r="F354" s="804"/>
      <c r="G354" s="805" t="s">
        <v>1223</v>
      </c>
      <c r="L354" s="150">
        <f t="shared" ref="L354:AV354" si="160" xml:space="preserve"> IF( L2 &lt; $F$353, 1, 0 )</f>
        <v>1</v>
      </c>
      <c r="M354" s="150">
        <f t="shared" si="160"/>
        <v>1</v>
      </c>
      <c r="N354" s="150">
        <f t="shared" si="160"/>
        <v>1</v>
      </c>
      <c r="O354" s="150">
        <f t="shared" si="160"/>
        <v>1</v>
      </c>
      <c r="P354" s="150">
        <f t="shared" si="160"/>
        <v>1</v>
      </c>
      <c r="Q354" s="150">
        <f t="shared" si="160"/>
        <v>1</v>
      </c>
      <c r="R354" s="150">
        <f t="shared" si="160"/>
        <v>1</v>
      </c>
      <c r="S354" s="150">
        <f t="shared" si="160"/>
        <v>1</v>
      </c>
      <c r="T354" s="150">
        <f t="shared" si="160"/>
        <v>1</v>
      </c>
      <c r="U354" s="150">
        <f t="shared" si="160"/>
        <v>0</v>
      </c>
      <c r="V354" s="150">
        <f t="shared" si="160"/>
        <v>0</v>
      </c>
      <c r="W354" s="150">
        <f t="shared" si="160"/>
        <v>0</v>
      </c>
      <c r="X354" s="150">
        <f t="shared" si="160"/>
        <v>0</v>
      </c>
      <c r="Y354" s="150">
        <f t="shared" si="160"/>
        <v>0</v>
      </c>
      <c r="Z354" s="150">
        <f t="shared" si="160"/>
        <v>0</v>
      </c>
      <c r="AA354" s="150">
        <f t="shared" si="160"/>
        <v>0</v>
      </c>
      <c r="AB354" s="150">
        <f t="shared" si="160"/>
        <v>0</v>
      </c>
      <c r="AC354" s="150">
        <f t="shared" si="160"/>
        <v>0</v>
      </c>
      <c r="AD354" s="150">
        <f t="shared" si="160"/>
        <v>0</v>
      </c>
      <c r="AE354" s="150">
        <f t="shared" si="160"/>
        <v>0</v>
      </c>
      <c r="AF354" s="150">
        <f t="shared" si="160"/>
        <v>0</v>
      </c>
      <c r="AG354" s="150">
        <f t="shared" si="160"/>
        <v>0</v>
      </c>
      <c r="AH354" s="150">
        <f t="shared" si="160"/>
        <v>0</v>
      </c>
      <c r="AI354" s="150">
        <f t="shared" si="160"/>
        <v>0</v>
      </c>
      <c r="AJ354" s="150">
        <f t="shared" si="160"/>
        <v>0</v>
      </c>
      <c r="AK354" s="150">
        <f t="shared" si="160"/>
        <v>0</v>
      </c>
      <c r="AL354" s="150">
        <f t="shared" si="160"/>
        <v>0</v>
      </c>
      <c r="AM354" s="150">
        <f t="shared" si="160"/>
        <v>0</v>
      </c>
      <c r="AN354" s="150">
        <f t="shared" si="160"/>
        <v>0</v>
      </c>
      <c r="AO354" s="150">
        <f t="shared" si="160"/>
        <v>0</v>
      </c>
      <c r="AP354" s="150">
        <f t="shared" si="160"/>
        <v>0</v>
      </c>
      <c r="AQ354" s="150">
        <f t="shared" si="160"/>
        <v>0</v>
      </c>
      <c r="AR354" s="150">
        <f t="shared" si="160"/>
        <v>0</v>
      </c>
      <c r="AS354" s="150">
        <f t="shared" si="160"/>
        <v>0</v>
      </c>
      <c r="AT354" s="150">
        <f t="shared" si="160"/>
        <v>0</v>
      </c>
      <c r="AU354" s="150">
        <f t="shared" si="160"/>
        <v>0</v>
      </c>
      <c r="AV354" s="150">
        <f t="shared" si="160"/>
        <v>0</v>
      </c>
    </row>
    <row r="355" spans="1:48" s="150" customFormat="1" ht="15" customHeight="1">
      <c r="A355" s="189"/>
      <c r="B355" s="189"/>
      <c r="C355" s="151"/>
      <c r="D355" s="854"/>
      <c r="E355" s="804" t="s">
        <v>1224</v>
      </c>
      <c r="F355" s="804"/>
      <c r="G355" s="805"/>
      <c r="L355" s="150">
        <f t="shared" ref="L355:AV355" si="161" xml:space="preserve"> L352 * L354</f>
        <v>0</v>
      </c>
      <c r="M355" s="150">
        <f t="shared" si="161"/>
        <v>0</v>
      </c>
      <c r="N355" s="150">
        <f t="shared" si="161"/>
        <v>0</v>
      </c>
      <c r="O355" s="150">
        <f t="shared" si="161"/>
        <v>0</v>
      </c>
      <c r="P355" s="150">
        <f t="shared" si="161"/>
        <v>0</v>
      </c>
      <c r="Q355" s="150">
        <f t="shared" si="161"/>
        <v>0</v>
      </c>
      <c r="R355" s="150">
        <f t="shared" si="161"/>
        <v>4415.5360688285909</v>
      </c>
      <c r="S355" s="150">
        <f t="shared" si="161"/>
        <v>4604.1870407712877</v>
      </c>
      <c r="T355" s="150">
        <f t="shared" si="161"/>
        <v>5854.8495594329515</v>
      </c>
      <c r="U355" s="150">
        <f t="shared" si="161"/>
        <v>0</v>
      </c>
      <c r="V355" s="150">
        <f t="shared" si="161"/>
        <v>0</v>
      </c>
      <c r="W355" s="150">
        <f t="shared" si="161"/>
        <v>0</v>
      </c>
      <c r="X355" s="150">
        <f t="shared" si="161"/>
        <v>0</v>
      </c>
      <c r="Y355" s="150">
        <f t="shared" si="161"/>
        <v>0</v>
      </c>
      <c r="Z355" s="150">
        <f t="shared" si="161"/>
        <v>0</v>
      </c>
      <c r="AA355" s="150">
        <f t="shared" si="161"/>
        <v>0</v>
      </c>
      <c r="AB355" s="150">
        <f t="shared" si="161"/>
        <v>0</v>
      </c>
      <c r="AC355" s="150">
        <f t="shared" si="161"/>
        <v>0</v>
      </c>
      <c r="AD355" s="150">
        <f t="shared" si="161"/>
        <v>0</v>
      </c>
      <c r="AE355" s="150">
        <f t="shared" si="161"/>
        <v>0</v>
      </c>
      <c r="AF355" s="150">
        <f t="shared" si="161"/>
        <v>0</v>
      </c>
      <c r="AG355" s="150">
        <f t="shared" si="161"/>
        <v>0</v>
      </c>
      <c r="AH355" s="150">
        <f t="shared" si="161"/>
        <v>0</v>
      </c>
      <c r="AI355" s="150">
        <f t="shared" si="161"/>
        <v>0</v>
      </c>
      <c r="AJ355" s="150">
        <f t="shared" si="161"/>
        <v>0</v>
      </c>
      <c r="AK355" s="150">
        <f t="shared" si="161"/>
        <v>0</v>
      </c>
      <c r="AL355" s="150">
        <f t="shared" si="161"/>
        <v>0</v>
      </c>
      <c r="AM355" s="150">
        <f t="shared" si="161"/>
        <v>0</v>
      </c>
      <c r="AN355" s="150">
        <f t="shared" si="161"/>
        <v>0</v>
      </c>
      <c r="AO355" s="150">
        <f t="shared" si="161"/>
        <v>0</v>
      </c>
      <c r="AP355" s="150">
        <f t="shared" si="161"/>
        <v>0</v>
      </c>
      <c r="AQ355" s="150">
        <f t="shared" si="161"/>
        <v>0</v>
      </c>
      <c r="AR355" s="150">
        <f t="shared" si="161"/>
        <v>0</v>
      </c>
      <c r="AS355" s="150">
        <f t="shared" si="161"/>
        <v>0</v>
      </c>
      <c r="AT355" s="150">
        <f t="shared" si="161"/>
        <v>0</v>
      </c>
      <c r="AU355" s="150">
        <f t="shared" si="161"/>
        <v>0</v>
      </c>
      <c r="AV355" s="150">
        <f t="shared" si="161"/>
        <v>0</v>
      </c>
    </row>
    <row r="356" spans="1:48" s="320" customFormat="1" ht="15" customHeight="1">
      <c r="A356" s="351"/>
      <c r="B356" s="134"/>
      <c r="C356" s="322"/>
      <c r="D356" s="724"/>
      <c r="E356" s="320" t="s">
        <v>1218</v>
      </c>
      <c r="F356" s="320">
        <f>AVERAGEIF(L355:AV355, "&lt;&gt;0")</f>
        <v>4958.1908896776104</v>
      </c>
      <c r="G356" s="320" t="s">
        <v>14</v>
      </c>
    </row>
    <row r="357" spans="1:48" s="320" customFormat="1" ht="15" customHeight="1">
      <c r="A357" s="351"/>
      <c r="B357" s="134"/>
      <c r="C357" s="322"/>
      <c r="D357" s="724"/>
      <c r="E357" s="802"/>
      <c r="F357" s="802"/>
      <c r="G357" s="112"/>
    </row>
    <row r="358" spans="1:48" s="320" customFormat="1" ht="15" customHeight="1">
      <c r="A358" s="351"/>
      <c r="B358" s="134"/>
      <c r="C358" s="322"/>
      <c r="D358" s="724"/>
      <c r="E358" s="320" t="s">
        <v>1219</v>
      </c>
      <c r="F358" s="756">
        <v>2020</v>
      </c>
      <c r="G358" s="320" t="s">
        <v>62</v>
      </c>
    </row>
    <row r="359" spans="1:48" s="320" customFormat="1" ht="15" customHeight="1">
      <c r="A359" s="351"/>
      <c r="B359" s="134"/>
      <c r="C359" s="322"/>
      <c r="D359" s="724"/>
      <c r="E359" s="320" t="s">
        <v>1220</v>
      </c>
      <c r="G359" s="320" t="s">
        <v>231</v>
      </c>
      <c r="L359" s="320">
        <f t="shared" ref="L359:AV359" si="162">IF( L2 &lt; $F$358, L349 + L350, 0 )</f>
        <v>0</v>
      </c>
      <c r="M359" s="320">
        <f t="shared" si="162"/>
        <v>0</v>
      </c>
      <c r="N359" s="320">
        <f t="shared" si="162"/>
        <v>0</v>
      </c>
      <c r="O359" s="320">
        <f t="shared" si="162"/>
        <v>0</v>
      </c>
      <c r="P359" s="320">
        <f t="shared" si="162"/>
        <v>9.4339663721999987</v>
      </c>
      <c r="Q359" s="320">
        <f t="shared" si="162"/>
        <v>114.13847196961537</v>
      </c>
      <c r="R359" s="320">
        <f t="shared" si="162"/>
        <v>0</v>
      </c>
      <c r="S359" s="320">
        <f t="shared" si="162"/>
        <v>0</v>
      </c>
      <c r="T359" s="320">
        <f t="shared" si="162"/>
        <v>0</v>
      </c>
      <c r="U359" s="320">
        <f t="shared" si="162"/>
        <v>0</v>
      </c>
      <c r="V359" s="320">
        <f t="shared" si="162"/>
        <v>0</v>
      </c>
      <c r="W359" s="320">
        <f t="shared" si="162"/>
        <v>0</v>
      </c>
      <c r="X359" s="320">
        <f t="shared" si="162"/>
        <v>0</v>
      </c>
      <c r="Y359" s="320">
        <f t="shared" si="162"/>
        <v>0</v>
      </c>
      <c r="Z359" s="320">
        <f t="shared" si="162"/>
        <v>0</v>
      </c>
      <c r="AA359" s="320">
        <f t="shared" si="162"/>
        <v>0</v>
      </c>
      <c r="AB359" s="320">
        <f t="shared" si="162"/>
        <v>0</v>
      </c>
      <c r="AC359" s="320">
        <f t="shared" si="162"/>
        <v>0</v>
      </c>
      <c r="AD359" s="320">
        <f t="shared" si="162"/>
        <v>0</v>
      </c>
      <c r="AE359" s="320">
        <f t="shared" si="162"/>
        <v>0</v>
      </c>
      <c r="AF359" s="320">
        <f t="shared" si="162"/>
        <v>0</v>
      </c>
      <c r="AG359" s="320">
        <f t="shared" si="162"/>
        <v>0</v>
      </c>
      <c r="AH359" s="320">
        <f t="shared" si="162"/>
        <v>0</v>
      </c>
      <c r="AI359" s="320">
        <f t="shared" si="162"/>
        <v>0</v>
      </c>
      <c r="AJ359" s="320">
        <f t="shared" si="162"/>
        <v>0</v>
      </c>
      <c r="AK359" s="320">
        <f t="shared" si="162"/>
        <v>0</v>
      </c>
      <c r="AL359" s="320">
        <f t="shared" si="162"/>
        <v>0</v>
      </c>
      <c r="AM359" s="320">
        <f t="shared" si="162"/>
        <v>0</v>
      </c>
      <c r="AN359" s="320">
        <f t="shared" si="162"/>
        <v>0</v>
      </c>
      <c r="AO359" s="320">
        <f t="shared" si="162"/>
        <v>0</v>
      </c>
      <c r="AP359" s="320">
        <f t="shared" si="162"/>
        <v>0</v>
      </c>
      <c r="AQ359" s="320">
        <f t="shared" si="162"/>
        <v>0</v>
      </c>
      <c r="AR359" s="320">
        <f t="shared" si="162"/>
        <v>0</v>
      </c>
      <c r="AS359" s="320">
        <f t="shared" si="162"/>
        <v>0</v>
      </c>
      <c r="AT359" s="320">
        <f t="shared" si="162"/>
        <v>0</v>
      </c>
      <c r="AU359" s="320">
        <f t="shared" si="162"/>
        <v>0</v>
      </c>
      <c r="AV359" s="320">
        <f t="shared" si="162"/>
        <v>0</v>
      </c>
    </row>
    <row r="360" spans="1:48" s="320" customFormat="1" ht="15" customHeight="1">
      <c r="A360" s="351"/>
      <c r="B360" s="134"/>
      <c r="C360" s="322"/>
      <c r="D360" s="724"/>
      <c r="E360" s="320" t="s">
        <v>1226</v>
      </c>
      <c r="G360" s="320" t="s">
        <v>29</v>
      </c>
      <c r="L360" s="320">
        <f t="shared" ref="L360:AV360" si="163" xml:space="preserve"> L359 * ($F$356 / 1000 )</f>
        <v>0</v>
      </c>
      <c r="M360" s="320">
        <f t="shared" si="163"/>
        <v>0</v>
      </c>
      <c r="N360" s="320">
        <f t="shared" si="163"/>
        <v>0</v>
      </c>
      <c r="O360" s="320">
        <f t="shared" si="163"/>
        <v>0</v>
      </c>
      <c r="P360" s="320">
        <f t="shared" si="163"/>
        <v>46.775406120166977</v>
      </c>
      <c r="Q360" s="320">
        <f t="shared" si="163"/>
        <v>565.92033188147025</v>
      </c>
      <c r="R360" s="320">
        <f t="shared" si="163"/>
        <v>0</v>
      </c>
      <c r="S360" s="320">
        <f t="shared" si="163"/>
        <v>0</v>
      </c>
      <c r="T360" s="320">
        <f t="shared" si="163"/>
        <v>0</v>
      </c>
      <c r="U360" s="320">
        <f t="shared" si="163"/>
        <v>0</v>
      </c>
      <c r="V360" s="320">
        <f t="shared" si="163"/>
        <v>0</v>
      </c>
      <c r="W360" s="320">
        <f t="shared" si="163"/>
        <v>0</v>
      </c>
      <c r="X360" s="320">
        <f t="shared" si="163"/>
        <v>0</v>
      </c>
      <c r="Y360" s="320">
        <f t="shared" si="163"/>
        <v>0</v>
      </c>
      <c r="Z360" s="320">
        <f t="shared" si="163"/>
        <v>0</v>
      </c>
      <c r="AA360" s="320">
        <f t="shared" si="163"/>
        <v>0</v>
      </c>
      <c r="AB360" s="320">
        <f t="shared" si="163"/>
        <v>0</v>
      </c>
      <c r="AC360" s="320">
        <f t="shared" si="163"/>
        <v>0</v>
      </c>
      <c r="AD360" s="320">
        <f t="shared" si="163"/>
        <v>0</v>
      </c>
      <c r="AE360" s="320">
        <f t="shared" si="163"/>
        <v>0</v>
      </c>
      <c r="AF360" s="320">
        <f t="shared" si="163"/>
        <v>0</v>
      </c>
      <c r="AG360" s="320">
        <f t="shared" si="163"/>
        <v>0</v>
      </c>
      <c r="AH360" s="320">
        <f t="shared" si="163"/>
        <v>0</v>
      </c>
      <c r="AI360" s="320">
        <f t="shared" si="163"/>
        <v>0</v>
      </c>
      <c r="AJ360" s="320">
        <f t="shared" si="163"/>
        <v>0</v>
      </c>
      <c r="AK360" s="320">
        <f t="shared" si="163"/>
        <v>0</v>
      </c>
      <c r="AL360" s="320">
        <f t="shared" si="163"/>
        <v>0</v>
      </c>
      <c r="AM360" s="320">
        <f t="shared" si="163"/>
        <v>0</v>
      </c>
      <c r="AN360" s="320">
        <f t="shared" si="163"/>
        <v>0</v>
      </c>
      <c r="AO360" s="320">
        <f t="shared" si="163"/>
        <v>0</v>
      </c>
      <c r="AP360" s="320">
        <f t="shared" si="163"/>
        <v>0</v>
      </c>
      <c r="AQ360" s="320">
        <f t="shared" si="163"/>
        <v>0</v>
      </c>
      <c r="AR360" s="320">
        <f t="shared" si="163"/>
        <v>0</v>
      </c>
      <c r="AS360" s="320">
        <f t="shared" si="163"/>
        <v>0</v>
      </c>
      <c r="AT360" s="320">
        <f t="shared" si="163"/>
        <v>0</v>
      </c>
      <c r="AU360" s="320">
        <f t="shared" si="163"/>
        <v>0</v>
      </c>
      <c r="AV360" s="320">
        <f t="shared" si="163"/>
        <v>0</v>
      </c>
    </row>
    <row r="361" spans="1:48" s="320" customFormat="1" ht="15" customHeight="1">
      <c r="A361" s="351"/>
      <c r="B361" s="134"/>
      <c r="C361" s="322"/>
      <c r="D361" s="724"/>
    </row>
    <row r="362" spans="1:48" s="320" customFormat="1" ht="15" customHeight="1">
      <c r="A362" s="351"/>
      <c r="B362" s="134"/>
      <c r="C362" s="322"/>
      <c r="D362" s="724"/>
      <c r="E362" s="320" t="str">
        <f t="shared" ref="E362:AV362" si="164" xml:space="preserve"> E360</f>
        <v>Operating costs pre-FS period</v>
      </c>
      <c r="F362" s="320">
        <f t="shared" si="164"/>
        <v>0</v>
      </c>
      <c r="G362" s="320" t="str">
        <f t="shared" si="164"/>
        <v>$ mn</v>
      </c>
      <c r="H362" s="320">
        <f t="shared" si="164"/>
        <v>0</v>
      </c>
      <c r="I362" s="320">
        <f t="shared" si="164"/>
        <v>0</v>
      </c>
      <c r="J362" s="320">
        <f t="shared" si="164"/>
        <v>0</v>
      </c>
      <c r="K362" s="320">
        <f t="shared" si="164"/>
        <v>0</v>
      </c>
      <c r="L362" s="320">
        <f t="shared" si="164"/>
        <v>0</v>
      </c>
      <c r="M362" s="320">
        <f t="shared" si="164"/>
        <v>0</v>
      </c>
      <c r="N362" s="320">
        <f t="shared" si="164"/>
        <v>0</v>
      </c>
      <c r="O362" s="320">
        <f t="shared" si="164"/>
        <v>0</v>
      </c>
      <c r="P362" s="320">
        <f t="shared" si="164"/>
        <v>46.775406120166977</v>
      </c>
      <c r="Q362" s="320">
        <f t="shared" si="164"/>
        <v>565.92033188147025</v>
      </c>
      <c r="R362" s="320">
        <f t="shared" si="164"/>
        <v>0</v>
      </c>
      <c r="S362" s="320">
        <f t="shared" si="164"/>
        <v>0</v>
      </c>
      <c r="T362" s="320">
        <f t="shared" si="164"/>
        <v>0</v>
      </c>
      <c r="U362" s="320">
        <f t="shared" si="164"/>
        <v>0</v>
      </c>
      <c r="V362" s="320">
        <f t="shared" si="164"/>
        <v>0</v>
      </c>
      <c r="W362" s="320">
        <f t="shared" si="164"/>
        <v>0</v>
      </c>
      <c r="X362" s="320">
        <f t="shared" si="164"/>
        <v>0</v>
      </c>
      <c r="Y362" s="320">
        <f t="shared" si="164"/>
        <v>0</v>
      </c>
      <c r="Z362" s="320">
        <f t="shared" si="164"/>
        <v>0</v>
      </c>
      <c r="AA362" s="320">
        <f t="shared" si="164"/>
        <v>0</v>
      </c>
      <c r="AB362" s="320">
        <f t="shared" si="164"/>
        <v>0</v>
      </c>
      <c r="AC362" s="320">
        <f t="shared" si="164"/>
        <v>0</v>
      </c>
      <c r="AD362" s="320">
        <f t="shared" si="164"/>
        <v>0</v>
      </c>
      <c r="AE362" s="320">
        <f t="shared" si="164"/>
        <v>0</v>
      </c>
      <c r="AF362" s="320">
        <f t="shared" si="164"/>
        <v>0</v>
      </c>
      <c r="AG362" s="320">
        <f t="shared" si="164"/>
        <v>0</v>
      </c>
      <c r="AH362" s="320">
        <f t="shared" si="164"/>
        <v>0</v>
      </c>
      <c r="AI362" s="320">
        <f t="shared" si="164"/>
        <v>0</v>
      </c>
      <c r="AJ362" s="320">
        <f t="shared" si="164"/>
        <v>0</v>
      </c>
      <c r="AK362" s="320">
        <f t="shared" si="164"/>
        <v>0</v>
      </c>
      <c r="AL362" s="320">
        <f t="shared" si="164"/>
        <v>0</v>
      </c>
      <c r="AM362" s="320">
        <f t="shared" si="164"/>
        <v>0</v>
      </c>
      <c r="AN362" s="320">
        <f t="shared" si="164"/>
        <v>0</v>
      </c>
      <c r="AO362" s="320">
        <f t="shared" si="164"/>
        <v>0</v>
      </c>
      <c r="AP362" s="320">
        <f t="shared" si="164"/>
        <v>0</v>
      </c>
      <c r="AQ362" s="320">
        <f t="shared" si="164"/>
        <v>0</v>
      </c>
      <c r="AR362" s="320">
        <f t="shared" si="164"/>
        <v>0</v>
      </c>
      <c r="AS362" s="320">
        <f t="shared" si="164"/>
        <v>0</v>
      </c>
      <c r="AT362" s="320">
        <f t="shared" si="164"/>
        <v>0</v>
      </c>
      <c r="AU362" s="320">
        <f t="shared" si="164"/>
        <v>0</v>
      </c>
      <c r="AV362" s="320">
        <f t="shared" si="164"/>
        <v>0</v>
      </c>
    </row>
    <row r="363" spans="1:48" s="320" customFormat="1" ht="15" customHeight="1">
      <c r="A363" s="351"/>
      <c r="B363" s="134"/>
      <c r="C363" s="322"/>
      <c r="D363" s="724"/>
      <c r="E363" s="320" t="str">
        <f t="shared" ref="E363:AV363" si="165" xml:space="preserve"> E346</f>
        <v>Operating costs FS period</v>
      </c>
      <c r="F363" s="320">
        <f t="shared" si="165"/>
        <v>0</v>
      </c>
      <c r="G363" s="320" t="str">
        <f t="shared" si="165"/>
        <v>$ mn</v>
      </c>
      <c r="H363" s="320">
        <f t="shared" si="165"/>
        <v>0</v>
      </c>
      <c r="I363" s="320">
        <f t="shared" si="165"/>
        <v>0</v>
      </c>
      <c r="J363" s="320">
        <f t="shared" si="165"/>
        <v>0</v>
      </c>
      <c r="K363" s="320">
        <f t="shared" si="165"/>
        <v>0</v>
      </c>
      <c r="L363" s="320">
        <f t="shared" si="165"/>
        <v>0</v>
      </c>
      <c r="M363" s="320">
        <f t="shared" si="165"/>
        <v>0</v>
      </c>
      <c r="N363" s="320">
        <f t="shared" si="165"/>
        <v>0</v>
      </c>
      <c r="O363" s="320">
        <f t="shared" si="165"/>
        <v>0</v>
      </c>
      <c r="P363" s="320">
        <f t="shared" si="165"/>
        <v>0</v>
      </c>
      <c r="Q363" s="320">
        <f t="shared" si="165"/>
        <v>0</v>
      </c>
      <c r="R363" s="320">
        <f t="shared" si="165"/>
        <v>432.34975533242329</v>
      </c>
      <c r="S363" s="320">
        <f t="shared" si="165"/>
        <v>563.86968273401851</v>
      </c>
      <c r="T363" s="320">
        <f t="shared" si="165"/>
        <v>806.95561953116135</v>
      </c>
      <c r="U363" s="320">
        <f t="shared" si="165"/>
        <v>980.90533653037528</v>
      </c>
      <c r="V363" s="320">
        <f t="shared" si="165"/>
        <v>1045.4432218671402</v>
      </c>
      <c r="W363" s="320">
        <f t="shared" si="165"/>
        <v>1199.2561401587307</v>
      </c>
      <c r="X363" s="320">
        <f t="shared" si="165"/>
        <v>1235.2970237000936</v>
      </c>
      <c r="Y363" s="320">
        <f t="shared" si="165"/>
        <v>1125.1808936331668</v>
      </c>
      <c r="Z363" s="320">
        <f t="shared" si="165"/>
        <v>1134.5764767086639</v>
      </c>
      <c r="AA363" s="320">
        <f t="shared" si="165"/>
        <v>1178.5061704732586</v>
      </c>
      <c r="AB363" s="320">
        <f t="shared" si="165"/>
        <v>1177.3476157134869</v>
      </c>
      <c r="AC363" s="320">
        <f t="shared" si="165"/>
        <v>1274.2426194881346</v>
      </c>
      <c r="AD363" s="320">
        <f t="shared" si="165"/>
        <v>1332.0006145204636</v>
      </c>
      <c r="AE363" s="320">
        <f t="shared" si="165"/>
        <v>0</v>
      </c>
      <c r="AF363" s="320">
        <f t="shared" si="165"/>
        <v>0</v>
      </c>
      <c r="AG363" s="320">
        <f t="shared" si="165"/>
        <v>0</v>
      </c>
      <c r="AH363" s="320">
        <f t="shared" si="165"/>
        <v>0</v>
      </c>
      <c r="AI363" s="320">
        <f t="shared" si="165"/>
        <v>0</v>
      </c>
      <c r="AJ363" s="320">
        <f t="shared" si="165"/>
        <v>0</v>
      </c>
      <c r="AK363" s="320">
        <f t="shared" si="165"/>
        <v>0</v>
      </c>
      <c r="AL363" s="320">
        <f t="shared" si="165"/>
        <v>0</v>
      </c>
      <c r="AM363" s="320">
        <f t="shared" si="165"/>
        <v>0</v>
      </c>
      <c r="AN363" s="320">
        <f t="shared" si="165"/>
        <v>0</v>
      </c>
      <c r="AO363" s="320">
        <f t="shared" si="165"/>
        <v>0</v>
      </c>
      <c r="AP363" s="320">
        <f t="shared" si="165"/>
        <v>0</v>
      </c>
      <c r="AQ363" s="320">
        <f t="shared" si="165"/>
        <v>0</v>
      </c>
      <c r="AR363" s="320">
        <f t="shared" si="165"/>
        <v>0</v>
      </c>
      <c r="AS363" s="320">
        <f t="shared" si="165"/>
        <v>0</v>
      </c>
      <c r="AT363" s="320">
        <f t="shared" si="165"/>
        <v>0</v>
      </c>
      <c r="AU363" s="320">
        <f t="shared" si="165"/>
        <v>0</v>
      </c>
      <c r="AV363" s="320">
        <f t="shared" si="165"/>
        <v>0</v>
      </c>
    </row>
    <row r="364" spans="1:48" s="81" customFormat="1" ht="15" customHeight="1">
      <c r="A364" s="411"/>
      <c r="B364" s="79"/>
      <c r="C364" s="80"/>
      <c r="D364" s="845"/>
      <c r="E364" s="186" t="str">
        <f xml:space="preserve"> InputsTS!E$19</f>
        <v>Operating cost Sensitivity (forecast period)</v>
      </c>
      <c r="F364" s="186">
        <f xml:space="preserve"> InputsTS!F$19</f>
        <v>0</v>
      </c>
      <c r="G364" s="186" t="str">
        <f xml:space="preserve"> InputsTS!G$19</f>
        <v>%</v>
      </c>
      <c r="H364" s="186">
        <f xml:space="preserve"> InputsTS!H$19</f>
        <v>0</v>
      </c>
      <c r="I364" s="186">
        <f xml:space="preserve"> InputsTS!I$19</f>
        <v>0</v>
      </c>
      <c r="J364" s="186">
        <f xml:space="preserve"> InputsTS!J$19</f>
        <v>0</v>
      </c>
      <c r="K364" s="186">
        <f xml:space="preserve"> InputsTS!K$19</f>
        <v>0</v>
      </c>
      <c r="L364" s="186">
        <f xml:space="preserve"> InputsTS!L$19</f>
        <v>1</v>
      </c>
      <c r="M364" s="186">
        <f xml:space="preserve"> InputsTS!M$19</f>
        <v>1</v>
      </c>
      <c r="N364" s="186">
        <f xml:space="preserve"> InputsTS!N$19</f>
        <v>1</v>
      </c>
      <c r="O364" s="186">
        <f xml:space="preserve"> InputsTS!O$19</f>
        <v>1</v>
      </c>
      <c r="P364" s="186">
        <f xml:space="preserve"> InputsTS!P$19</f>
        <v>1</v>
      </c>
      <c r="Q364" s="186">
        <f xml:space="preserve"> InputsTS!Q$19</f>
        <v>1</v>
      </c>
      <c r="R364" s="186">
        <f xml:space="preserve"> InputsTS!R$19</f>
        <v>1</v>
      </c>
      <c r="S364" s="186">
        <f xml:space="preserve"> InputsTS!S$19</f>
        <v>1</v>
      </c>
      <c r="T364" s="186">
        <f xml:space="preserve"> InputsTS!T$19</f>
        <v>1</v>
      </c>
      <c r="U364" s="186">
        <f xml:space="preserve"> InputsTS!U$19</f>
        <v>1</v>
      </c>
      <c r="V364" s="186">
        <f xml:space="preserve"> InputsTS!V$19</f>
        <v>1</v>
      </c>
      <c r="W364" s="186">
        <f xml:space="preserve"> InputsTS!W$19</f>
        <v>1</v>
      </c>
      <c r="X364" s="186">
        <f xml:space="preserve"> InputsTS!X$19</f>
        <v>1</v>
      </c>
      <c r="Y364" s="186">
        <f xml:space="preserve"> InputsTS!Y$19</f>
        <v>1</v>
      </c>
      <c r="Z364" s="186">
        <f xml:space="preserve"> InputsTS!Z$19</f>
        <v>1</v>
      </c>
      <c r="AA364" s="186">
        <f xml:space="preserve"> InputsTS!AA$19</f>
        <v>1</v>
      </c>
      <c r="AB364" s="186">
        <f xml:space="preserve"> InputsTS!AB$19</f>
        <v>1</v>
      </c>
      <c r="AC364" s="186">
        <f xml:space="preserve"> InputsTS!AC$19</f>
        <v>1</v>
      </c>
      <c r="AD364" s="186">
        <f xml:space="preserve"> InputsTS!AD$19</f>
        <v>1</v>
      </c>
      <c r="AE364" s="186">
        <f xml:space="preserve"> InputsTS!AE$19</f>
        <v>1</v>
      </c>
      <c r="AF364" s="186">
        <f xml:space="preserve"> InputsTS!AF$19</f>
        <v>1</v>
      </c>
      <c r="AG364" s="186">
        <f xml:space="preserve"> InputsTS!AG$19</f>
        <v>1</v>
      </c>
      <c r="AH364" s="186">
        <f xml:space="preserve"> InputsTS!AH$19</f>
        <v>1</v>
      </c>
      <c r="AI364" s="186">
        <f xml:space="preserve"> InputsTS!AI$19</f>
        <v>1</v>
      </c>
      <c r="AJ364" s="186">
        <f xml:space="preserve"> InputsTS!AJ$19</f>
        <v>1</v>
      </c>
      <c r="AK364" s="186">
        <f xml:space="preserve"> InputsTS!AK$19</f>
        <v>1</v>
      </c>
      <c r="AL364" s="186">
        <f xml:space="preserve"> InputsTS!AL$19</f>
        <v>1</v>
      </c>
      <c r="AM364" s="186">
        <f xml:space="preserve"> InputsTS!AM$19</f>
        <v>1</v>
      </c>
      <c r="AN364" s="186">
        <f xml:space="preserve"> InputsTS!AN$19</f>
        <v>1</v>
      </c>
      <c r="AO364" s="186">
        <f xml:space="preserve"> InputsTS!AO$19</f>
        <v>1</v>
      </c>
      <c r="AP364" s="186">
        <f xml:space="preserve"> InputsTS!AP$19</f>
        <v>1</v>
      </c>
      <c r="AQ364" s="186">
        <f xml:space="preserve"> InputsTS!AQ$19</f>
        <v>1</v>
      </c>
      <c r="AR364" s="186">
        <f xml:space="preserve"> InputsTS!AR$19</f>
        <v>1</v>
      </c>
      <c r="AS364" s="186">
        <f xml:space="preserve"> InputsTS!AS$19</f>
        <v>1</v>
      </c>
      <c r="AT364" s="186">
        <f xml:space="preserve"> InputsTS!AT$19</f>
        <v>1</v>
      </c>
      <c r="AU364" s="186">
        <f xml:space="preserve"> InputsTS!AU$19</f>
        <v>1</v>
      </c>
      <c r="AV364" s="186">
        <f xml:space="preserve"> InputsTS!AV$19</f>
        <v>1</v>
      </c>
    </row>
    <row r="365" spans="1:48" s="320" customFormat="1" ht="15" customHeight="1">
      <c r="A365" s="351"/>
      <c r="B365" s="134"/>
      <c r="C365" s="322"/>
      <c r="D365" s="724"/>
      <c r="E365" s="807" t="s">
        <v>659</v>
      </c>
      <c r="F365" s="807"/>
      <c r="G365" s="807" t="s">
        <v>29</v>
      </c>
      <c r="H365" s="807"/>
      <c r="I365" s="807"/>
      <c r="J365" s="807">
        <f xml:space="preserve"> SUM(L365:AV365)</f>
        <v>14098.626908392755</v>
      </c>
      <c r="K365" s="807"/>
      <c r="L365" s="807">
        <f t="shared" ref="L365:AV365" si="166" xml:space="preserve"> SUM(L362:L363) * L364</f>
        <v>0</v>
      </c>
      <c r="M365" s="807">
        <f t="shared" si="166"/>
        <v>0</v>
      </c>
      <c r="N365" s="807">
        <f t="shared" si="166"/>
        <v>0</v>
      </c>
      <c r="O365" s="807">
        <f t="shared" si="166"/>
        <v>0</v>
      </c>
      <c r="P365" s="807">
        <f t="shared" si="166"/>
        <v>46.775406120166977</v>
      </c>
      <c r="Q365" s="807">
        <f t="shared" si="166"/>
        <v>565.92033188147025</v>
      </c>
      <c r="R365" s="807">
        <f t="shared" si="166"/>
        <v>432.34975533242329</v>
      </c>
      <c r="S365" s="807">
        <f t="shared" si="166"/>
        <v>563.86968273401851</v>
      </c>
      <c r="T365" s="807">
        <f t="shared" si="166"/>
        <v>806.95561953116135</v>
      </c>
      <c r="U365" s="807">
        <f t="shared" si="166"/>
        <v>980.90533653037528</v>
      </c>
      <c r="V365" s="807">
        <f t="shared" si="166"/>
        <v>1045.4432218671402</v>
      </c>
      <c r="W365" s="807">
        <f t="shared" si="166"/>
        <v>1199.2561401587307</v>
      </c>
      <c r="X365" s="807">
        <f t="shared" si="166"/>
        <v>1235.2970237000936</v>
      </c>
      <c r="Y365" s="807">
        <f t="shared" si="166"/>
        <v>1125.1808936331668</v>
      </c>
      <c r="Z365" s="807">
        <f t="shared" si="166"/>
        <v>1134.5764767086639</v>
      </c>
      <c r="AA365" s="807">
        <f t="shared" si="166"/>
        <v>1178.5061704732586</v>
      </c>
      <c r="AB365" s="807">
        <f t="shared" si="166"/>
        <v>1177.3476157134869</v>
      </c>
      <c r="AC365" s="807">
        <f t="shared" si="166"/>
        <v>1274.2426194881346</v>
      </c>
      <c r="AD365" s="807">
        <f t="shared" si="166"/>
        <v>1332.0006145204636</v>
      </c>
      <c r="AE365" s="807">
        <f t="shared" si="166"/>
        <v>0</v>
      </c>
      <c r="AF365" s="807">
        <f t="shared" si="166"/>
        <v>0</v>
      </c>
      <c r="AG365" s="807">
        <f t="shared" si="166"/>
        <v>0</v>
      </c>
      <c r="AH365" s="807">
        <f t="shared" si="166"/>
        <v>0</v>
      </c>
      <c r="AI365" s="807">
        <f t="shared" si="166"/>
        <v>0</v>
      </c>
      <c r="AJ365" s="807">
        <f t="shared" si="166"/>
        <v>0</v>
      </c>
      <c r="AK365" s="807">
        <f t="shared" si="166"/>
        <v>0</v>
      </c>
      <c r="AL365" s="807">
        <f t="shared" si="166"/>
        <v>0</v>
      </c>
      <c r="AM365" s="807">
        <f t="shared" si="166"/>
        <v>0</v>
      </c>
      <c r="AN365" s="807">
        <f t="shared" si="166"/>
        <v>0</v>
      </c>
      <c r="AO365" s="807">
        <f t="shared" si="166"/>
        <v>0</v>
      </c>
      <c r="AP365" s="807">
        <f t="shared" si="166"/>
        <v>0</v>
      </c>
      <c r="AQ365" s="807">
        <f t="shared" si="166"/>
        <v>0</v>
      </c>
      <c r="AR365" s="807">
        <f t="shared" si="166"/>
        <v>0</v>
      </c>
      <c r="AS365" s="807">
        <f t="shared" si="166"/>
        <v>0</v>
      </c>
      <c r="AT365" s="807">
        <f t="shared" si="166"/>
        <v>0</v>
      </c>
      <c r="AU365" s="807">
        <f t="shared" si="166"/>
        <v>0</v>
      </c>
      <c r="AV365" s="807">
        <f t="shared" si="166"/>
        <v>0</v>
      </c>
    </row>
    <row r="366" spans="1:48" s="320" customFormat="1" ht="15" customHeight="1">
      <c r="A366" s="351"/>
      <c r="B366" s="134"/>
      <c r="C366" s="322"/>
      <c r="D366" s="724"/>
    </row>
    <row r="367" spans="1:48" s="320" customFormat="1" ht="15" customHeight="1">
      <c r="A367" s="351"/>
      <c r="B367" s="134"/>
      <c r="C367" s="322" t="s">
        <v>1274</v>
      </c>
      <c r="D367" s="724"/>
    </row>
    <row r="368" spans="1:48" s="320" customFormat="1" ht="15" customHeight="1">
      <c r="A368" s="351"/>
      <c r="B368" s="134"/>
      <c r="C368" s="322"/>
      <c r="D368" s="724"/>
      <c r="E368" s="132" t="str">
        <f xml:space="preserve"> Scenarios!B$52</f>
        <v>Focus year for sensitivity analysis</v>
      </c>
      <c r="F368" s="802">
        <f xml:space="preserve"> Scenarios!C$52</f>
        <v>2022</v>
      </c>
      <c r="G368" s="132" t="str">
        <f xml:space="preserve"> Scenarios!D$52</f>
        <v>year</v>
      </c>
    </row>
    <row r="369" spans="1:48" s="320" customFormat="1" ht="15" customHeight="1">
      <c r="A369" s="351"/>
      <c r="B369" s="134"/>
      <c r="C369" s="322"/>
      <c r="D369" s="724"/>
      <c r="E369" s="320" t="str">
        <f xml:space="preserve"> E$356</f>
        <v>Average unit cost</v>
      </c>
      <c r="F369" s="320">
        <f xml:space="preserve"> F$356</f>
        <v>4958.1908896776104</v>
      </c>
      <c r="G369" s="320" t="str">
        <f xml:space="preserve"> G$356</f>
        <v>$ / tonne</v>
      </c>
    </row>
    <row r="370" spans="1:48" s="320" customFormat="1" ht="15" customHeight="1">
      <c r="A370" s="351"/>
      <c r="B370" s="134"/>
      <c r="C370" s="322"/>
      <c r="D370" s="724"/>
      <c r="E370" s="610" t="str">
        <f xml:space="preserve"> 'T&amp;E'!E$42</f>
        <v>USD CPI Inflation (incl forecast) from 2019</v>
      </c>
      <c r="F370" s="610">
        <f xml:space="preserve"> 'T&amp;E'!F$42</f>
        <v>0</v>
      </c>
      <c r="G370" s="610" t="str">
        <f xml:space="preserve"> 'T&amp;E'!G$42</f>
        <v>index</v>
      </c>
      <c r="H370" s="610">
        <f xml:space="preserve"> 'T&amp;E'!H$42</f>
        <v>0</v>
      </c>
      <c r="I370" s="610">
        <f xml:space="preserve"> 'T&amp;E'!I$42</f>
        <v>0</v>
      </c>
      <c r="J370" s="610">
        <f xml:space="preserve"> 'T&amp;E'!J$42</f>
        <v>0</v>
      </c>
      <c r="K370" s="610">
        <f xml:space="preserve"> 'T&amp;E'!K$42</f>
        <v>0</v>
      </c>
      <c r="L370" s="610">
        <f xml:space="preserve"> 'T&amp;E'!L$42</f>
        <v>1</v>
      </c>
      <c r="M370" s="610">
        <f xml:space="preserve"> 'T&amp;E'!M$42</f>
        <v>1</v>
      </c>
      <c r="N370" s="610">
        <f xml:space="preserve"> 'T&amp;E'!N$42</f>
        <v>1</v>
      </c>
      <c r="O370" s="610">
        <f xml:space="preserve"> 'T&amp;E'!O$42</f>
        <v>1</v>
      </c>
      <c r="P370" s="610">
        <f xml:space="preserve"> 'T&amp;E'!P$42</f>
        <v>1</v>
      </c>
      <c r="Q370" s="610">
        <f xml:space="preserve"> 'T&amp;E'!Q$42</f>
        <v>1</v>
      </c>
      <c r="R370" s="610">
        <f xml:space="preserve"> 'T&amp;E'!R$42</f>
        <v>1.0125287010127009</v>
      </c>
      <c r="S370" s="610">
        <f xml:space="preserve"> 'T&amp;E'!S$42</f>
        <v>1.0599054186729671</v>
      </c>
      <c r="T370" s="610">
        <f xml:space="preserve"> 'T&amp;E'!T$42</f>
        <v>1.1446179000442005</v>
      </c>
      <c r="U370" s="610">
        <f xml:space="preserve"> 'T&amp;E'!U$42</f>
        <v>1.1918655364889128</v>
      </c>
      <c r="V370" s="610">
        <f xml:space="preserve"> 'T&amp;E'!V$42</f>
        <v>1.2270460350553289</v>
      </c>
      <c r="W370" s="610">
        <f xml:space="preserve"> 'T&amp;E'!W$42</f>
        <v>1.2637051002726352</v>
      </c>
      <c r="X370" s="610">
        <f xml:space="preserve"> 'T&amp;E'!X$42</f>
        <v>1.2948606118449619</v>
      </c>
      <c r="Y370" s="610">
        <f xml:space="preserve"> 'T&amp;E'!Y$42</f>
        <v>1.3221867140225227</v>
      </c>
      <c r="Z370" s="610">
        <f xml:space="preserve"> 'T&amp;E'!Z$42</f>
        <v>1.3506862817960283</v>
      </c>
      <c r="AA370" s="610">
        <f xml:space="preserve"> 'T&amp;E'!AA$42</f>
        <v>1.379983806174776</v>
      </c>
      <c r="AB370" s="610">
        <f xml:space="preserve"> 'T&amp;E'!AB$42</f>
        <v>1.4099971445670501</v>
      </c>
      <c r="AC370" s="610">
        <f xml:space="preserve"> 'T&amp;E'!AC$42</f>
        <v>1.4381970874583911</v>
      </c>
      <c r="AD370" s="610">
        <f xml:space="preserve"> 'T&amp;E'!AD$42</f>
        <v>1.466961029207559</v>
      </c>
      <c r="AE370" s="610">
        <f xml:space="preserve"> 'T&amp;E'!AE$42</f>
        <v>1.4963002497917102</v>
      </c>
      <c r="AF370" s="610">
        <f xml:space="preserve"> 'T&amp;E'!AF$42</f>
        <v>1.5262262547875443</v>
      </c>
      <c r="AG370" s="610">
        <f xml:space="preserve"> 'T&amp;E'!AG$42</f>
        <v>1.5567507798832954</v>
      </c>
      <c r="AH370" s="610">
        <f xml:space="preserve"> 'T&amp;E'!AH$42</f>
        <v>1.5878857954809611</v>
      </c>
      <c r="AI370" s="610">
        <f xml:space="preserve"> 'T&amp;E'!AI$42</f>
        <v>1.6196435113905805</v>
      </c>
      <c r="AJ370" s="610">
        <f xml:space="preserve"> 'T&amp;E'!AJ$42</f>
        <v>1.6520363816183923</v>
      </c>
      <c r="AK370" s="610">
        <f xml:space="preserve"> 'T&amp;E'!AK$42</f>
        <v>1.6850771092507602</v>
      </c>
      <c r="AL370" s="610">
        <f xml:space="preserve"> 'T&amp;E'!AL$42</f>
        <v>1.7187786514357755</v>
      </c>
      <c r="AM370" s="610">
        <f xml:space="preserve"> 'T&amp;E'!AM$42</f>
        <v>1.7531542244644909</v>
      </c>
      <c r="AN370" s="610">
        <f xml:space="preserve"> 'T&amp;E'!AN$42</f>
        <v>1.7882173089537807</v>
      </c>
      <c r="AO370" s="610">
        <f xml:space="preserve"> 'T&amp;E'!AO$42</f>
        <v>1.8239816551328565</v>
      </c>
      <c r="AP370" s="610">
        <f xml:space="preserve"> 'T&amp;E'!AP$42</f>
        <v>1.8604612882355136</v>
      </c>
      <c r="AQ370" s="610">
        <f xml:space="preserve"> 'T&amp;E'!AQ$42</f>
        <v>1.8976705140002237</v>
      </c>
      <c r="AR370" s="610">
        <f xml:space="preserve"> 'T&amp;E'!AR$42</f>
        <v>1.9356239242802284</v>
      </c>
      <c r="AS370" s="610">
        <f xml:space="preserve"> 'T&amp;E'!AS$42</f>
        <v>1.974336402765833</v>
      </c>
      <c r="AT370" s="610">
        <f xml:space="preserve"> 'T&amp;E'!AT$42</f>
        <v>2.0138231308211498</v>
      </c>
      <c r="AU370" s="610">
        <f xml:space="preserve"> 'T&amp;E'!AU$42</f>
        <v>2.0540995934375732</v>
      </c>
      <c r="AV370" s="610">
        <f xml:space="preserve"> 'T&amp;E'!AV$42</f>
        <v>2.0951815853063245</v>
      </c>
    </row>
    <row r="371" spans="1:48" s="320" customFormat="1" ht="15" customHeight="1">
      <c r="A371" s="351"/>
      <c r="B371" s="134"/>
      <c r="C371" s="322"/>
      <c r="D371" s="724"/>
      <c r="E371" s="320" t="s">
        <v>1275</v>
      </c>
      <c r="G371" s="320" t="s">
        <v>14</v>
      </c>
      <c r="L371" s="320">
        <f t="shared" ref="L371:AV371" si="167" xml:space="preserve"> IF(L2&lt;=$F$368,0,$F$369*L370)</f>
        <v>0</v>
      </c>
      <c r="M371" s="320">
        <f t="shared" si="167"/>
        <v>0</v>
      </c>
      <c r="N371" s="320">
        <f t="shared" si="167"/>
        <v>0</v>
      </c>
      <c r="O371" s="320">
        <f t="shared" si="167"/>
        <v>0</v>
      </c>
      <c r="P371" s="320">
        <f t="shared" si="167"/>
        <v>0</v>
      </c>
      <c r="Q371" s="320">
        <f t="shared" si="167"/>
        <v>0</v>
      </c>
      <c r="R371" s="320">
        <f t="shared" si="167"/>
        <v>0</v>
      </c>
      <c r="S371" s="320">
        <f t="shared" si="167"/>
        <v>0</v>
      </c>
      <c r="T371" s="320">
        <f t="shared" si="167"/>
        <v>0</v>
      </c>
      <c r="U371" s="320">
        <f t="shared" si="167"/>
        <v>5909.4968447400452</v>
      </c>
      <c r="V371" s="320">
        <f t="shared" si="167"/>
        <v>6083.9284722263656</v>
      </c>
      <c r="W371" s="320">
        <f t="shared" si="167"/>
        <v>6265.6911154109112</v>
      </c>
      <c r="X371" s="320">
        <f t="shared" si="167"/>
        <v>6420.166089052067</v>
      </c>
      <c r="Y371" s="320">
        <f t="shared" si="167"/>
        <v>6555.6541199192479</v>
      </c>
      <c r="Z371" s="320">
        <f t="shared" si="167"/>
        <v>6696.9604172135932</v>
      </c>
      <c r="AA371" s="320">
        <f t="shared" si="167"/>
        <v>6842.2231356784077</v>
      </c>
      <c r="AB371" s="320">
        <f t="shared" si="167"/>
        <v>6991.0349966637923</v>
      </c>
      <c r="AC371" s="320">
        <f t="shared" si="167"/>
        <v>7130.8556965970683</v>
      </c>
      <c r="AD371" s="320">
        <f t="shared" si="167"/>
        <v>7273.4728105290096</v>
      </c>
      <c r="AE371" s="320">
        <f t="shared" si="167"/>
        <v>7418.9422667395902</v>
      </c>
      <c r="AF371" s="320">
        <f t="shared" si="167"/>
        <v>7567.3211120743808</v>
      </c>
      <c r="AG371" s="320">
        <f t="shared" si="167"/>
        <v>7718.6675343158704</v>
      </c>
      <c r="AH371" s="320">
        <f t="shared" si="167"/>
        <v>7873.0408850021868</v>
      </c>
      <c r="AI371" s="320">
        <f t="shared" si="167"/>
        <v>8030.5017027022313</v>
      </c>
      <c r="AJ371" s="320">
        <f t="shared" si="167"/>
        <v>8191.1117367562765</v>
      </c>
      <c r="AK371" s="320">
        <f t="shared" si="167"/>
        <v>8354.9339714914022</v>
      </c>
      <c r="AL371" s="320">
        <f t="shared" si="167"/>
        <v>8522.03265092123</v>
      </c>
      <c r="AM371" s="320">
        <f t="shared" si="167"/>
        <v>8692.4733039396542</v>
      </c>
      <c r="AN371" s="320">
        <f t="shared" si="167"/>
        <v>8866.3227700184489</v>
      </c>
      <c r="AO371" s="320">
        <f t="shared" si="167"/>
        <v>9043.6492254188179</v>
      </c>
      <c r="AP371" s="320">
        <f t="shared" si="167"/>
        <v>9224.5222099271941</v>
      </c>
      <c r="AQ371" s="320">
        <f t="shared" si="167"/>
        <v>9409.0126541257378</v>
      </c>
      <c r="AR371" s="320">
        <f t="shared" si="167"/>
        <v>9597.192907208253</v>
      </c>
      <c r="AS371" s="320">
        <f t="shared" si="167"/>
        <v>9789.1367653524176</v>
      </c>
      <c r="AT371" s="320">
        <f t="shared" si="167"/>
        <v>9984.9195006594673</v>
      </c>
      <c r="AU371" s="320">
        <f t="shared" si="167"/>
        <v>10184.617890672658</v>
      </c>
      <c r="AV371" s="320">
        <f t="shared" si="167"/>
        <v>10388.31024848611</v>
      </c>
    </row>
    <row r="372" spans="1:48" s="320" customFormat="1" ht="15" customHeight="1">
      <c r="A372" s="351"/>
      <c r="B372" s="134"/>
      <c r="C372" s="322"/>
      <c r="D372" s="724"/>
    </row>
    <row r="373" spans="1:48" s="320" customFormat="1" ht="15" customHeight="1">
      <c r="A373" s="351"/>
      <c r="B373" s="134"/>
      <c r="C373" s="322"/>
      <c r="D373" s="724"/>
      <c r="E373" s="560" t="str">
        <f t="shared" ref="E373:AV373" si="168" xml:space="preserve"> E$355</f>
        <v>Comparable Period opex</v>
      </c>
      <c r="F373" s="560">
        <f t="shared" si="168"/>
        <v>0</v>
      </c>
      <c r="G373" s="560">
        <f t="shared" si="168"/>
        <v>0</v>
      </c>
      <c r="H373" s="560">
        <f t="shared" si="168"/>
        <v>0</v>
      </c>
      <c r="I373" s="560">
        <f t="shared" si="168"/>
        <v>0</v>
      </c>
      <c r="J373" s="560">
        <f t="shared" si="168"/>
        <v>0</v>
      </c>
      <c r="K373" s="560">
        <f t="shared" si="168"/>
        <v>0</v>
      </c>
      <c r="L373" s="560">
        <f t="shared" si="168"/>
        <v>0</v>
      </c>
      <c r="M373" s="560">
        <f t="shared" si="168"/>
        <v>0</v>
      </c>
      <c r="N373" s="560">
        <f t="shared" si="168"/>
        <v>0</v>
      </c>
      <c r="O373" s="560">
        <f t="shared" si="168"/>
        <v>0</v>
      </c>
      <c r="P373" s="560">
        <f t="shared" si="168"/>
        <v>0</v>
      </c>
      <c r="Q373" s="560">
        <f t="shared" si="168"/>
        <v>0</v>
      </c>
      <c r="R373" s="560">
        <f t="shared" si="168"/>
        <v>4415.5360688285909</v>
      </c>
      <c r="S373" s="560">
        <f t="shared" si="168"/>
        <v>4604.1870407712877</v>
      </c>
      <c r="T373" s="560">
        <f t="shared" si="168"/>
        <v>5854.8495594329515</v>
      </c>
      <c r="U373" s="560">
        <f t="shared" si="168"/>
        <v>0</v>
      </c>
      <c r="V373" s="560">
        <f t="shared" si="168"/>
        <v>0</v>
      </c>
      <c r="W373" s="560">
        <f t="shared" si="168"/>
        <v>0</v>
      </c>
      <c r="X373" s="560">
        <f t="shared" si="168"/>
        <v>0</v>
      </c>
      <c r="Y373" s="560">
        <f t="shared" si="168"/>
        <v>0</v>
      </c>
      <c r="Z373" s="560">
        <f t="shared" si="168"/>
        <v>0</v>
      </c>
      <c r="AA373" s="560">
        <f t="shared" si="168"/>
        <v>0</v>
      </c>
      <c r="AB373" s="560">
        <f t="shared" si="168"/>
        <v>0</v>
      </c>
      <c r="AC373" s="560">
        <f t="shared" si="168"/>
        <v>0</v>
      </c>
      <c r="AD373" s="560">
        <f t="shared" si="168"/>
        <v>0</v>
      </c>
      <c r="AE373" s="560">
        <f t="shared" si="168"/>
        <v>0</v>
      </c>
      <c r="AF373" s="560">
        <f t="shared" si="168"/>
        <v>0</v>
      </c>
      <c r="AG373" s="560">
        <f t="shared" si="168"/>
        <v>0</v>
      </c>
      <c r="AH373" s="560">
        <f t="shared" si="168"/>
        <v>0</v>
      </c>
      <c r="AI373" s="560">
        <f t="shared" si="168"/>
        <v>0</v>
      </c>
      <c r="AJ373" s="560">
        <f t="shared" si="168"/>
        <v>0</v>
      </c>
      <c r="AK373" s="560">
        <f t="shared" si="168"/>
        <v>0</v>
      </c>
      <c r="AL373" s="560">
        <f t="shared" si="168"/>
        <v>0</v>
      </c>
      <c r="AM373" s="560">
        <f t="shared" si="168"/>
        <v>0</v>
      </c>
      <c r="AN373" s="560">
        <f t="shared" si="168"/>
        <v>0</v>
      </c>
      <c r="AO373" s="560">
        <f t="shared" si="168"/>
        <v>0</v>
      </c>
      <c r="AP373" s="560">
        <f t="shared" si="168"/>
        <v>0</v>
      </c>
      <c r="AQ373" s="560">
        <f t="shared" si="168"/>
        <v>0</v>
      </c>
      <c r="AR373" s="560">
        <f t="shared" si="168"/>
        <v>0</v>
      </c>
      <c r="AS373" s="560">
        <f t="shared" si="168"/>
        <v>0</v>
      </c>
      <c r="AT373" s="560">
        <f t="shared" si="168"/>
        <v>0</v>
      </c>
      <c r="AU373" s="560">
        <f t="shared" si="168"/>
        <v>0</v>
      </c>
      <c r="AV373" s="560">
        <f t="shared" si="168"/>
        <v>0</v>
      </c>
    </row>
    <row r="374" spans="1:48" s="320" customFormat="1" ht="15" customHeight="1">
      <c r="A374" s="351"/>
      <c r="B374" s="134"/>
      <c r="C374" s="322"/>
      <c r="D374" s="724"/>
      <c r="E374" s="320" t="str">
        <f t="shared" ref="E374:AV374" si="169" xml:space="preserve"> E$371</f>
        <v>Operating Costs alternative scenario</v>
      </c>
      <c r="F374" s="320">
        <f t="shared" si="169"/>
        <v>0</v>
      </c>
      <c r="G374" s="320" t="str">
        <f t="shared" si="169"/>
        <v>$ / tonne</v>
      </c>
      <c r="H374" s="320">
        <f t="shared" si="169"/>
        <v>0</v>
      </c>
      <c r="I374" s="320">
        <f t="shared" si="169"/>
        <v>0</v>
      </c>
      <c r="J374" s="320">
        <f t="shared" si="169"/>
        <v>0</v>
      </c>
      <c r="K374" s="320">
        <f t="shared" si="169"/>
        <v>0</v>
      </c>
      <c r="L374" s="320">
        <f t="shared" si="169"/>
        <v>0</v>
      </c>
      <c r="M374" s="320">
        <f t="shared" si="169"/>
        <v>0</v>
      </c>
      <c r="N374" s="320">
        <f t="shared" si="169"/>
        <v>0</v>
      </c>
      <c r="O374" s="320">
        <f t="shared" si="169"/>
        <v>0</v>
      </c>
      <c r="P374" s="320">
        <f t="shared" si="169"/>
        <v>0</v>
      </c>
      <c r="Q374" s="320">
        <f t="shared" si="169"/>
        <v>0</v>
      </c>
      <c r="R374" s="320">
        <f t="shared" si="169"/>
        <v>0</v>
      </c>
      <c r="S374" s="320">
        <f t="shared" si="169"/>
        <v>0</v>
      </c>
      <c r="T374" s="320">
        <f t="shared" si="169"/>
        <v>0</v>
      </c>
      <c r="U374" s="320">
        <f t="shared" si="169"/>
        <v>5909.4968447400452</v>
      </c>
      <c r="V374" s="320">
        <f t="shared" si="169"/>
        <v>6083.9284722263656</v>
      </c>
      <c r="W374" s="320">
        <f t="shared" si="169"/>
        <v>6265.6911154109112</v>
      </c>
      <c r="X374" s="320">
        <f t="shared" si="169"/>
        <v>6420.166089052067</v>
      </c>
      <c r="Y374" s="320">
        <f t="shared" si="169"/>
        <v>6555.6541199192479</v>
      </c>
      <c r="Z374" s="320">
        <f t="shared" si="169"/>
        <v>6696.9604172135932</v>
      </c>
      <c r="AA374" s="320">
        <f t="shared" si="169"/>
        <v>6842.2231356784077</v>
      </c>
      <c r="AB374" s="320">
        <f t="shared" si="169"/>
        <v>6991.0349966637923</v>
      </c>
      <c r="AC374" s="320">
        <f t="shared" si="169"/>
        <v>7130.8556965970683</v>
      </c>
      <c r="AD374" s="320">
        <f t="shared" si="169"/>
        <v>7273.4728105290096</v>
      </c>
      <c r="AE374" s="320">
        <f t="shared" si="169"/>
        <v>7418.9422667395902</v>
      </c>
      <c r="AF374" s="320">
        <f t="shared" si="169"/>
        <v>7567.3211120743808</v>
      </c>
      <c r="AG374" s="320">
        <f t="shared" si="169"/>
        <v>7718.6675343158704</v>
      </c>
      <c r="AH374" s="320">
        <f t="shared" si="169"/>
        <v>7873.0408850021868</v>
      </c>
      <c r="AI374" s="320">
        <f t="shared" si="169"/>
        <v>8030.5017027022313</v>
      </c>
      <c r="AJ374" s="320">
        <f t="shared" si="169"/>
        <v>8191.1117367562765</v>
      </c>
      <c r="AK374" s="320">
        <f t="shared" si="169"/>
        <v>8354.9339714914022</v>
      </c>
      <c r="AL374" s="320">
        <f t="shared" si="169"/>
        <v>8522.03265092123</v>
      </c>
      <c r="AM374" s="320">
        <f t="shared" si="169"/>
        <v>8692.4733039396542</v>
      </c>
      <c r="AN374" s="320">
        <f t="shared" si="169"/>
        <v>8866.3227700184489</v>
      </c>
      <c r="AO374" s="320">
        <f t="shared" si="169"/>
        <v>9043.6492254188179</v>
      </c>
      <c r="AP374" s="320">
        <f t="shared" si="169"/>
        <v>9224.5222099271941</v>
      </c>
      <c r="AQ374" s="320">
        <f t="shared" si="169"/>
        <v>9409.0126541257378</v>
      </c>
      <c r="AR374" s="320">
        <f t="shared" si="169"/>
        <v>9597.192907208253</v>
      </c>
      <c r="AS374" s="320">
        <f t="shared" si="169"/>
        <v>9789.1367653524176</v>
      </c>
      <c r="AT374" s="320">
        <f t="shared" si="169"/>
        <v>9984.9195006594673</v>
      </c>
      <c r="AU374" s="320">
        <f t="shared" si="169"/>
        <v>10184.617890672658</v>
      </c>
      <c r="AV374" s="320">
        <f t="shared" si="169"/>
        <v>10388.31024848611</v>
      </c>
    </row>
    <row r="375" spans="1:48" s="320" customFormat="1" ht="15" customHeight="1">
      <c r="A375" s="351"/>
      <c r="B375" s="134"/>
      <c r="C375" s="322"/>
      <c r="D375" s="724"/>
      <c r="E375" s="320" t="s">
        <v>1276</v>
      </c>
      <c r="G375" s="320" t="s">
        <v>14</v>
      </c>
      <c r="L375" s="320">
        <f t="shared" ref="L375:AV375" si="170" xml:space="preserve"> L373 + L374</f>
        <v>0</v>
      </c>
      <c r="M375" s="320">
        <f t="shared" si="170"/>
        <v>0</v>
      </c>
      <c r="N375" s="320">
        <f t="shared" si="170"/>
        <v>0</v>
      </c>
      <c r="O375" s="320">
        <f t="shared" si="170"/>
        <v>0</v>
      </c>
      <c r="P375" s="320">
        <f t="shared" si="170"/>
        <v>0</v>
      </c>
      <c r="Q375" s="320">
        <f t="shared" si="170"/>
        <v>0</v>
      </c>
      <c r="R375" s="320">
        <f t="shared" si="170"/>
        <v>4415.5360688285909</v>
      </c>
      <c r="S375" s="320">
        <f t="shared" si="170"/>
        <v>4604.1870407712877</v>
      </c>
      <c r="T375" s="320">
        <f t="shared" si="170"/>
        <v>5854.8495594329515</v>
      </c>
      <c r="U375" s="320">
        <f t="shared" si="170"/>
        <v>5909.4968447400452</v>
      </c>
      <c r="V375" s="320">
        <f t="shared" si="170"/>
        <v>6083.9284722263656</v>
      </c>
      <c r="W375" s="320">
        <f t="shared" si="170"/>
        <v>6265.6911154109112</v>
      </c>
      <c r="X375" s="320">
        <f t="shared" si="170"/>
        <v>6420.166089052067</v>
      </c>
      <c r="Y375" s="320">
        <f t="shared" si="170"/>
        <v>6555.6541199192479</v>
      </c>
      <c r="Z375" s="320">
        <f t="shared" si="170"/>
        <v>6696.9604172135932</v>
      </c>
      <c r="AA375" s="320">
        <f t="shared" si="170"/>
        <v>6842.2231356784077</v>
      </c>
      <c r="AB375" s="320">
        <f t="shared" si="170"/>
        <v>6991.0349966637923</v>
      </c>
      <c r="AC375" s="320">
        <f t="shared" si="170"/>
        <v>7130.8556965970683</v>
      </c>
      <c r="AD375" s="320">
        <f t="shared" si="170"/>
        <v>7273.4728105290096</v>
      </c>
      <c r="AE375" s="320">
        <f t="shared" si="170"/>
        <v>7418.9422667395902</v>
      </c>
      <c r="AF375" s="320">
        <f t="shared" si="170"/>
        <v>7567.3211120743808</v>
      </c>
      <c r="AG375" s="320">
        <f t="shared" si="170"/>
        <v>7718.6675343158704</v>
      </c>
      <c r="AH375" s="320">
        <f t="shared" si="170"/>
        <v>7873.0408850021868</v>
      </c>
      <c r="AI375" s="320">
        <f t="shared" si="170"/>
        <v>8030.5017027022313</v>
      </c>
      <c r="AJ375" s="320">
        <f t="shared" si="170"/>
        <v>8191.1117367562765</v>
      </c>
      <c r="AK375" s="320">
        <f t="shared" si="170"/>
        <v>8354.9339714914022</v>
      </c>
      <c r="AL375" s="320">
        <f t="shared" si="170"/>
        <v>8522.03265092123</v>
      </c>
      <c r="AM375" s="320">
        <f t="shared" si="170"/>
        <v>8692.4733039396542</v>
      </c>
      <c r="AN375" s="320">
        <f t="shared" si="170"/>
        <v>8866.3227700184489</v>
      </c>
      <c r="AO375" s="320">
        <f t="shared" si="170"/>
        <v>9043.6492254188179</v>
      </c>
      <c r="AP375" s="320">
        <f t="shared" si="170"/>
        <v>9224.5222099271941</v>
      </c>
      <c r="AQ375" s="320">
        <f t="shared" si="170"/>
        <v>9409.0126541257378</v>
      </c>
      <c r="AR375" s="320">
        <f t="shared" si="170"/>
        <v>9597.192907208253</v>
      </c>
      <c r="AS375" s="320">
        <f t="shared" si="170"/>
        <v>9789.1367653524176</v>
      </c>
      <c r="AT375" s="320">
        <f t="shared" si="170"/>
        <v>9984.9195006594673</v>
      </c>
      <c r="AU375" s="320">
        <f t="shared" si="170"/>
        <v>10184.617890672658</v>
      </c>
      <c r="AV375" s="320">
        <f t="shared" si="170"/>
        <v>10388.31024848611</v>
      </c>
    </row>
    <row r="376" spans="1:48" s="320" customFormat="1" ht="15" customHeight="1">
      <c r="A376" s="351"/>
      <c r="B376" s="134"/>
      <c r="C376" s="322"/>
      <c r="D376" s="724"/>
    </row>
    <row r="377" spans="1:48" s="320" customFormat="1" ht="15" customHeight="1">
      <c r="A377" s="351"/>
      <c r="B377" s="134"/>
      <c r="C377" s="322"/>
      <c r="D377" s="724"/>
      <c r="E377" s="320" t="str">
        <f t="shared" ref="E377:AV377" si="171" xml:space="preserve"> E$16</f>
        <v>Copper production 2022Fs + actuals</v>
      </c>
      <c r="F377" s="320">
        <f t="shared" si="171"/>
        <v>0</v>
      </c>
      <c r="G377" s="320" t="str">
        <f t="shared" si="171"/>
        <v>KT Cu</v>
      </c>
      <c r="H377" s="320">
        <f t="shared" si="171"/>
        <v>0</v>
      </c>
      <c r="I377" s="320">
        <f t="shared" si="171"/>
        <v>0</v>
      </c>
      <c r="J377" s="320">
        <f t="shared" si="171"/>
        <v>1421.0743320093752</v>
      </c>
      <c r="K377" s="320">
        <f t="shared" si="171"/>
        <v>0</v>
      </c>
      <c r="L377" s="320">
        <f t="shared" si="171"/>
        <v>0</v>
      </c>
      <c r="M377" s="320">
        <f t="shared" si="171"/>
        <v>0</v>
      </c>
      <c r="N377" s="320">
        <f t="shared" si="171"/>
        <v>0</v>
      </c>
      <c r="O377" s="320">
        <f t="shared" si="171"/>
        <v>0</v>
      </c>
      <c r="P377" s="320">
        <f t="shared" si="171"/>
        <v>9.2255633513999982</v>
      </c>
      <c r="Q377" s="320">
        <f t="shared" si="171"/>
        <v>95.205768657975369</v>
      </c>
      <c r="R377" s="320">
        <f t="shared" si="171"/>
        <v>80.311999999999998</v>
      </c>
      <c r="S377" s="320">
        <f t="shared" si="171"/>
        <v>94.807000000000002</v>
      </c>
      <c r="T377" s="320">
        <f t="shared" si="171"/>
        <v>97.94</v>
      </c>
      <c r="U377" s="320">
        <f t="shared" si="171"/>
        <v>102.006</v>
      </c>
      <c r="V377" s="320">
        <f t="shared" si="171"/>
        <v>104.669</v>
      </c>
      <c r="W377" s="320">
        <f t="shared" si="171"/>
        <v>105.101</v>
      </c>
      <c r="X377" s="320">
        <f t="shared" si="171"/>
        <v>105.002</v>
      </c>
      <c r="Y377" s="320">
        <f t="shared" si="171"/>
        <v>105.956</v>
      </c>
      <c r="Z377" s="320">
        <f t="shared" si="171"/>
        <v>105.003</v>
      </c>
      <c r="AA377" s="320">
        <f t="shared" si="171"/>
        <v>104.33199999999999</v>
      </c>
      <c r="AB377" s="320">
        <f t="shared" si="171"/>
        <v>105.002</v>
      </c>
      <c r="AC377" s="320">
        <f t="shared" si="171"/>
        <v>104.504</v>
      </c>
      <c r="AD377" s="320">
        <f t="shared" si="171"/>
        <v>102.009</v>
      </c>
      <c r="AE377" s="320">
        <f t="shared" si="171"/>
        <v>0</v>
      </c>
      <c r="AF377" s="320">
        <f t="shared" si="171"/>
        <v>0</v>
      </c>
      <c r="AG377" s="320">
        <f t="shared" si="171"/>
        <v>0</v>
      </c>
      <c r="AH377" s="320">
        <f t="shared" si="171"/>
        <v>0</v>
      </c>
      <c r="AI377" s="320">
        <f t="shared" si="171"/>
        <v>0</v>
      </c>
      <c r="AJ377" s="320">
        <f t="shared" si="171"/>
        <v>0</v>
      </c>
      <c r="AK377" s="320">
        <f t="shared" si="171"/>
        <v>0</v>
      </c>
      <c r="AL377" s="320">
        <f t="shared" si="171"/>
        <v>0</v>
      </c>
      <c r="AM377" s="320">
        <f t="shared" si="171"/>
        <v>0</v>
      </c>
      <c r="AN377" s="320">
        <f t="shared" si="171"/>
        <v>0</v>
      </c>
      <c r="AO377" s="320">
        <f t="shared" si="171"/>
        <v>0</v>
      </c>
      <c r="AP377" s="320">
        <f t="shared" si="171"/>
        <v>0</v>
      </c>
      <c r="AQ377" s="320">
        <f t="shared" si="171"/>
        <v>0</v>
      </c>
      <c r="AR377" s="320">
        <f t="shared" si="171"/>
        <v>0</v>
      </c>
      <c r="AS377" s="320">
        <f t="shared" si="171"/>
        <v>0</v>
      </c>
      <c r="AT377" s="320">
        <f t="shared" si="171"/>
        <v>0</v>
      </c>
      <c r="AU377" s="320">
        <f t="shared" si="171"/>
        <v>0</v>
      </c>
      <c r="AV377" s="320">
        <f t="shared" si="171"/>
        <v>0</v>
      </c>
    </row>
    <row r="378" spans="1:48" s="320" customFormat="1" ht="15" customHeight="1">
      <c r="A378" s="351"/>
      <c r="B378" s="134"/>
      <c r="C378" s="322"/>
      <c r="D378" s="724"/>
      <c r="E378" s="320" t="str">
        <f t="shared" ref="E378:AV378" si="172" xml:space="preserve"> E$26</f>
        <v xml:space="preserve">Cobalt production 2022FS + actuals </v>
      </c>
      <c r="F378" s="320">
        <f t="shared" si="172"/>
        <v>0</v>
      </c>
      <c r="G378" s="320" t="str">
        <f t="shared" si="172"/>
        <v>KT</v>
      </c>
      <c r="H378" s="320">
        <f t="shared" si="172"/>
        <v>0</v>
      </c>
      <c r="I378" s="320">
        <f t="shared" si="172"/>
        <v>0</v>
      </c>
      <c r="J378" s="320">
        <f t="shared" si="172"/>
        <v>280.82510633243999</v>
      </c>
      <c r="K378" s="320">
        <f t="shared" si="172"/>
        <v>0</v>
      </c>
      <c r="L378" s="320">
        <f t="shared" si="172"/>
        <v>0</v>
      </c>
      <c r="M378" s="320">
        <f t="shared" si="172"/>
        <v>0</v>
      </c>
      <c r="N378" s="320">
        <f t="shared" si="172"/>
        <v>0</v>
      </c>
      <c r="O378" s="320">
        <f t="shared" si="172"/>
        <v>0</v>
      </c>
      <c r="P378" s="320">
        <f t="shared" si="172"/>
        <v>0.20840302079999998</v>
      </c>
      <c r="Q378" s="320">
        <f t="shared" si="172"/>
        <v>18.932703311639997</v>
      </c>
      <c r="R378" s="320">
        <f t="shared" si="172"/>
        <v>16.391999999999999</v>
      </c>
      <c r="S378" s="320">
        <f t="shared" si="172"/>
        <v>20.74</v>
      </c>
      <c r="T378" s="320">
        <f t="shared" si="172"/>
        <v>22.472999999999999</v>
      </c>
      <c r="U378" s="320">
        <f t="shared" si="172"/>
        <v>20.558</v>
      </c>
      <c r="V378" s="320">
        <f t="shared" si="172"/>
        <v>20.343</v>
      </c>
      <c r="W378" s="320">
        <f t="shared" si="172"/>
        <v>20.257000000000001</v>
      </c>
      <c r="X378" s="320">
        <f t="shared" si="172"/>
        <v>19.748999999999999</v>
      </c>
      <c r="Y378" s="320">
        <f t="shared" si="172"/>
        <v>18.649999999999999</v>
      </c>
      <c r="Z378" s="320">
        <f t="shared" si="172"/>
        <v>20.103999999999999</v>
      </c>
      <c r="AA378" s="320">
        <f t="shared" si="172"/>
        <v>20.074999999999999</v>
      </c>
      <c r="AB378" s="320">
        <f t="shared" si="172"/>
        <v>18.96</v>
      </c>
      <c r="AC378" s="320">
        <f t="shared" si="172"/>
        <v>21.318999999999999</v>
      </c>
      <c r="AD378" s="320">
        <f t="shared" si="172"/>
        <v>22.064</v>
      </c>
      <c r="AE378" s="320">
        <f t="shared" si="172"/>
        <v>0</v>
      </c>
      <c r="AF378" s="320">
        <f t="shared" si="172"/>
        <v>0</v>
      </c>
      <c r="AG378" s="320">
        <f t="shared" si="172"/>
        <v>0</v>
      </c>
      <c r="AH378" s="320">
        <f t="shared" si="172"/>
        <v>0</v>
      </c>
      <c r="AI378" s="320">
        <f t="shared" si="172"/>
        <v>0</v>
      </c>
      <c r="AJ378" s="320">
        <f t="shared" si="172"/>
        <v>0</v>
      </c>
      <c r="AK378" s="320">
        <f t="shared" si="172"/>
        <v>0</v>
      </c>
      <c r="AL378" s="320">
        <f t="shared" si="172"/>
        <v>0</v>
      </c>
      <c r="AM378" s="320">
        <f t="shared" si="172"/>
        <v>0</v>
      </c>
      <c r="AN378" s="320">
        <f t="shared" si="172"/>
        <v>0</v>
      </c>
      <c r="AO378" s="320">
        <f t="shared" si="172"/>
        <v>0</v>
      </c>
      <c r="AP378" s="320">
        <f t="shared" si="172"/>
        <v>0</v>
      </c>
      <c r="AQ378" s="320">
        <f t="shared" si="172"/>
        <v>0</v>
      </c>
      <c r="AR378" s="320">
        <f t="shared" si="172"/>
        <v>0</v>
      </c>
      <c r="AS378" s="320">
        <f t="shared" si="172"/>
        <v>0</v>
      </c>
      <c r="AT378" s="320">
        <f t="shared" si="172"/>
        <v>0</v>
      </c>
      <c r="AU378" s="320">
        <f t="shared" si="172"/>
        <v>0</v>
      </c>
      <c r="AV378" s="320">
        <f t="shared" si="172"/>
        <v>0</v>
      </c>
    </row>
    <row r="379" spans="1:48" s="81" customFormat="1" ht="15" customHeight="1">
      <c r="A379" s="411"/>
      <c r="B379" s="79"/>
      <c r="C379" s="80"/>
      <c r="D379" s="845"/>
      <c r="E379" s="186" t="str">
        <f xml:space="preserve"> InputsTS!E$19</f>
        <v>Operating cost Sensitivity (forecast period)</v>
      </c>
      <c r="F379" s="186">
        <f xml:space="preserve"> InputsTS!F$19</f>
        <v>0</v>
      </c>
      <c r="G379" s="186" t="str">
        <f xml:space="preserve"> InputsTS!G$19</f>
        <v>%</v>
      </c>
      <c r="H379" s="186">
        <f xml:space="preserve"> InputsTS!H$19</f>
        <v>0</v>
      </c>
      <c r="I379" s="186">
        <f xml:space="preserve"> InputsTS!I$19</f>
        <v>0</v>
      </c>
      <c r="J379" s="186">
        <f xml:space="preserve"> InputsTS!J$19</f>
        <v>0</v>
      </c>
      <c r="K379" s="186">
        <f xml:space="preserve"> InputsTS!K$19</f>
        <v>0</v>
      </c>
      <c r="L379" s="186">
        <f xml:space="preserve"> InputsTS!L$19</f>
        <v>1</v>
      </c>
      <c r="M379" s="186">
        <f xml:space="preserve"> InputsTS!M$19</f>
        <v>1</v>
      </c>
      <c r="N379" s="186">
        <f xml:space="preserve"> InputsTS!N$19</f>
        <v>1</v>
      </c>
      <c r="O379" s="186">
        <f xml:space="preserve"> InputsTS!O$19</f>
        <v>1</v>
      </c>
      <c r="P379" s="186">
        <f xml:space="preserve"> InputsTS!P$19</f>
        <v>1</v>
      </c>
      <c r="Q379" s="186">
        <f xml:space="preserve"> InputsTS!Q$19</f>
        <v>1</v>
      </c>
      <c r="R379" s="186">
        <f xml:space="preserve"> InputsTS!R$19</f>
        <v>1</v>
      </c>
      <c r="S379" s="186">
        <f xml:space="preserve"> InputsTS!S$19</f>
        <v>1</v>
      </c>
      <c r="T379" s="186">
        <f xml:space="preserve"> InputsTS!T$19</f>
        <v>1</v>
      </c>
      <c r="U379" s="186">
        <f xml:space="preserve"> InputsTS!U$19</f>
        <v>1</v>
      </c>
      <c r="V379" s="186">
        <f xml:space="preserve"> InputsTS!V$19</f>
        <v>1</v>
      </c>
      <c r="W379" s="186">
        <f xml:space="preserve"> InputsTS!W$19</f>
        <v>1</v>
      </c>
      <c r="X379" s="186">
        <f xml:space="preserve"> InputsTS!X$19</f>
        <v>1</v>
      </c>
      <c r="Y379" s="186">
        <f xml:space="preserve"> InputsTS!Y$19</f>
        <v>1</v>
      </c>
      <c r="Z379" s="186">
        <f xml:space="preserve"> InputsTS!Z$19</f>
        <v>1</v>
      </c>
      <c r="AA379" s="186">
        <f xml:space="preserve"> InputsTS!AA$19</f>
        <v>1</v>
      </c>
      <c r="AB379" s="186">
        <f xml:space="preserve"> InputsTS!AB$19</f>
        <v>1</v>
      </c>
      <c r="AC379" s="186">
        <f xml:space="preserve"> InputsTS!AC$19</f>
        <v>1</v>
      </c>
      <c r="AD379" s="186">
        <f xml:space="preserve"> InputsTS!AD$19</f>
        <v>1</v>
      </c>
      <c r="AE379" s="186">
        <f xml:space="preserve"> InputsTS!AE$19</f>
        <v>1</v>
      </c>
      <c r="AF379" s="186">
        <f xml:space="preserve"> InputsTS!AF$19</f>
        <v>1</v>
      </c>
      <c r="AG379" s="186">
        <f xml:space="preserve"> InputsTS!AG$19</f>
        <v>1</v>
      </c>
      <c r="AH379" s="186">
        <f xml:space="preserve"> InputsTS!AH$19</f>
        <v>1</v>
      </c>
      <c r="AI379" s="186">
        <f xml:space="preserve"> InputsTS!AI$19</f>
        <v>1</v>
      </c>
      <c r="AJ379" s="186">
        <f xml:space="preserve"> InputsTS!AJ$19</f>
        <v>1</v>
      </c>
      <c r="AK379" s="186">
        <f xml:space="preserve"> InputsTS!AK$19</f>
        <v>1</v>
      </c>
      <c r="AL379" s="186">
        <f xml:space="preserve"> InputsTS!AL$19</f>
        <v>1</v>
      </c>
      <c r="AM379" s="186">
        <f xml:space="preserve"> InputsTS!AM$19</f>
        <v>1</v>
      </c>
      <c r="AN379" s="186">
        <f xml:space="preserve"> InputsTS!AN$19</f>
        <v>1</v>
      </c>
      <c r="AO379" s="186">
        <f xml:space="preserve"> InputsTS!AO$19</f>
        <v>1</v>
      </c>
      <c r="AP379" s="186">
        <f xml:space="preserve"> InputsTS!AP$19</f>
        <v>1</v>
      </c>
      <c r="AQ379" s="186">
        <f xml:space="preserve"> InputsTS!AQ$19</f>
        <v>1</v>
      </c>
      <c r="AR379" s="186">
        <f xml:space="preserve"> InputsTS!AR$19</f>
        <v>1</v>
      </c>
      <c r="AS379" s="186">
        <f xml:space="preserve"> InputsTS!AS$19</f>
        <v>1</v>
      </c>
      <c r="AT379" s="186">
        <f xml:space="preserve"> InputsTS!AT$19</f>
        <v>1</v>
      </c>
      <c r="AU379" s="186">
        <f xml:space="preserve"> InputsTS!AU$19</f>
        <v>1</v>
      </c>
      <c r="AV379" s="186">
        <f xml:space="preserve"> InputsTS!AV$19</f>
        <v>1</v>
      </c>
    </row>
    <row r="380" spans="1:48" s="320" customFormat="1" ht="15" customHeight="1">
      <c r="A380" s="351"/>
      <c r="B380" s="134"/>
      <c r="C380" s="322"/>
      <c r="D380" s="724"/>
      <c r="E380" s="807" t="s">
        <v>1277</v>
      </c>
      <c r="F380" s="807"/>
      <c r="G380" s="807" t="s">
        <v>29</v>
      </c>
      <c r="H380" s="807"/>
      <c r="I380" s="807"/>
      <c r="J380" s="807">
        <f xml:space="preserve"> SUM(L380:AV380)</f>
        <v>9907.4531304831744</v>
      </c>
      <c r="K380" s="807"/>
      <c r="L380" s="807">
        <f t="shared" ref="L380:AV380" si="173" xml:space="preserve"> L375 * L379 * ( L377 + L378) / 1000</f>
        <v>0</v>
      </c>
      <c r="M380" s="807">
        <f t="shared" si="173"/>
        <v>0</v>
      </c>
      <c r="N380" s="807">
        <f t="shared" si="173"/>
        <v>0</v>
      </c>
      <c r="O380" s="807">
        <f t="shared" si="173"/>
        <v>0</v>
      </c>
      <c r="P380" s="807">
        <f t="shared" si="173"/>
        <v>0</v>
      </c>
      <c r="Q380" s="807">
        <f t="shared" si="173"/>
        <v>0</v>
      </c>
      <c r="R380" s="807">
        <f t="shared" si="173"/>
        <v>427.00000000000006</v>
      </c>
      <c r="S380" s="807">
        <f t="shared" si="173"/>
        <v>532</v>
      </c>
      <c r="T380" s="807">
        <f t="shared" si="173"/>
        <v>705</v>
      </c>
      <c r="U380" s="807">
        <f t="shared" si="173"/>
        <v>724.29157127871883</v>
      </c>
      <c r="V380" s="807">
        <f t="shared" si="173"/>
        <v>760.56406616996242</v>
      </c>
      <c r="W380" s="807">
        <f t="shared" si="173"/>
        <v>785.45450684568095</v>
      </c>
      <c r="X380" s="807">
        <f t="shared" si="173"/>
        <v>800.92213977533436</v>
      </c>
      <c r="Y380" s="807">
        <f t="shared" si="173"/>
        <v>816.87383726665769</v>
      </c>
      <c r="Z380" s="807">
        <f t="shared" si="173"/>
        <v>837.83662691634106</v>
      </c>
      <c r="AA380" s="807">
        <f t="shared" si="173"/>
        <v>851.22045364034364</v>
      </c>
      <c r="AB380" s="807">
        <f t="shared" si="173"/>
        <v>866.62268025643698</v>
      </c>
      <c r="AC380" s="807">
        <f t="shared" si="173"/>
        <v>897.22565631293298</v>
      </c>
      <c r="AD380" s="807">
        <f t="shared" si="173"/>
        <v>902.44159202076582</v>
      </c>
      <c r="AE380" s="807">
        <f t="shared" si="173"/>
        <v>0</v>
      </c>
      <c r="AF380" s="807">
        <f t="shared" si="173"/>
        <v>0</v>
      </c>
      <c r="AG380" s="807">
        <f t="shared" si="173"/>
        <v>0</v>
      </c>
      <c r="AH380" s="807">
        <f t="shared" si="173"/>
        <v>0</v>
      </c>
      <c r="AI380" s="807">
        <f t="shared" si="173"/>
        <v>0</v>
      </c>
      <c r="AJ380" s="807">
        <f t="shared" si="173"/>
        <v>0</v>
      </c>
      <c r="AK380" s="807">
        <f t="shared" si="173"/>
        <v>0</v>
      </c>
      <c r="AL380" s="807">
        <f t="shared" si="173"/>
        <v>0</v>
      </c>
      <c r="AM380" s="807">
        <f t="shared" si="173"/>
        <v>0</v>
      </c>
      <c r="AN380" s="807">
        <f t="shared" si="173"/>
        <v>0</v>
      </c>
      <c r="AO380" s="807">
        <f t="shared" si="173"/>
        <v>0</v>
      </c>
      <c r="AP380" s="807">
        <f t="shared" si="173"/>
        <v>0</v>
      </c>
      <c r="AQ380" s="807">
        <f t="shared" si="173"/>
        <v>0</v>
      </c>
      <c r="AR380" s="807">
        <f t="shared" si="173"/>
        <v>0</v>
      </c>
      <c r="AS380" s="807">
        <f t="shared" si="173"/>
        <v>0</v>
      </c>
      <c r="AT380" s="807">
        <f t="shared" si="173"/>
        <v>0</v>
      </c>
      <c r="AU380" s="807">
        <f t="shared" si="173"/>
        <v>0</v>
      </c>
      <c r="AV380" s="807">
        <f t="shared" si="173"/>
        <v>0</v>
      </c>
    </row>
    <row r="381" spans="1:48" s="320" customFormat="1" ht="15" customHeight="1">
      <c r="A381" s="351"/>
      <c r="B381" s="134"/>
      <c r="C381" s="322"/>
      <c r="D381" s="724"/>
    </row>
    <row r="382" spans="1:48" s="266" customFormat="1" ht="15" customHeight="1">
      <c r="A382" s="265"/>
      <c r="B382" s="262" t="s">
        <v>1295</v>
      </c>
      <c r="C382" s="313"/>
      <c r="D382" s="319"/>
    </row>
    <row r="383" spans="1:48" s="354" customFormat="1" ht="15" customHeight="1">
      <c r="A383" s="353"/>
      <c r="B383" s="358"/>
      <c r="C383" s="355"/>
      <c r="D383" s="849"/>
      <c r="F383" s="354" t="s">
        <v>610</v>
      </c>
    </row>
    <row r="384" spans="1:48" s="3" customFormat="1" ht="15" customHeight="1">
      <c r="C384" s="434"/>
      <c r="D384" s="850"/>
      <c r="E384" s="6" t="str">
        <f t="shared" ref="E384:AV384" si="174" xml:space="preserve"> E$365</f>
        <v>Operating costs, including Sens.</v>
      </c>
      <c r="F384" s="6" t="s">
        <v>1292</v>
      </c>
      <c r="G384" s="6" t="str">
        <f t="shared" si="174"/>
        <v>$ mn</v>
      </c>
      <c r="H384" s="6">
        <f t="shared" si="174"/>
        <v>0</v>
      </c>
      <c r="I384" s="6">
        <f t="shared" si="174"/>
        <v>0</v>
      </c>
      <c r="J384" s="6">
        <f t="shared" si="174"/>
        <v>14098.626908392755</v>
      </c>
      <c r="K384" s="6">
        <f t="shared" si="174"/>
        <v>0</v>
      </c>
      <c r="L384" s="6">
        <f t="shared" si="174"/>
        <v>0</v>
      </c>
      <c r="M384" s="6">
        <f t="shared" si="174"/>
        <v>0</v>
      </c>
      <c r="N384" s="6">
        <f t="shared" si="174"/>
        <v>0</v>
      </c>
      <c r="O384" s="6">
        <f t="shared" si="174"/>
        <v>0</v>
      </c>
      <c r="P384" s="6">
        <f t="shared" si="174"/>
        <v>46.775406120166977</v>
      </c>
      <c r="Q384" s="6">
        <f t="shared" si="174"/>
        <v>565.92033188147025</v>
      </c>
      <c r="R384" s="6">
        <f t="shared" si="174"/>
        <v>432.34975533242329</v>
      </c>
      <c r="S384" s="6">
        <f t="shared" si="174"/>
        <v>563.86968273401851</v>
      </c>
      <c r="T384" s="6">
        <f t="shared" si="174"/>
        <v>806.95561953116135</v>
      </c>
      <c r="U384" s="6">
        <f t="shared" si="174"/>
        <v>980.90533653037528</v>
      </c>
      <c r="V384" s="6">
        <f t="shared" si="174"/>
        <v>1045.4432218671402</v>
      </c>
      <c r="W384" s="6">
        <f t="shared" si="174"/>
        <v>1199.2561401587307</v>
      </c>
      <c r="X384" s="6">
        <f t="shared" si="174"/>
        <v>1235.2970237000936</v>
      </c>
      <c r="Y384" s="6">
        <f t="shared" si="174"/>
        <v>1125.1808936331668</v>
      </c>
      <c r="Z384" s="6">
        <f t="shared" si="174"/>
        <v>1134.5764767086639</v>
      </c>
      <c r="AA384" s="6">
        <f t="shared" si="174"/>
        <v>1178.5061704732586</v>
      </c>
      <c r="AB384" s="6">
        <f t="shared" si="174"/>
        <v>1177.3476157134869</v>
      </c>
      <c r="AC384" s="6">
        <f t="shared" si="174"/>
        <v>1274.2426194881346</v>
      </c>
      <c r="AD384" s="6">
        <f t="shared" si="174"/>
        <v>1332.0006145204636</v>
      </c>
      <c r="AE384" s="6">
        <f t="shared" si="174"/>
        <v>0</v>
      </c>
      <c r="AF384" s="6">
        <f t="shared" si="174"/>
        <v>0</v>
      </c>
      <c r="AG384" s="6">
        <f t="shared" si="174"/>
        <v>0</v>
      </c>
      <c r="AH384" s="6">
        <f t="shared" si="174"/>
        <v>0</v>
      </c>
      <c r="AI384" s="6">
        <f t="shared" si="174"/>
        <v>0</v>
      </c>
      <c r="AJ384" s="6">
        <f t="shared" si="174"/>
        <v>0</v>
      </c>
      <c r="AK384" s="6">
        <f t="shared" si="174"/>
        <v>0</v>
      </c>
      <c r="AL384" s="6">
        <f t="shared" si="174"/>
        <v>0</v>
      </c>
      <c r="AM384" s="6">
        <f t="shared" si="174"/>
        <v>0</v>
      </c>
      <c r="AN384" s="6">
        <f t="shared" si="174"/>
        <v>0</v>
      </c>
      <c r="AO384" s="6">
        <f t="shared" si="174"/>
        <v>0</v>
      </c>
      <c r="AP384" s="6">
        <f t="shared" si="174"/>
        <v>0</v>
      </c>
      <c r="AQ384" s="6">
        <f t="shared" si="174"/>
        <v>0</v>
      </c>
      <c r="AR384" s="6">
        <f t="shared" si="174"/>
        <v>0</v>
      </c>
      <c r="AS384" s="6">
        <f t="shared" si="174"/>
        <v>0</v>
      </c>
      <c r="AT384" s="6">
        <f t="shared" si="174"/>
        <v>0</v>
      </c>
      <c r="AU384" s="6">
        <f t="shared" si="174"/>
        <v>0</v>
      </c>
      <c r="AV384" s="6">
        <f t="shared" si="174"/>
        <v>0</v>
      </c>
    </row>
    <row r="385" spans="1:48" s="98" customFormat="1" ht="15" customHeight="1">
      <c r="A385" s="365"/>
      <c r="B385" s="357"/>
      <c r="C385" s="366"/>
      <c r="D385" s="317"/>
      <c r="E385" s="98" t="str">
        <f t="shared" ref="E385:AV385" si="175" xml:space="preserve"> E$380</f>
        <v>Alternative Operating Cost Profile</v>
      </c>
      <c r="F385" s="98" t="s">
        <v>1293</v>
      </c>
      <c r="G385" s="98" t="str">
        <f t="shared" si="175"/>
        <v>$ mn</v>
      </c>
      <c r="H385" s="98">
        <f t="shared" si="175"/>
        <v>0</v>
      </c>
      <c r="I385" s="98">
        <f t="shared" si="175"/>
        <v>0</v>
      </c>
      <c r="J385" s="98">
        <f t="shared" si="175"/>
        <v>9907.4531304831744</v>
      </c>
      <c r="K385" s="98">
        <f t="shared" si="175"/>
        <v>0</v>
      </c>
      <c r="L385" s="98">
        <f t="shared" si="175"/>
        <v>0</v>
      </c>
      <c r="M385" s="98">
        <f t="shared" si="175"/>
        <v>0</v>
      </c>
      <c r="N385" s="98">
        <f t="shared" si="175"/>
        <v>0</v>
      </c>
      <c r="O385" s="98">
        <f t="shared" si="175"/>
        <v>0</v>
      </c>
      <c r="P385" s="98">
        <f t="shared" si="175"/>
        <v>0</v>
      </c>
      <c r="Q385" s="98">
        <f t="shared" si="175"/>
        <v>0</v>
      </c>
      <c r="R385" s="98">
        <f t="shared" si="175"/>
        <v>427.00000000000006</v>
      </c>
      <c r="S385" s="98">
        <f t="shared" si="175"/>
        <v>532</v>
      </c>
      <c r="T385" s="98">
        <f t="shared" si="175"/>
        <v>705</v>
      </c>
      <c r="U385" s="98">
        <f t="shared" si="175"/>
        <v>724.29157127871883</v>
      </c>
      <c r="V385" s="98">
        <f t="shared" si="175"/>
        <v>760.56406616996242</v>
      </c>
      <c r="W385" s="98">
        <f t="shared" si="175"/>
        <v>785.45450684568095</v>
      </c>
      <c r="X385" s="98">
        <f t="shared" si="175"/>
        <v>800.92213977533436</v>
      </c>
      <c r="Y385" s="98">
        <f t="shared" si="175"/>
        <v>816.87383726665769</v>
      </c>
      <c r="Z385" s="98">
        <f t="shared" si="175"/>
        <v>837.83662691634106</v>
      </c>
      <c r="AA385" s="98">
        <f t="shared" si="175"/>
        <v>851.22045364034364</v>
      </c>
      <c r="AB385" s="98">
        <f t="shared" si="175"/>
        <v>866.62268025643698</v>
      </c>
      <c r="AC385" s="98">
        <f t="shared" si="175"/>
        <v>897.22565631293298</v>
      </c>
      <c r="AD385" s="98">
        <f t="shared" si="175"/>
        <v>902.44159202076582</v>
      </c>
      <c r="AE385" s="98">
        <f t="shared" si="175"/>
        <v>0</v>
      </c>
      <c r="AF385" s="98">
        <f t="shared" si="175"/>
        <v>0</v>
      </c>
      <c r="AG385" s="98">
        <f t="shared" si="175"/>
        <v>0</v>
      </c>
      <c r="AH385" s="98">
        <f t="shared" si="175"/>
        <v>0</v>
      </c>
      <c r="AI385" s="98">
        <f t="shared" si="175"/>
        <v>0</v>
      </c>
      <c r="AJ385" s="98">
        <f t="shared" si="175"/>
        <v>0</v>
      </c>
      <c r="AK385" s="98">
        <f t="shared" si="175"/>
        <v>0</v>
      </c>
      <c r="AL385" s="98">
        <f t="shared" si="175"/>
        <v>0</v>
      </c>
      <c r="AM385" s="98">
        <f t="shared" si="175"/>
        <v>0</v>
      </c>
      <c r="AN385" s="98">
        <f t="shared" si="175"/>
        <v>0</v>
      </c>
      <c r="AO385" s="98">
        <f t="shared" si="175"/>
        <v>0</v>
      </c>
      <c r="AP385" s="98">
        <f t="shared" si="175"/>
        <v>0</v>
      </c>
      <c r="AQ385" s="98">
        <f t="shared" si="175"/>
        <v>0</v>
      </c>
      <c r="AR385" s="98">
        <f t="shared" si="175"/>
        <v>0</v>
      </c>
      <c r="AS385" s="98">
        <f t="shared" si="175"/>
        <v>0</v>
      </c>
      <c r="AT385" s="98">
        <f t="shared" si="175"/>
        <v>0</v>
      </c>
      <c r="AU385" s="98">
        <f t="shared" si="175"/>
        <v>0</v>
      </c>
      <c r="AV385" s="98">
        <f t="shared" si="175"/>
        <v>0</v>
      </c>
    </row>
    <row r="386" spans="1:48" s="354" customFormat="1" ht="15" customHeight="1">
      <c r="A386" s="353"/>
      <c r="B386" s="358"/>
      <c r="C386" s="355"/>
      <c r="D386" s="849"/>
      <c r="F386" s="354" t="s">
        <v>611</v>
      </c>
    </row>
    <row r="387" spans="1:48" s="320" customFormat="1" ht="15" customHeight="1">
      <c r="A387" s="351"/>
      <c r="B387" s="134"/>
      <c r="C387" s="322"/>
      <c r="D387" s="724"/>
    </row>
    <row r="388" spans="1:48" s="320" customFormat="1" ht="15" customHeight="1">
      <c r="A388" s="351"/>
      <c r="B388" s="134"/>
      <c r="C388" s="322"/>
      <c r="D388" s="724"/>
      <c r="E388" s="802" t="str">
        <f xml:space="preserve"> InputsCon!E$51</f>
        <v>Operating Cost Profile</v>
      </c>
      <c r="F388" s="802" t="str">
        <f xml:space="preserve"> InputsCon!F$51</f>
        <v>Alt Opex</v>
      </c>
      <c r="G388" s="802" t="str">
        <f xml:space="preserve"> InputsCon!G$51</f>
        <v>option selected</v>
      </c>
    </row>
    <row r="389" spans="1:48" s="320" customFormat="1" ht="15" customHeight="1">
      <c r="A389" s="351"/>
      <c r="B389" s="134"/>
      <c r="C389" s="322"/>
      <c r="D389" s="724"/>
    </row>
    <row r="390" spans="1:48" s="279" customFormat="1" ht="15" customHeight="1">
      <c r="B390" s="572"/>
      <c r="C390" s="573"/>
      <c r="D390" s="848"/>
      <c r="E390" s="279" t="str">
        <f t="shared" ref="E390:F390" si="176" xml:space="preserve"> INDEX(E383:E386, MATCH($F388, $F383:$F386, 0))</f>
        <v>Alternative Operating Cost Profile</v>
      </c>
      <c r="F390" s="279" t="str">
        <f t="shared" si="176"/>
        <v>Alt Opex</v>
      </c>
      <c r="G390" s="279" t="str">
        <f t="shared" ref="G390:AV390" si="177" xml:space="preserve"> INDEX(G383:G386, MATCH($F388, $F383:$F386, 0))</f>
        <v>$ mn</v>
      </c>
      <c r="H390" s="279">
        <f t="shared" si="177"/>
        <v>0</v>
      </c>
      <c r="I390" s="279">
        <f t="shared" si="177"/>
        <v>0</v>
      </c>
      <c r="J390" s="279">
        <f t="shared" si="177"/>
        <v>9907.4531304831744</v>
      </c>
      <c r="K390" s="279">
        <f t="shared" si="177"/>
        <v>0</v>
      </c>
      <c r="L390" s="279">
        <f t="shared" si="177"/>
        <v>0</v>
      </c>
      <c r="M390" s="279">
        <f t="shared" si="177"/>
        <v>0</v>
      </c>
      <c r="N390" s="279">
        <f t="shared" si="177"/>
        <v>0</v>
      </c>
      <c r="O390" s="279">
        <f t="shared" si="177"/>
        <v>0</v>
      </c>
      <c r="P390" s="971">
        <f t="shared" si="177"/>
        <v>0</v>
      </c>
      <c r="Q390" s="971">
        <f t="shared" si="177"/>
        <v>0</v>
      </c>
      <c r="R390" s="279">
        <f t="shared" si="177"/>
        <v>427.00000000000006</v>
      </c>
      <c r="S390" s="279">
        <f t="shared" si="177"/>
        <v>532</v>
      </c>
      <c r="T390" s="279">
        <f t="shared" si="177"/>
        <v>705</v>
      </c>
      <c r="U390" s="279">
        <f t="shared" si="177"/>
        <v>724.29157127871883</v>
      </c>
      <c r="V390" s="279">
        <f t="shared" si="177"/>
        <v>760.56406616996242</v>
      </c>
      <c r="W390" s="279">
        <f t="shared" si="177"/>
        <v>785.45450684568095</v>
      </c>
      <c r="X390" s="279">
        <f t="shared" si="177"/>
        <v>800.92213977533436</v>
      </c>
      <c r="Y390" s="279">
        <f t="shared" si="177"/>
        <v>816.87383726665769</v>
      </c>
      <c r="Z390" s="279">
        <f t="shared" si="177"/>
        <v>837.83662691634106</v>
      </c>
      <c r="AA390" s="279">
        <f t="shared" si="177"/>
        <v>851.22045364034364</v>
      </c>
      <c r="AB390" s="279">
        <f t="shared" si="177"/>
        <v>866.62268025643698</v>
      </c>
      <c r="AC390" s="279">
        <f t="shared" si="177"/>
        <v>897.22565631293298</v>
      </c>
      <c r="AD390" s="279">
        <f t="shared" si="177"/>
        <v>902.44159202076582</v>
      </c>
      <c r="AE390" s="279">
        <f t="shared" si="177"/>
        <v>0</v>
      </c>
      <c r="AF390" s="279">
        <f t="shared" si="177"/>
        <v>0</v>
      </c>
      <c r="AG390" s="279">
        <f t="shared" si="177"/>
        <v>0</v>
      </c>
      <c r="AH390" s="279">
        <f t="shared" si="177"/>
        <v>0</v>
      </c>
      <c r="AI390" s="279">
        <f t="shared" si="177"/>
        <v>0</v>
      </c>
      <c r="AJ390" s="279">
        <f t="shared" si="177"/>
        <v>0</v>
      </c>
      <c r="AK390" s="279">
        <f t="shared" si="177"/>
        <v>0</v>
      </c>
      <c r="AL390" s="279">
        <f t="shared" si="177"/>
        <v>0</v>
      </c>
      <c r="AM390" s="279">
        <f t="shared" si="177"/>
        <v>0</v>
      </c>
      <c r="AN390" s="279">
        <f t="shared" si="177"/>
        <v>0</v>
      </c>
      <c r="AO390" s="279">
        <f t="shared" si="177"/>
        <v>0</v>
      </c>
      <c r="AP390" s="279">
        <f t="shared" si="177"/>
        <v>0</v>
      </c>
      <c r="AQ390" s="279">
        <f t="shared" si="177"/>
        <v>0</v>
      </c>
      <c r="AR390" s="279">
        <f t="shared" si="177"/>
        <v>0</v>
      </c>
      <c r="AS390" s="279">
        <f t="shared" si="177"/>
        <v>0</v>
      </c>
      <c r="AT390" s="279">
        <f t="shared" si="177"/>
        <v>0</v>
      </c>
      <c r="AU390" s="279">
        <f t="shared" si="177"/>
        <v>0</v>
      </c>
      <c r="AV390" s="279">
        <f t="shared" si="177"/>
        <v>0</v>
      </c>
    </row>
    <row r="391" spans="1:48" s="320" customFormat="1" ht="15" customHeight="1">
      <c r="A391" s="351"/>
      <c r="B391" s="134"/>
      <c r="C391" s="322"/>
      <c r="D391" s="724"/>
    </row>
    <row r="392" spans="1:48" s="160" customFormat="1" ht="15" customHeight="1">
      <c r="A392" s="164" t="s">
        <v>859</v>
      </c>
      <c r="B392" s="162"/>
      <c r="C392" s="315"/>
      <c r="D392" s="386"/>
      <c r="E392" s="162"/>
      <c r="F392" s="162"/>
      <c r="G392" s="162"/>
      <c r="H392" s="162"/>
    </row>
    <row r="393" spans="1:48" s="320" customFormat="1" ht="15" customHeight="1">
      <c r="A393" s="351"/>
      <c r="B393" s="134"/>
      <c r="C393" s="322"/>
      <c r="D393" s="724"/>
    </row>
    <row r="394" spans="1:48" s="320" customFormat="1" ht="15" customHeight="1">
      <c r="A394" s="351"/>
      <c r="B394" s="134" t="s">
        <v>93</v>
      </c>
      <c r="C394" s="322"/>
      <c r="D394" s="724"/>
    </row>
    <row r="395" spans="1:48" s="320" customFormat="1" ht="15" customHeight="1">
      <c r="A395" s="351"/>
      <c r="B395" s="134"/>
      <c r="C395" s="322"/>
      <c r="D395" s="724"/>
      <c r="E395" s="112" t="str">
        <f xml:space="preserve"> InputsTS!E$84</f>
        <v>Phase 1 pre-2020 capex</v>
      </c>
      <c r="F395" s="812">
        <f xml:space="preserve"> InputsTS!F$84</f>
        <v>832.3</v>
      </c>
      <c r="G395" s="112" t="str">
        <f xml:space="preserve"> InputsTS!G$84</f>
        <v>$ mn</v>
      </c>
    </row>
    <row r="396" spans="1:48" s="320" customFormat="1" ht="15" customHeight="1">
      <c r="A396" s="351"/>
      <c r="B396" s="134"/>
      <c r="C396" s="322"/>
      <c r="D396" s="724"/>
      <c r="E396" s="112" t="str">
        <f xml:space="preserve"> InputsTS!E$85</f>
        <v>Phase 2 pre-2020 capex</v>
      </c>
      <c r="F396" s="812">
        <f xml:space="preserve"> InputsTS!F$85</f>
        <v>177.9</v>
      </c>
      <c r="G396" s="112" t="str">
        <f xml:space="preserve"> InputsTS!G$85</f>
        <v>$ mn</v>
      </c>
    </row>
    <row r="397" spans="1:48" s="320" customFormat="1" ht="15" customHeight="1">
      <c r="A397" s="351"/>
      <c r="B397" s="134"/>
      <c r="C397" s="322"/>
      <c r="D397" s="724"/>
      <c r="E397" s="320" t="s">
        <v>1227</v>
      </c>
      <c r="F397" s="320">
        <f xml:space="preserve"> F395 + F396</f>
        <v>1010.1999999999999</v>
      </c>
      <c r="G397" s="320" t="s">
        <v>29</v>
      </c>
    </row>
    <row r="398" spans="1:48" s="320" customFormat="1" ht="15" customHeight="1">
      <c r="A398" s="351"/>
      <c r="B398" s="134"/>
      <c r="C398" s="322"/>
      <c r="D398" s="724"/>
    </row>
    <row r="399" spans="1:48" s="320" customFormat="1" ht="15" customHeight="1">
      <c r="A399" s="351"/>
      <c r="B399" s="134"/>
      <c r="C399" s="322" t="s">
        <v>1235</v>
      </c>
      <c r="D399" s="724"/>
    </row>
    <row r="400" spans="1:48" s="320" customFormat="1" ht="15" customHeight="1">
      <c r="A400" s="351"/>
      <c r="B400" s="134"/>
      <c r="C400" s="322"/>
      <c r="D400" s="724"/>
      <c r="E400" s="802" t="str">
        <f xml:space="preserve"> 'T&amp;E'!E$54</f>
        <v>Production Start Year</v>
      </c>
      <c r="F400" s="802">
        <f xml:space="preserve"> 'T&amp;E'!F$54</f>
        <v>2018</v>
      </c>
      <c r="G400" s="112" t="str">
        <f xml:space="preserve"> 'T&amp;E'!G$54</f>
        <v>year</v>
      </c>
      <c r="H400" s="132">
        <f xml:space="preserve"> 'T&amp;E'!H$53</f>
        <v>0</v>
      </c>
      <c r="I400" s="132">
        <f xml:space="preserve"> 'T&amp;E'!I$53</f>
        <v>0</v>
      </c>
      <c r="J400" s="132">
        <f xml:space="preserve"> 'T&amp;E'!J$53</f>
        <v>0</v>
      </c>
      <c r="K400" s="132">
        <f xml:space="preserve"> 'T&amp;E'!K$53</f>
        <v>0</v>
      </c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2"/>
    </row>
    <row r="401" spans="1:48" s="320" customFormat="1" ht="15" customHeight="1">
      <c r="A401" s="351"/>
      <c r="B401" s="134"/>
      <c r="C401" s="322"/>
      <c r="D401" s="724"/>
      <c r="E401" s="320" t="str">
        <f xml:space="preserve"> C399</f>
        <v>Pre-production capex</v>
      </c>
      <c r="G401" s="320" t="s">
        <v>29</v>
      </c>
      <c r="L401" s="320">
        <f t="shared" ref="L401:AV401" si="178">IF(L2=$F$400,$F$397,0)</f>
        <v>0</v>
      </c>
      <c r="M401" s="320">
        <f t="shared" si="178"/>
        <v>0</v>
      </c>
      <c r="N401" s="320">
        <f t="shared" si="178"/>
        <v>0</v>
      </c>
      <c r="O401" s="320">
        <f t="shared" si="178"/>
        <v>0</v>
      </c>
      <c r="P401" s="320">
        <f t="shared" si="178"/>
        <v>1010.1999999999999</v>
      </c>
      <c r="Q401" s="320">
        <f t="shared" si="178"/>
        <v>0</v>
      </c>
      <c r="R401" s="320">
        <f t="shared" si="178"/>
        <v>0</v>
      </c>
      <c r="S401" s="320">
        <f t="shared" si="178"/>
        <v>0</v>
      </c>
      <c r="T401" s="320">
        <f t="shared" si="178"/>
        <v>0</v>
      </c>
      <c r="U401" s="320">
        <f t="shared" si="178"/>
        <v>0</v>
      </c>
      <c r="V401" s="320">
        <f t="shared" si="178"/>
        <v>0</v>
      </c>
      <c r="W401" s="320">
        <f t="shared" si="178"/>
        <v>0</v>
      </c>
      <c r="X401" s="320">
        <f t="shared" si="178"/>
        <v>0</v>
      </c>
      <c r="Y401" s="320">
        <f t="shared" si="178"/>
        <v>0</v>
      </c>
      <c r="Z401" s="320">
        <f t="shared" si="178"/>
        <v>0</v>
      </c>
      <c r="AA401" s="320">
        <f t="shared" si="178"/>
        <v>0</v>
      </c>
      <c r="AB401" s="320">
        <f t="shared" si="178"/>
        <v>0</v>
      </c>
      <c r="AC401" s="320">
        <f t="shared" si="178"/>
        <v>0</v>
      </c>
      <c r="AD401" s="320">
        <f t="shared" si="178"/>
        <v>0</v>
      </c>
      <c r="AE401" s="320">
        <f t="shared" si="178"/>
        <v>0</v>
      </c>
      <c r="AF401" s="320">
        <f t="shared" si="178"/>
        <v>0</v>
      </c>
      <c r="AG401" s="320">
        <f t="shared" si="178"/>
        <v>0</v>
      </c>
      <c r="AH401" s="320">
        <f t="shared" si="178"/>
        <v>0</v>
      </c>
      <c r="AI401" s="320">
        <f t="shared" si="178"/>
        <v>0</v>
      </c>
      <c r="AJ401" s="320">
        <f t="shared" si="178"/>
        <v>0</v>
      </c>
      <c r="AK401" s="320">
        <f t="shared" si="178"/>
        <v>0</v>
      </c>
      <c r="AL401" s="320">
        <f t="shared" si="178"/>
        <v>0</v>
      </c>
      <c r="AM401" s="320">
        <f t="shared" si="178"/>
        <v>0</v>
      </c>
      <c r="AN401" s="320">
        <f t="shared" si="178"/>
        <v>0</v>
      </c>
      <c r="AO401" s="320">
        <f t="shared" si="178"/>
        <v>0</v>
      </c>
      <c r="AP401" s="320">
        <f t="shared" si="178"/>
        <v>0</v>
      </c>
      <c r="AQ401" s="320">
        <f t="shared" si="178"/>
        <v>0</v>
      </c>
      <c r="AR401" s="320">
        <f t="shared" si="178"/>
        <v>0</v>
      </c>
      <c r="AS401" s="320">
        <f t="shared" si="178"/>
        <v>0</v>
      </c>
      <c r="AT401" s="320">
        <f t="shared" si="178"/>
        <v>0</v>
      </c>
      <c r="AU401" s="320">
        <f t="shared" si="178"/>
        <v>0</v>
      </c>
      <c r="AV401" s="320">
        <f t="shared" si="178"/>
        <v>0</v>
      </c>
    </row>
    <row r="402" spans="1:48" s="320" customFormat="1" ht="15" customHeight="1">
      <c r="A402" s="351"/>
      <c r="B402" s="134"/>
      <c r="C402" s="322"/>
      <c r="D402" s="724"/>
    </row>
    <row r="403" spans="1:48" s="320" customFormat="1" ht="15" customHeight="1">
      <c r="A403" s="351"/>
      <c r="B403" s="134"/>
      <c r="C403" s="322" t="s">
        <v>1234</v>
      </c>
      <c r="D403" s="724"/>
    </row>
    <row r="404" spans="1:48" s="186" customFormat="1" ht="15" customHeight="1">
      <c r="D404" s="857"/>
      <c r="E404" s="186" t="str">
        <f xml:space="preserve"> InputsTS!E$98</f>
        <v>Total Capex (2022 FS)</v>
      </c>
      <c r="F404" s="186">
        <f xml:space="preserve"> InputsTS!F$98</f>
        <v>0</v>
      </c>
      <c r="G404" s="186" t="str">
        <f xml:space="preserve"> InputsTS!G$98</f>
        <v>$ mn (2019 real)</v>
      </c>
      <c r="H404" s="186">
        <f xml:space="preserve"> InputsTS!H$98</f>
        <v>0</v>
      </c>
      <c r="I404" s="186">
        <f xml:space="preserve"> InputsTS!I$98</f>
        <v>0</v>
      </c>
      <c r="J404" s="70">
        <f xml:space="preserve"> InputsTS!J$98</f>
        <v>433.5</v>
      </c>
      <c r="K404" s="186">
        <f xml:space="preserve"> InputsTS!K$98</f>
        <v>0</v>
      </c>
      <c r="L404" s="70">
        <f xml:space="preserve"> InputsTS!L$98</f>
        <v>0</v>
      </c>
      <c r="M404" s="70">
        <f xml:space="preserve"> InputsTS!M$98</f>
        <v>0</v>
      </c>
      <c r="N404" s="70">
        <f xml:space="preserve"> InputsTS!N$98</f>
        <v>0</v>
      </c>
      <c r="O404" s="70">
        <f xml:space="preserve"> InputsTS!O$98</f>
        <v>0</v>
      </c>
      <c r="P404" s="70">
        <f xml:space="preserve"> InputsTS!P$98</f>
        <v>0</v>
      </c>
      <c r="Q404" s="70">
        <f xml:space="preserve"> InputsTS!Q$98</f>
        <v>175.6</v>
      </c>
      <c r="R404" s="70">
        <f xml:space="preserve"> InputsTS!R$98</f>
        <v>58.9</v>
      </c>
      <c r="S404" s="70">
        <f xml:space="preserve"> InputsTS!S$98</f>
        <v>18.600000000000001</v>
      </c>
      <c r="T404" s="70">
        <f xml:space="preserve"> InputsTS!T$98</f>
        <v>19.399999999999999</v>
      </c>
      <c r="U404" s="70">
        <f xml:space="preserve"> InputsTS!U$98</f>
        <v>6.1</v>
      </c>
      <c r="V404" s="70">
        <f xml:space="preserve"> InputsTS!V$98</f>
        <v>26.7</v>
      </c>
      <c r="W404" s="70">
        <f xml:space="preserve"> InputsTS!W$98</f>
        <v>11.7</v>
      </c>
      <c r="X404" s="70">
        <f xml:space="preserve"> InputsTS!X$98</f>
        <v>28.8</v>
      </c>
      <c r="Y404" s="70">
        <f xml:space="preserve"> InputsTS!Y$98</f>
        <v>8.4</v>
      </c>
      <c r="Z404" s="70">
        <f xml:space="preserve"> InputsTS!Z$98</f>
        <v>18.3</v>
      </c>
      <c r="AA404" s="70">
        <f xml:space="preserve"> InputsTS!AA$98</f>
        <v>7.7</v>
      </c>
      <c r="AB404" s="70">
        <f xml:space="preserve"> InputsTS!AB$98</f>
        <v>33.799999999999997</v>
      </c>
      <c r="AC404" s="70">
        <f xml:space="preserve"> InputsTS!AC$98</f>
        <v>6.4</v>
      </c>
      <c r="AD404" s="70">
        <f xml:space="preserve"> InputsTS!AD$98</f>
        <v>13.1</v>
      </c>
      <c r="AE404" s="70">
        <f xml:space="preserve"> InputsTS!AE$98</f>
        <v>0</v>
      </c>
      <c r="AF404" s="70">
        <f xml:space="preserve"> InputsTS!AF$98</f>
        <v>0</v>
      </c>
      <c r="AG404" s="70">
        <f xml:space="preserve"> InputsTS!AG$98</f>
        <v>0</v>
      </c>
      <c r="AH404" s="70">
        <f xml:space="preserve"> InputsTS!AH$98</f>
        <v>0</v>
      </c>
      <c r="AI404" s="70">
        <f xml:space="preserve"> InputsTS!AI$98</f>
        <v>0</v>
      </c>
      <c r="AJ404" s="70">
        <f xml:space="preserve"> InputsTS!AJ$98</f>
        <v>0</v>
      </c>
      <c r="AK404" s="70">
        <f xml:space="preserve"> InputsTS!AK$98</f>
        <v>0</v>
      </c>
      <c r="AL404" s="70">
        <f xml:space="preserve"> InputsTS!AL$98</f>
        <v>0</v>
      </c>
      <c r="AM404" s="70">
        <f xml:space="preserve"> InputsTS!AM$98</f>
        <v>0</v>
      </c>
      <c r="AN404" s="70">
        <f xml:space="preserve"> InputsTS!AN$98</f>
        <v>0</v>
      </c>
      <c r="AO404" s="70">
        <f xml:space="preserve"> InputsTS!AO$98</f>
        <v>0</v>
      </c>
      <c r="AP404" s="70">
        <f xml:space="preserve"> InputsTS!AP$98</f>
        <v>0</v>
      </c>
      <c r="AQ404" s="70">
        <f xml:space="preserve"> InputsTS!AQ$98</f>
        <v>0</v>
      </c>
      <c r="AR404" s="70">
        <f xml:space="preserve"> InputsTS!AR$98</f>
        <v>0</v>
      </c>
      <c r="AS404" s="70">
        <f xml:space="preserve"> InputsTS!AS$98</f>
        <v>0</v>
      </c>
      <c r="AT404" s="70">
        <f xml:space="preserve"> InputsTS!AT$98</f>
        <v>0</v>
      </c>
      <c r="AU404" s="70">
        <f xml:space="preserve"> InputsTS!AU$98</f>
        <v>0</v>
      </c>
      <c r="AV404" s="70">
        <f xml:space="preserve"> InputsTS!AV$98</f>
        <v>0</v>
      </c>
    </row>
    <row r="405" spans="1:48" ht="15" customHeight="1">
      <c r="E405" s="121" t="s">
        <v>1236</v>
      </c>
      <c r="F405" s="821">
        <v>2020</v>
      </c>
      <c r="G405" s="121" t="s">
        <v>62</v>
      </c>
    </row>
    <row r="406" spans="1:48" s="868" customFormat="1" ht="15" customHeight="1">
      <c r="A406" s="972"/>
      <c r="B406" s="973"/>
      <c r="C406" s="974"/>
      <c r="D406" s="975"/>
      <c r="E406" s="868" t="s">
        <v>1229</v>
      </c>
      <c r="G406" s="868" t="s">
        <v>1214</v>
      </c>
      <c r="L406" s="868">
        <f t="shared" ref="L406:AV406" si="179">IF(L2&lt;$F$405,0,L404)</f>
        <v>0</v>
      </c>
      <c r="M406" s="868">
        <f t="shared" si="179"/>
        <v>0</v>
      </c>
      <c r="N406" s="868">
        <f t="shared" si="179"/>
        <v>0</v>
      </c>
      <c r="O406" s="868">
        <f t="shared" si="179"/>
        <v>0</v>
      </c>
      <c r="P406" s="868">
        <f t="shared" si="179"/>
        <v>0</v>
      </c>
      <c r="Q406" s="868">
        <f t="shared" si="179"/>
        <v>0</v>
      </c>
      <c r="R406" s="868">
        <f t="shared" si="179"/>
        <v>58.9</v>
      </c>
      <c r="S406" s="868">
        <f t="shared" si="179"/>
        <v>18.600000000000001</v>
      </c>
      <c r="T406" s="868">
        <f t="shared" si="179"/>
        <v>19.399999999999999</v>
      </c>
      <c r="U406" s="868">
        <f t="shared" si="179"/>
        <v>6.1</v>
      </c>
      <c r="V406" s="868">
        <f t="shared" si="179"/>
        <v>26.7</v>
      </c>
      <c r="W406" s="868">
        <f t="shared" si="179"/>
        <v>11.7</v>
      </c>
      <c r="X406" s="868">
        <f t="shared" si="179"/>
        <v>28.8</v>
      </c>
      <c r="Y406" s="868">
        <f t="shared" si="179"/>
        <v>8.4</v>
      </c>
      <c r="Z406" s="868">
        <f t="shared" si="179"/>
        <v>18.3</v>
      </c>
      <c r="AA406" s="868">
        <f t="shared" si="179"/>
        <v>7.7</v>
      </c>
      <c r="AB406" s="868">
        <f t="shared" si="179"/>
        <v>33.799999999999997</v>
      </c>
      <c r="AC406" s="868">
        <f t="shared" si="179"/>
        <v>6.4</v>
      </c>
      <c r="AD406" s="868">
        <f t="shared" si="179"/>
        <v>13.1</v>
      </c>
      <c r="AE406" s="868">
        <f t="shared" si="179"/>
        <v>0</v>
      </c>
      <c r="AF406" s="868">
        <f t="shared" si="179"/>
        <v>0</v>
      </c>
      <c r="AG406" s="868">
        <f t="shared" si="179"/>
        <v>0</v>
      </c>
      <c r="AH406" s="868">
        <f t="shared" si="179"/>
        <v>0</v>
      </c>
      <c r="AI406" s="868">
        <f t="shared" si="179"/>
        <v>0</v>
      </c>
      <c r="AJ406" s="868">
        <f t="shared" si="179"/>
        <v>0</v>
      </c>
      <c r="AK406" s="868">
        <f t="shared" si="179"/>
        <v>0</v>
      </c>
      <c r="AL406" s="868">
        <f t="shared" si="179"/>
        <v>0</v>
      </c>
      <c r="AM406" s="868">
        <f t="shared" si="179"/>
        <v>0</v>
      </c>
      <c r="AN406" s="868">
        <f t="shared" si="179"/>
        <v>0</v>
      </c>
      <c r="AO406" s="868">
        <f t="shared" si="179"/>
        <v>0</v>
      </c>
      <c r="AP406" s="868">
        <f t="shared" si="179"/>
        <v>0</v>
      </c>
      <c r="AQ406" s="868">
        <f t="shared" si="179"/>
        <v>0</v>
      </c>
      <c r="AR406" s="868">
        <f t="shared" si="179"/>
        <v>0</v>
      </c>
      <c r="AS406" s="868">
        <f t="shared" si="179"/>
        <v>0</v>
      </c>
      <c r="AT406" s="868">
        <f t="shared" si="179"/>
        <v>0</v>
      </c>
      <c r="AU406" s="868">
        <f t="shared" si="179"/>
        <v>0</v>
      </c>
      <c r="AV406" s="868">
        <f t="shared" si="179"/>
        <v>0</v>
      </c>
    </row>
    <row r="407" spans="1:48" s="320" customFormat="1" ht="15" customHeight="1">
      <c r="A407" s="351"/>
      <c r="B407" s="134"/>
      <c r="C407" s="322"/>
      <c r="D407" s="724"/>
    </row>
    <row r="408" spans="1:48" s="320" customFormat="1" ht="15" customHeight="1">
      <c r="A408" s="351"/>
      <c r="B408" s="134"/>
      <c r="C408" s="322" t="s">
        <v>1215</v>
      </c>
      <c r="D408" s="724"/>
    </row>
    <row r="409" spans="1:48" s="320" customFormat="1" ht="15" customHeight="1">
      <c r="A409" s="351"/>
      <c r="B409" s="134"/>
      <c r="C409" s="322"/>
      <c r="D409" s="724"/>
      <c r="E409" s="610" t="str">
        <f xml:space="preserve"> 'T&amp;E'!E$42</f>
        <v>USD CPI Inflation (incl forecast) from 2019</v>
      </c>
      <c r="F409" s="610">
        <f xml:space="preserve"> 'T&amp;E'!F$42</f>
        <v>0</v>
      </c>
      <c r="G409" s="610" t="str">
        <f xml:space="preserve"> 'T&amp;E'!G$42</f>
        <v>index</v>
      </c>
      <c r="H409" s="610">
        <f xml:space="preserve"> 'T&amp;E'!H$42</f>
        <v>0</v>
      </c>
      <c r="I409" s="610">
        <f xml:space="preserve"> 'T&amp;E'!I$42</f>
        <v>0</v>
      </c>
      <c r="J409" s="610">
        <f xml:space="preserve"> 'T&amp;E'!J$42</f>
        <v>0</v>
      </c>
      <c r="K409" s="610">
        <f xml:space="preserve"> 'T&amp;E'!K$42</f>
        <v>0</v>
      </c>
      <c r="L409" s="610">
        <f xml:space="preserve"> 'T&amp;E'!L$42</f>
        <v>1</v>
      </c>
      <c r="M409" s="610">
        <f xml:space="preserve"> 'T&amp;E'!M$42</f>
        <v>1</v>
      </c>
      <c r="N409" s="610">
        <f xml:space="preserve"> 'T&amp;E'!N$42</f>
        <v>1</v>
      </c>
      <c r="O409" s="610">
        <f xml:space="preserve"> 'T&amp;E'!O$42</f>
        <v>1</v>
      </c>
      <c r="P409" s="610">
        <f xml:space="preserve"> 'T&amp;E'!P$42</f>
        <v>1</v>
      </c>
      <c r="Q409" s="610">
        <f xml:space="preserve"> 'T&amp;E'!Q$42</f>
        <v>1</v>
      </c>
      <c r="R409" s="610">
        <f xml:space="preserve"> 'T&amp;E'!R$42</f>
        <v>1.0125287010127009</v>
      </c>
      <c r="S409" s="610">
        <f xml:space="preserve"> 'T&amp;E'!S$42</f>
        <v>1.0599054186729671</v>
      </c>
      <c r="T409" s="610">
        <f xml:space="preserve"> 'T&amp;E'!T$42</f>
        <v>1.1446179000442005</v>
      </c>
      <c r="U409" s="610">
        <f xml:space="preserve"> 'T&amp;E'!U$42</f>
        <v>1.1918655364889128</v>
      </c>
      <c r="V409" s="610">
        <f xml:space="preserve"> 'T&amp;E'!V$42</f>
        <v>1.2270460350553289</v>
      </c>
      <c r="W409" s="610">
        <f xml:space="preserve"> 'T&amp;E'!W$42</f>
        <v>1.2637051002726352</v>
      </c>
      <c r="X409" s="610">
        <f xml:space="preserve"> 'T&amp;E'!X$42</f>
        <v>1.2948606118449619</v>
      </c>
      <c r="Y409" s="610">
        <f xml:space="preserve"> 'T&amp;E'!Y$42</f>
        <v>1.3221867140225227</v>
      </c>
      <c r="Z409" s="610">
        <f xml:space="preserve"> 'T&amp;E'!Z$42</f>
        <v>1.3506862817960283</v>
      </c>
      <c r="AA409" s="610">
        <f xml:space="preserve"> 'T&amp;E'!AA$42</f>
        <v>1.379983806174776</v>
      </c>
      <c r="AB409" s="610">
        <f xml:space="preserve"> 'T&amp;E'!AB$42</f>
        <v>1.4099971445670501</v>
      </c>
      <c r="AC409" s="610">
        <f xml:space="preserve"> 'T&amp;E'!AC$42</f>
        <v>1.4381970874583911</v>
      </c>
      <c r="AD409" s="610">
        <f xml:space="preserve"> 'T&amp;E'!AD$42</f>
        <v>1.466961029207559</v>
      </c>
      <c r="AE409" s="610">
        <f xml:space="preserve"> 'T&amp;E'!AE$42</f>
        <v>1.4963002497917102</v>
      </c>
      <c r="AF409" s="610">
        <f xml:space="preserve"> 'T&amp;E'!AF$42</f>
        <v>1.5262262547875443</v>
      </c>
      <c r="AG409" s="610">
        <f xml:space="preserve"> 'T&amp;E'!AG$42</f>
        <v>1.5567507798832954</v>
      </c>
      <c r="AH409" s="610">
        <f xml:space="preserve"> 'T&amp;E'!AH$42</f>
        <v>1.5878857954809611</v>
      </c>
      <c r="AI409" s="610">
        <f xml:space="preserve"> 'T&amp;E'!AI$42</f>
        <v>1.6196435113905805</v>
      </c>
      <c r="AJ409" s="610">
        <f xml:space="preserve"> 'T&amp;E'!AJ$42</f>
        <v>1.6520363816183923</v>
      </c>
      <c r="AK409" s="610">
        <f xml:space="preserve"> 'T&amp;E'!AK$42</f>
        <v>1.6850771092507602</v>
      </c>
      <c r="AL409" s="610">
        <f xml:space="preserve"> 'T&amp;E'!AL$42</f>
        <v>1.7187786514357755</v>
      </c>
      <c r="AM409" s="610">
        <f xml:space="preserve"> 'T&amp;E'!AM$42</f>
        <v>1.7531542244644909</v>
      </c>
      <c r="AN409" s="610">
        <f xml:space="preserve"> 'T&amp;E'!AN$42</f>
        <v>1.7882173089537807</v>
      </c>
      <c r="AO409" s="610">
        <f xml:space="preserve"> 'T&amp;E'!AO$42</f>
        <v>1.8239816551328565</v>
      </c>
      <c r="AP409" s="610">
        <f xml:space="preserve"> 'T&amp;E'!AP$42</f>
        <v>1.8604612882355136</v>
      </c>
      <c r="AQ409" s="610">
        <f xml:space="preserve"> 'T&amp;E'!AQ$42</f>
        <v>1.8976705140002237</v>
      </c>
      <c r="AR409" s="610">
        <f xml:space="preserve"> 'T&amp;E'!AR$42</f>
        <v>1.9356239242802284</v>
      </c>
      <c r="AS409" s="610">
        <f xml:space="preserve"> 'T&amp;E'!AS$42</f>
        <v>1.974336402765833</v>
      </c>
      <c r="AT409" s="610">
        <f xml:space="preserve"> 'T&amp;E'!AT$42</f>
        <v>2.0138231308211498</v>
      </c>
      <c r="AU409" s="610">
        <f xml:space="preserve"> 'T&amp;E'!AU$42</f>
        <v>2.0540995934375732</v>
      </c>
      <c r="AV409" s="610">
        <f xml:space="preserve"> 'T&amp;E'!AV$42</f>
        <v>2.0951815853063245</v>
      </c>
    </row>
    <row r="410" spans="1:48" s="136" customFormat="1" ht="15" customHeight="1">
      <c r="A410" s="574"/>
      <c r="B410" s="574"/>
      <c r="C410" s="575"/>
      <c r="D410" s="576"/>
      <c r="E410" s="871" t="s">
        <v>1258</v>
      </c>
      <c r="F410" s="871"/>
      <c r="G410" s="871" t="s">
        <v>29</v>
      </c>
      <c r="H410" s="871"/>
      <c r="I410" s="871"/>
      <c r="J410" s="871">
        <f xml:space="preserve"> SUM(L410:AV410)</f>
        <v>1501.9969697316285</v>
      </c>
      <c r="K410" s="871"/>
      <c r="L410" s="871">
        <f t="shared" ref="L410:AV410" si="180" xml:space="preserve"> ( L401 + L404 ) * L409</f>
        <v>0</v>
      </c>
      <c r="M410" s="871">
        <f t="shared" si="180"/>
        <v>0</v>
      </c>
      <c r="N410" s="871">
        <f t="shared" si="180"/>
        <v>0</v>
      </c>
      <c r="O410" s="871">
        <f t="shared" si="180"/>
        <v>0</v>
      </c>
      <c r="P410" s="871">
        <f t="shared" si="180"/>
        <v>1010.1999999999999</v>
      </c>
      <c r="Q410" s="871">
        <f t="shared" si="180"/>
        <v>175.6</v>
      </c>
      <c r="R410" s="871">
        <f t="shared" si="180"/>
        <v>59.637940489648081</v>
      </c>
      <c r="S410" s="871">
        <f t="shared" si="180"/>
        <v>19.714240787317188</v>
      </c>
      <c r="T410" s="871">
        <f t="shared" si="180"/>
        <v>22.205587260857488</v>
      </c>
      <c r="U410" s="871">
        <f t="shared" si="180"/>
        <v>7.270379772582368</v>
      </c>
      <c r="V410" s="871">
        <f t="shared" si="180"/>
        <v>32.762129135977283</v>
      </c>
      <c r="W410" s="871">
        <f t="shared" si="180"/>
        <v>14.785349673189831</v>
      </c>
      <c r="X410" s="871">
        <f t="shared" si="180"/>
        <v>37.291985621134906</v>
      </c>
      <c r="Y410" s="871">
        <f t="shared" si="180"/>
        <v>11.106368397789192</v>
      </c>
      <c r="Z410" s="871">
        <f t="shared" si="180"/>
        <v>24.717558956867318</v>
      </c>
      <c r="AA410" s="871">
        <f t="shared" si="180"/>
        <v>10.625875307545776</v>
      </c>
      <c r="AB410" s="871">
        <f t="shared" si="180"/>
        <v>47.657903486366287</v>
      </c>
      <c r="AC410" s="871">
        <f t="shared" si="180"/>
        <v>9.2044613597337044</v>
      </c>
      <c r="AD410" s="871">
        <f t="shared" si="180"/>
        <v>19.217189482619023</v>
      </c>
      <c r="AE410" s="871">
        <f t="shared" si="180"/>
        <v>0</v>
      </c>
      <c r="AF410" s="871">
        <f t="shared" si="180"/>
        <v>0</v>
      </c>
      <c r="AG410" s="871">
        <f t="shared" si="180"/>
        <v>0</v>
      </c>
      <c r="AH410" s="871">
        <f t="shared" si="180"/>
        <v>0</v>
      </c>
      <c r="AI410" s="871">
        <f t="shared" si="180"/>
        <v>0</v>
      </c>
      <c r="AJ410" s="871">
        <f t="shared" si="180"/>
        <v>0</v>
      </c>
      <c r="AK410" s="871">
        <f t="shared" si="180"/>
        <v>0</v>
      </c>
      <c r="AL410" s="871">
        <f t="shared" si="180"/>
        <v>0</v>
      </c>
      <c r="AM410" s="871">
        <f t="shared" si="180"/>
        <v>0</v>
      </c>
      <c r="AN410" s="871">
        <f t="shared" si="180"/>
        <v>0</v>
      </c>
      <c r="AO410" s="871">
        <f t="shared" si="180"/>
        <v>0</v>
      </c>
      <c r="AP410" s="871">
        <f t="shared" si="180"/>
        <v>0</v>
      </c>
      <c r="AQ410" s="871">
        <f t="shared" si="180"/>
        <v>0</v>
      </c>
      <c r="AR410" s="871">
        <f t="shared" si="180"/>
        <v>0</v>
      </c>
      <c r="AS410" s="871">
        <f t="shared" si="180"/>
        <v>0</v>
      </c>
      <c r="AT410" s="871">
        <f t="shared" si="180"/>
        <v>0</v>
      </c>
      <c r="AU410" s="871">
        <f t="shared" si="180"/>
        <v>0</v>
      </c>
      <c r="AV410" s="871">
        <f t="shared" si="180"/>
        <v>0</v>
      </c>
    </row>
    <row r="411" spans="1:48" s="320" customFormat="1" ht="15" customHeight="1">
      <c r="A411" s="351"/>
      <c r="B411" s="134"/>
      <c r="C411" s="322"/>
      <c r="D411" s="724"/>
      <c r="E411" s="320" t="s">
        <v>1237</v>
      </c>
      <c r="G411" s="320" t="s">
        <v>29</v>
      </c>
      <c r="L411" s="320">
        <f t="shared" ref="L411:AV411" si="181" xml:space="preserve"> L410 + K411</f>
        <v>0</v>
      </c>
      <c r="M411" s="320">
        <f t="shared" si="181"/>
        <v>0</v>
      </c>
      <c r="N411" s="320">
        <f t="shared" si="181"/>
        <v>0</v>
      </c>
      <c r="O411" s="320">
        <f t="shared" si="181"/>
        <v>0</v>
      </c>
      <c r="P411" s="320">
        <f t="shared" si="181"/>
        <v>1010.1999999999999</v>
      </c>
      <c r="Q411" s="320">
        <f t="shared" si="181"/>
        <v>1185.8</v>
      </c>
      <c r="R411" s="320">
        <f t="shared" si="181"/>
        <v>1245.4379404896481</v>
      </c>
      <c r="S411" s="320">
        <f t="shared" si="181"/>
        <v>1265.1521812769654</v>
      </c>
      <c r="T411" s="320">
        <f t="shared" si="181"/>
        <v>1287.3577685378229</v>
      </c>
      <c r="U411" s="320">
        <f t="shared" si="181"/>
        <v>1294.6281483104053</v>
      </c>
      <c r="V411" s="320">
        <f t="shared" si="181"/>
        <v>1327.3902774463827</v>
      </c>
      <c r="W411" s="320">
        <f t="shared" si="181"/>
        <v>1342.1756271195725</v>
      </c>
      <c r="X411" s="320">
        <f t="shared" si="181"/>
        <v>1379.4676127407074</v>
      </c>
      <c r="Y411" s="320">
        <f t="shared" si="181"/>
        <v>1390.5739811384965</v>
      </c>
      <c r="Z411" s="320">
        <f t="shared" si="181"/>
        <v>1415.2915400953639</v>
      </c>
      <c r="AA411" s="320">
        <f t="shared" si="181"/>
        <v>1425.9174154029097</v>
      </c>
      <c r="AB411" s="320">
        <f t="shared" si="181"/>
        <v>1473.5753188892759</v>
      </c>
      <c r="AC411" s="320">
        <f t="shared" si="181"/>
        <v>1482.7797802490095</v>
      </c>
      <c r="AD411" s="320">
        <f t="shared" si="181"/>
        <v>1501.9969697316285</v>
      </c>
      <c r="AE411" s="320">
        <f t="shared" si="181"/>
        <v>1501.9969697316285</v>
      </c>
      <c r="AF411" s="320">
        <f t="shared" si="181"/>
        <v>1501.9969697316285</v>
      </c>
      <c r="AG411" s="320">
        <f t="shared" si="181"/>
        <v>1501.9969697316285</v>
      </c>
      <c r="AH411" s="320">
        <f t="shared" si="181"/>
        <v>1501.9969697316285</v>
      </c>
      <c r="AI411" s="320">
        <f t="shared" si="181"/>
        <v>1501.9969697316285</v>
      </c>
      <c r="AJ411" s="320">
        <f t="shared" si="181"/>
        <v>1501.9969697316285</v>
      </c>
      <c r="AK411" s="320">
        <f t="shared" si="181"/>
        <v>1501.9969697316285</v>
      </c>
      <c r="AL411" s="320">
        <f t="shared" si="181"/>
        <v>1501.9969697316285</v>
      </c>
      <c r="AM411" s="320">
        <f t="shared" si="181"/>
        <v>1501.9969697316285</v>
      </c>
      <c r="AN411" s="320">
        <f t="shared" si="181"/>
        <v>1501.9969697316285</v>
      </c>
      <c r="AO411" s="320">
        <f t="shared" si="181"/>
        <v>1501.9969697316285</v>
      </c>
      <c r="AP411" s="320">
        <f t="shared" si="181"/>
        <v>1501.9969697316285</v>
      </c>
      <c r="AQ411" s="320">
        <f t="shared" si="181"/>
        <v>1501.9969697316285</v>
      </c>
      <c r="AR411" s="320">
        <f t="shared" si="181"/>
        <v>1501.9969697316285</v>
      </c>
      <c r="AS411" s="320">
        <f t="shared" si="181"/>
        <v>1501.9969697316285</v>
      </c>
      <c r="AT411" s="320">
        <f t="shared" si="181"/>
        <v>1501.9969697316285</v>
      </c>
      <c r="AU411" s="320">
        <f t="shared" si="181"/>
        <v>1501.9969697316285</v>
      </c>
      <c r="AV411" s="320">
        <f t="shared" si="181"/>
        <v>1501.9969697316285</v>
      </c>
    </row>
    <row r="412" spans="1:48" s="320" customFormat="1" ht="15" customHeight="1">
      <c r="A412" s="351"/>
      <c r="B412" s="134"/>
      <c r="C412" s="322"/>
      <c r="D412" s="724"/>
      <c r="E412" s="320" t="s">
        <v>1238</v>
      </c>
      <c r="F412" s="320">
        <f>SUM(L410:AV410)</f>
        <v>1501.9969697316285</v>
      </c>
      <c r="G412" s="320" t="s">
        <v>29</v>
      </c>
    </row>
    <row r="413" spans="1:48" s="320" customFormat="1" ht="15" customHeight="1">
      <c r="A413" s="351"/>
      <c r="B413" s="134"/>
      <c r="C413" s="322"/>
      <c r="D413" s="724"/>
    </row>
    <row r="414" spans="1:48" s="320" customFormat="1" ht="15" customHeight="1">
      <c r="A414" s="351"/>
      <c r="B414" s="134"/>
      <c r="C414" s="322" t="s">
        <v>855</v>
      </c>
      <c r="D414" s="724"/>
    </row>
    <row r="415" spans="1:48" s="320" customFormat="1" ht="15" customHeight="1">
      <c r="A415" s="351"/>
      <c r="B415" s="134"/>
      <c r="C415" s="322"/>
      <c r="D415" s="724"/>
      <c r="E415" s="132" t="str">
        <f xml:space="preserve"> InputsCon!E$99</f>
        <v>Straight line depreciation years (AVERAGE)</v>
      </c>
      <c r="F415" s="170">
        <f xml:space="preserve"> InputsCon!F$99</f>
        <v>7</v>
      </c>
      <c r="G415" s="132" t="str">
        <f xml:space="preserve"> InputsCon!G$99</f>
        <v>years</v>
      </c>
    </row>
    <row r="416" spans="1:48" s="320" customFormat="1" ht="15" customHeight="1">
      <c r="A416" s="351"/>
      <c r="B416" s="134"/>
      <c r="C416" s="322"/>
      <c r="D416" s="724"/>
      <c r="E416" s="320" t="str">
        <f t="shared" ref="E416:K416" si="182" xml:space="preserve"> E$410</f>
        <v>Capital Costs inc. Sens.</v>
      </c>
      <c r="F416" s="320">
        <f t="shared" si="182"/>
        <v>0</v>
      </c>
      <c r="G416" s="320" t="str">
        <f t="shared" si="182"/>
        <v>$ mn</v>
      </c>
      <c r="H416" s="320">
        <f t="shared" si="182"/>
        <v>0</v>
      </c>
      <c r="I416" s="320">
        <f t="shared" si="182"/>
        <v>0</v>
      </c>
      <c r="J416" s="320">
        <f t="shared" si="182"/>
        <v>1501.9969697316285</v>
      </c>
      <c r="K416" s="320">
        <f t="shared" si="182"/>
        <v>0</v>
      </c>
      <c r="L416" s="320">
        <f t="shared" ref="L416:AV416" si="183" xml:space="preserve"> L$410</f>
        <v>0</v>
      </c>
      <c r="M416" s="320">
        <f t="shared" si="183"/>
        <v>0</v>
      </c>
      <c r="N416" s="320">
        <f t="shared" si="183"/>
        <v>0</v>
      </c>
      <c r="O416" s="320">
        <f t="shared" si="183"/>
        <v>0</v>
      </c>
      <c r="P416" s="320">
        <f t="shared" si="183"/>
        <v>1010.1999999999999</v>
      </c>
      <c r="Q416" s="320">
        <f t="shared" si="183"/>
        <v>175.6</v>
      </c>
      <c r="R416" s="320">
        <f t="shared" si="183"/>
        <v>59.637940489648081</v>
      </c>
      <c r="S416" s="320">
        <f t="shared" si="183"/>
        <v>19.714240787317188</v>
      </c>
      <c r="T416" s="320">
        <f t="shared" si="183"/>
        <v>22.205587260857488</v>
      </c>
      <c r="U416" s="320">
        <f t="shared" si="183"/>
        <v>7.270379772582368</v>
      </c>
      <c r="V416" s="320">
        <f t="shared" si="183"/>
        <v>32.762129135977283</v>
      </c>
      <c r="W416" s="320">
        <f t="shared" si="183"/>
        <v>14.785349673189831</v>
      </c>
      <c r="X416" s="320">
        <f t="shared" si="183"/>
        <v>37.291985621134906</v>
      </c>
      <c r="Y416" s="320">
        <f t="shared" si="183"/>
        <v>11.106368397789192</v>
      </c>
      <c r="Z416" s="320">
        <f t="shared" si="183"/>
        <v>24.717558956867318</v>
      </c>
      <c r="AA416" s="320">
        <f t="shared" si="183"/>
        <v>10.625875307545776</v>
      </c>
      <c r="AB416" s="320">
        <f t="shared" si="183"/>
        <v>47.657903486366287</v>
      </c>
      <c r="AC416" s="320">
        <f t="shared" si="183"/>
        <v>9.2044613597337044</v>
      </c>
      <c r="AD416" s="320">
        <f t="shared" si="183"/>
        <v>19.217189482619023</v>
      </c>
      <c r="AE416" s="320">
        <f t="shared" si="183"/>
        <v>0</v>
      </c>
      <c r="AF416" s="320">
        <f t="shared" si="183"/>
        <v>0</v>
      </c>
      <c r="AG416" s="320">
        <f t="shared" si="183"/>
        <v>0</v>
      </c>
      <c r="AH416" s="320">
        <f t="shared" si="183"/>
        <v>0</v>
      </c>
      <c r="AI416" s="320">
        <f t="shared" si="183"/>
        <v>0</v>
      </c>
      <c r="AJ416" s="320">
        <f t="shared" si="183"/>
        <v>0</v>
      </c>
      <c r="AK416" s="320">
        <f t="shared" si="183"/>
        <v>0</v>
      </c>
      <c r="AL416" s="320">
        <f t="shared" si="183"/>
        <v>0</v>
      </c>
      <c r="AM416" s="320">
        <f t="shared" si="183"/>
        <v>0</v>
      </c>
      <c r="AN416" s="320">
        <f t="shared" si="183"/>
        <v>0</v>
      </c>
      <c r="AO416" s="320">
        <f t="shared" si="183"/>
        <v>0</v>
      </c>
      <c r="AP416" s="320">
        <f t="shared" si="183"/>
        <v>0</v>
      </c>
      <c r="AQ416" s="320">
        <f t="shared" si="183"/>
        <v>0</v>
      </c>
      <c r="AR416" s="320">
        <f t="shared" si="183"/>
        <v>0</v>
      </c>
      <c r="AS416" s="320">
        <f t="shared" si="183"/>
        <v>0</v>
      </c>
      <c r="AT416" s="320">
        <f t="shared" si="183"/>
        <v>0</v>
      </c>
      <c r="AU416" s="320">
        <f t="shared" si="183"/>
        <v>0</v>
      </c>
      <c r="AV416" s="320">
        <f t="shared" si="183"/>
        <v>0</v>
      </c>
    </row>
    <row r="417" spans="1:48" s="320" customFormat="1" ht="15" customHeight="1">
      <c r="A417" s="351"/>
      <c r="B417" s="134"/>
      <c r="C417" s="322"/>
      <c r="D417" s="724"/>
      <c r="E417" s="183" t="str">
        <f xml:space="preserve"> E$170</f>
        <v>Last year of Cu production</v>
      </c>
      <c r="F417" s="183">
        <f xml:space="preserve"> F$170</f>
        <v>2032</v>
      </c>
      <c r="G417" s="183" t="str">
        <f xml:space="preserve"> G$170</f>
        <v>year</v>
      </c>
    </row>
    <row r="418" spans="1:48" s="320" customFormat="1" ht="15" customHeight="1">
      <c r="A418" s="351"/>
      <c r="B418" s="134"/>
      <c r="C418" s="322"/>
      <c r="D418" s="724"/>
    </row>
    <row r="419" spans="1:48" s="320" customFormat="1" ht="15" customHeight="1">
      <c r="A419" s="351"/>
      <c r="B419" s="134"/>
      <c r="C419" s="322"/>
      <c r="D419" s="724"/>
      <c r="E419" s="108" t="str">
        <f xml:space="preserve"> 'T&amp;E'!E$9</f>
        <v>Model calendar year</v>
      </c>
      <c r="F419" s="108">
        <f xml:space="preserve"> 'T&amp;E'!F$9</f>
        <v>0</v>
      </c>
      <c r="G419" s="108" t="str">
        <f xml:space="preserve"> 'T&amp;E'!G$9</f>
        <v>year</v>
      </c>
      <c r="H419" s="108">
        <f xml:space="preserve"> 'T&amp;E'!H$9</f>
        <v>0</v>
      </c>
      <c r="I419" s="108">
        <f xml:space="preserve"> 'T&amp;E'!I$9</f>
        <v>0</v>
      </c>
      <c r="J419" s="108">
        <f xml:space="preserve"> 'T&amp;E'!J$9</f>
        <v>0</v>
      </c>
      <c r="K419" s="108">
        <f xml:space="preserve"> 'T&amp;E'!K$9</f>
        <v>0</v>
      </c>
      <c r="L419" s="108">
        <f xml:space="preserve"> 'T&amp;E'!L$9</f>
        <v>2014</v>
      </c>
      <c r="M419" s="108">
        <f xml:space="preserve"> 'T&amp;E'!M$9</f>
        <v>2015</v>
      </c>
      <c r="N419" s="108">
        <f xml:space="preserve"> 'T&amp;E'!N$9</f>
        <v>2016</v>
      </c>
      <c r="O419" s="108">
        <f xml:space="preserve"> 'T&amp;E'!O$9</f>
        <v>2017</v>
      </c>
      <c r="P419" s="108">
        <f xml:space="preserve"> 'T&amp;E'!P$9</f>
        <v>2018</v>
      </c>
      <c r="Q419" s="108">
        <f xml:space="preserve"> 'T&amp;E'!Q$9</f>
        <v>2019</v>
      </c>
      <c r="R419" s="108">
        <f xml:space="preserve"> 'T&amp;E'!R$9</f>
        <v>2020</v>
      </c>
      <c r="S419" s="108">
        <f xml:space="preserve"> 'T&amp;E'!S$9</f>
        <v>2021</v>
      </c>
      <c r="T419" s="108">
        <f xml:space="preserve"> 'T&amp;E'!T$9</f>
        <v>2022</v>
      </c>
      <c r="U419" s="108">
        <f xml:space="preserve"> 'T&amp;E'!U$9</f>
        <v>2023</v>
      </c>
      <c r="V419" s="108">
        <f xml:space="preserve"> 'T&amp;E'!V$9</f>
        <v>2024</v>
      </c>
      <c r="W419" s="108">
        <f xml:space="preserve"> 'T&amp;E'!W$9</f>
        <v>2025</v>
      </c>
      <c r="X419" s="108">
        <f xml:space="preserve"> 'T&amp;E'!X$9</f>
        <v>2026</v>
      </c>
      <c r="Y419" s="108">
        <f xml:space="preserve"> 'T&amp;E'!Y$9</f>
        <v>2027</v>
      </c>
      <c r="Z419" s="108">
        <f xml:space="preserve"> 'T&amp;E'!Z$9</f>
        <v>2028</v>
      </c>
      <c r="AA419" s="108">
        <f xml:space="preserve"> 'T&amp;E'!AA$9</f>
        <v>2029</v>
      </c>
      <c r="AB419" s="108">
        <f xml:space="preserve"> 'T&amp;E'!AB$9</f>
        <v>2030</v>
      </c>
      <c r="AC419" s="108">
        <f xml:space="preserve"> 'T&amp;E'!AC$9</f>
        <v>2031</v>
      </c>
      <c r="AD419" s="108">
        <f xml:space="preserve"> 'T&amp;E'!AD$9</f>
        <v>2032</v>
      </c>
      <c r="AE419" s="108">
        <f xml:space="preserve"> 'T&amp;E'!AE$9</f>
        <v>2033</v>
      </c>
      <c r="AF419" s="108">
        <f xml:space="preserve"> 'T&amp;E'!AF$9</f>
        <v>2034</v>
      </c>
      <c r="AG419" s="108">
        <f xml:space="preserve"> 'T&amp;E'!AG$9</f>
        <v>2035</v>
      </c>
      <c r="AH419" s="108">
        <f xml:space="preserve"> 'T&amp;E'!AH$9</f>
        <v>2036</v>
      </c>
      <c r="AI419" s="108">
        <f xml:space="preserve"> 'T&amp;E'!AI$9</f>
        <v>2037</v>
      </c>
      <c r="AJ419" s="108">
        <f xml:space="preserve"> 'T&amp;E'!AJ$9</f>
        <v>2038</v>
      </c>
      <c r="AK419" s="108">
        <f xml:space="preserve"> 'T&amp;E'!AK$9</f>
        <v>2039</v>
      </c>
      <c r="AL419" s="108">
        <f xml:space="preserve"> 'T&amp;E'!AL$9</f>
        <v>2040</v>
      </c>
      <c r="AM419" s="108">
        <f xml:space="preserve"> 'T&amp;E'!AM$9</f>
        <v>2041</v>
      </c>
      <c r="AN419" s="108">
        <f xml:space="preserve"> 'T&amp;E'!AN$9</f>
        <v>2042</v>
      </c>
      <c r="AO419" s="108">
        <f xml:space="preserve"> 'T&amp;E'!AO$9</f>
        <v>2043</v>
      </c>
      <c r="AP419" s="108">
        <f xml:space="preserve"> 'T&amp;E'!AP$9</f>
        <v>2044</v>
      </c>
      <c r="AQ419" s="108">
        <f xml:space="preserve"> 'T&amp;E'!AQ$9</f>
        <v>2045</v>
      </c>
      <c r="AR419" s="108">
        <f xml:space="preserve"> 'T&amp;E'!AR$9</f>
        <v>2046</v>
      </c>
      <c r="AS419" s="108">
        <f xml:space="preserve"> 'T&amp;E'!AS$9</f>
        <v>2047</v>
      </c>
      <c r="AT419" s="108">
        <f xml:space="preserve"> 'T&amp;E'!AT$9</f>
        <v>2048</v>
      </c>
      <c r="AU419" s="108">
        <f xml:space="preserve"> 'T&amp;E'!AU$9</f>
        <v>2049</v>
      </c>
      <c r="AV419" s="108">
        <f xml:space="preserve"> 'T&amp;E'!AV$9</f>
        <v>2050</v>
      </c>
    </row>
    <row r="420" spans="1:48" s="132" customFormat="1" ht="15" customHeight="1">
      <c r="A420" s="133"/>
      <c r="B420" s="133"/>
      <c r="C420" s="217"/>
      <c r="D420" s="725"/>
      <c r="E420" s="70" t="str">
        <f xml:space="preserve"> 'T&amp;E'!E$11</f>
        <v>model column</v>
      </c>
      <c r="F420" s="70">
        <f xml:space="preserve"> 'T&amp;E'!F$11</f>
        <v>0</v>
      </c>
      <c r="G420" s="70" t="str">
        <f xml:space="preserve"> 'T&amp;E'!G$11</f>
        <v>#</v>
      </c>
      <c r="H420" s="70">
        <f xml:space="preserve"> 'T&amp;E'!H$11</f>
        <v>0</v>
      </c>
      <c r="I420" s="70">
        <f xml:space="preserve"> 'T&amp;E'!I$11</f>
        <v>0</v>
      </c>
      <c r="J420" s="70">
        <f xml:space="preserve"> 'T&amp;E'!J$11</f>
        <v>0</v>
      </c>
      <c r="K420" s="70">
        <f xml:space="preserve"> 'T&amp;E'!K$11</f>
        <v>0</v>
      </c>
      <c r="L420" s="70">
        <f xml:space="preserve"> 'T&amp;E'!L$11</f>
        <v>1</v>
      </c>
      <c r="M420" s="70">
        <f xml:space="preserve"> 'T&amp;E'!M$11</f>
        <v>2</v>
      </c>
      <c r="N420" s="70">
        <f xml:space="preserve"> 'T&amp;E'!N$11</f>
        <v>3</v>
      </c>
      <c r="O420" s="70">
        <f xml:space="preserve"> 'T&amp;E'!O$11</f>
        <v>4</v>
      </c>
      <c r="P420" s="70">
        <f xml:space="preserve"> 'T&amp;E'!P$11</f>
        <v>5</v>
      </c>
      <c r="Q420" s="70">
        <f xml:space="preserve"> 'T&amp;E'!Q$11</f>
        <v>6</v>
      </c>
      <c r="R420" s="70">
        <f xml:space="preserve"> 'T&amp;E'!R$11</f>
        <v>7</v>
      </c>
      <c r="S420" s="70">
        <f xml:space="preserve"> 'T&amp;E'!S$11</f>
        <v>8</v>
      </c>
      <c r="T420" s="70">
        <f xml:space="preserve"> 'T&amp;E'!T$11</f>
        <v>9</v>
      </c>
      <c r="U420" s="70">
        <f xml:space="preserve"> 'T&amp;E'!U$11</f>
        <v>10</v>
      </c>
      <c r="V420" s="70">
        <f xml:space="preserve"> 'T&amp;E'!V$11</f>
        <v>11</v>
      </c>
      <c r="W420" s="70">
        <f xml:space="preserve"> 'T&amp;E'!W$11</f>
        <v>12</v>
      </c>
      <c r="X420" s="70">
        <f xml:space="preserve"> 'T&amp;E'!X$11</f>
        <v>13</v>
      </c>
      <c r="Y420" s="70">
        <f xml:space="preserve"> 'T&amp;E'!Y$11</f>
        <v>14</v>
      </c>
      <c r="Z420" s="70">
        <f xml:space="preserve"> 'T&amp;E'!Z$11</f>
        <v>15</v>
      </c>
      <c r="AA420" s="70">
        <f xml:space="preserve"> 'T&amp;E'!AA$11</f>
        <v>16</v>
      </c>
      <c r="AB420" s="70">
        <f xml:space="preserve"> 'T&amp;E'!AB$11</f>
        <v>17</v>
      </c>
      <c r="AC420" s="70">
        <f xml:space="preserve"> 'T&amp;E'!AC$11</f>
        <v>18</v>
      </c>
      <c r="AD420" s="70">
        <f xml:space="preserve"> 'T&amp;E'!AD$11</f>
        <v>19</v>
      </c>
      <c r="AE420" s="70">
        <f xml:space="preserve"> 'T&amp;E'!AE$11</f>
        <v>20</v>
      </c>
      <c r="AF420" s="70">
        <f xml:space="preserve"> 'T&amp;E'!AF$11</f>
        <v>21</v>
      </c>
      <c r="AG420" s="70">
        <f xml:space="preserve"> 'T&amp;E'!AG$11</f>
        <v>22</v>
      </c>
      <c r="AH420" s="70">
        <f xml:space="preserve"> 'T&amp;E'!AH$11</f>
        <v>23</v>
      </c>
      <c r="AI420" s="70">
        <f xml:space="preserve"> 'T&amp;E'!AI$11</f>
        <v>24</v>
      </c>
      <c r="AJ420" s="70">
        <f xml:space="preserve"> 'T&amp;E'!AJ$11</f>
        <v>25</v>
      </c>
      <c r="AK420" s="70">
        <f xml:space="preserve"> 'T&amp;E'!AK$11</f>
        <v>26</v>
      </c>
      <c r="AL420" s="70">
        <f xml:space="preserve"> 'T&amp;E'!AL$11</f>
        <v>27</v>
      </c>
      <c r="AM420" s="70">
        <f xml:space="preserve"> 'T&amp;E'!AM$11</f>
        <v>28</v>
      </c>
      <c r="AN420" s="70">
        <f xml:space="preserve"> 'T&amp;E'!AN$11</f>
        <v>29</v>
      </c>
      <c r="AO420" s="70">
        <f xml:space="preserve"> 'T&amp;E'!AO$11</f>
        <v>30</v>
      </c>
      <c r="AP420" s="70">
        <f xml:space="preserve"> 'T&amp;E'!AP$11</f>
        <v>31</v>
      </c>
      <c r="AQ420" s="70">
        <f xml:space="preserve"> 'T&amp;E'!AQ$11</f>
        <v>32</v>
      </c>
      <c r="AR420" s="70">
        <f xml:space="preserve"> 'T&amp;E'!AR$11</f>
        <v>33</v>
      </c>
      <c r="AS420" s="70">
        <f xml:space="preserve"> 'T&amp;E'!AS$11</f>
        <v>34</v>
      </c>
      <c r="AT420" s="70">
        <f xml:space="preserve"> 'T&amp;E'!AT$11</f>
        <v>35</v>
      </c>
      <c r="AU420" s="70">
        <f xml:space="preserve"> 'T&amp;E'!AU$11</f>
        <v>36</v>
      </c>
      <c r="AV420" s="70">
        <f xml:space="preserve"> 'T&amp;E'!AV$11</f>
        <v>37</v>
      </c>
    </row>
    <row r="421" spans="1:48" s="320" customFormat="1" ht="15" customHeight="1">
      <c r="A421" s="351"/>
      <c r="B421" s="134"/>
      <c r="C421" s="322"/>
      <c r="D421" s="724"/>
      <c r="E421" s="332" t="s">
        <v>856</v>
      </c>
      <c r="F421" s="332"/>
      <c r="G421" s="332" t="s">
        <v>29</v>
      </c>
      <c r="H421" s="332"/>
      <c r="I421" s="332"/>
      <c r="J421" s="332"/>
      <c r="K421" s="332"/>
      <c r="L421" s="332">
        <f t="shared" ref="L421:AV421" si="184" xml:space="preserve"> K424 * (L419 &lt;= $F417)</f>
        <v>0</v>
      </c>
      <c r="M421" s="332">
        <f t="shared" si="184"/>
        <v>0</v>
      </c>
      <c r="N421" s="332">
        <f t="shared" si="184"/>
        <v>0</v>
      </c>
      <c r="O421" s="332">
        <f t="shared" si="184"/>
        <v>0</v>
      </c>
      <c r="P421" s="332">
        <f t="shared" si="184"/>
        <v>0</v>
      </c>
      <c r="Q421" s="332">
        <f t="shared" si="184"/>
        <v>1010.1999999999999</v>
      </c>
      <c r="R421" s="332">
        <f t="shared" si="184"/>
        <v>1185.8</v>
      </c>
      <c r="S421" s="332">
        <f t="shared" si="184"/>
        <v>1245.4379404896481</v>
      </c>
      <c r="T421" s="332">
        <f t="shared" si="184"/>
        <v>1265.1521812769654</v>
      </c>
      <c r="U421" s="332">
        <f t="shared" si="184"/>
        <v>1287.3577685378229</v>
      </c>
      <c r="V421" s="332">
        <f t="shared" si="184"/>
        <v>1294.6281483104053</v>
      </c>
      <c r="W421" s="332">
        <f t="shared" si="184"/>
        <v>1327.3902774463827</v>
      </c>
      <c r="X421" s="332">
        <f t="shared" si="184"/>
        <v>331.97562711957255</v>
      </c>
      <c r="Y421" s="332">
        <f t="shared" si="184"/>
        <v>193.66761274070748</v>
      </c>
      <c r="Z421" s="332">
        <f t="shared" si="184"/>
        <v>145.13604064884859</v>
      </c>
      <c r="AA421" s="332">
        <f t="shared" si="184"/>
        <v>150.13935881839873</v>
      </c>
      <c r="AB421" s="332">
        <f t="shared" si="184"/>
        <v>138.55964686508702</v>
      </c>
      <c r="AC421" s="332">
        <f t="shared" si="184"/>
        <v>178.94717057887092</v>
      </c>
      <c r="AD421" s="332">
        <f t="shared" si="184"/>
        <v>155.38950280262733</v>
      </c>
      <c r="AE421" s="332">
        <f t="shared" si="184"/>
        <v>0</v>
      </c>
      <c r="AF421" s="332">
        <f t="shared" si="184"/>
        <v>0</v>
      </c>
      <c r="AG421" s="332">
        <f t="shared" si="184"/>
        <v>0</v>
      </c>
      <c r="AH421" s="332">
        <f t="shared" si="184"/>
        <v>0</v>
      </c>
      <c r="AI421" s="332">
        <f t="shared" si="184"/>
        <v>0</v>
      </c>
      <c r="AJ421" s="332">
        <f t="shared" si="184"/>
        <v>0</v>
      </c>
      <c r="AK421" s="332">
        <f t="shared" si="184"/>
        <v>0</v>
      </c>
      <c r="AL421" s="332">
        <f t="shared" si="184"/>
        <v>0</v>
      </c>
      <c r="AM421" s="332">
        <f t="shared" si="184"/>
        <v>0</v>
      </c>
      <c r="AN421" s="332">
        <f t="shared" si="184"/>
        <v>0</v>
      </c>
      <c r="AO421" s="332">
        <f t="shared" si="184"/>
        <v>0</v>
      </c>
      <c r="AP421" s="332">
        <f t="shared" si="184"/>
        <v>0</v>
      </c>
      <c r="AQ421" s="332">
        <f t="shared" si="184"/>
        <v>0</v>
      </c>
      <c r="AR421" s="332">
        <f t="shared" si="184"/>
        <v>0</v>
      </c>
      <c r="AS421" s="332">
        <f t="shared" si="184"/>
        <v>0</v>
      </c>
      <c r="AT421" s="332">
        <f t="shared" si="184"/>
        <v>0</v>
      </c>
      <c r="AU421" s="332">
        <f t="shared" si="184"/>
        <v>0</v>
      </c>
      <c r="AV421" s="332">
        <f t="shared" si="184"/>
        <v>0</v>
      </c>
    </row>
    <row r="422" spans="1:48" s="320" customFormat="1" ht="15" customHeight="1">
      <c r="A422" s="351"/>
      <c r="B422" s="134"/>
      <c r="C422" s="322"/>
      <c r="D422" s="724"/>
      <c r="E422" s="333" t="str">
        <f t="shared" ref="E422:AV422" si="185" xml:space="preserve"> E$416</f>
        <v>Capital Costs inc. Sens.</v>
      </c>
      <c r="F422" s="333">
        <f t="shared" si="185"/>
        <v>0</v>
      </c>
      <c r="G422" s="333" t="str">
        <f t="shared" si="185"/>
        <v>$ mn</v>
      </c>
      <c r="H422" s="333">
        <f t="shared" si="185"/>
        <v>0</v>
      </c>
      <c r="I422" s="333">
        <f t="shared" si="185"/>
        <v>0</v>
      </c>
      <c r="J422" s="333">
        <f t="shared" si="185"/>
        <v>1501.9969697316285</v>
      </c>
      <c r="K422" s="333">
        <f t="shared" si="185"/>
        <v>0</v>
      </c>
      <c r="L422" s="333">
        <f t="shared" si="185"/>
        <v>0</v>
      </c>
      <c r="M422" s="333">
        <f t="shared" si="185"/>
        <v>0</v>
      </c>
      <c r="N422" s="333">
        <f t="shared" si="185"/>
        <v>0</v>
      </c>
      <c r="O422" s="333">
        <f t="shared" si="185"/>
        <v>0</v>
      </c>
      <c r="P422" s="333">
        <f t="shared" si="185"/>
        <v>1010.1999999999999</v>
      </c>
      <c r="Q422" s="333">
        <f t="shared" si="185"/>
        <v>175.6</v>
      </c>
      <c r="R422" s="333">
        <f t="shared" si="185"/>
        <v>59.637940489648081</v>
      </c>
      <c r="S422" s="333">
        <f t="shared" si="185"/>
        <v>19.714240787317188</v>
      </c>
      <c r="T422" s="333">
        <f t="shared" si="185"/>
        <v>22.205587260857488</v>
      </c>
      <c r="U422" s="333">
        <f t="shared" si="185"/>
        <v>7.270379772582368</v>
      </c>
      <c r="V422" s="333">
        <f t="shared" si="185"/>
        <v>32.762129135977283</v>
      </c>
      <c r="W422" s="333">
        <f t="shared" si="185"/>
        <v>14.785349673189831</v>
      </c>
      <c r="X422" s="333">
        <f t="shared" si="185"/>
        <v>37.291985621134906</v>
      </c>
      <c r="Y422" s="333">
        <f t="shared" si="185"/>
        <v>11.106368397789192</v>
      </c>
      <c r="Z422" s="333">
        <f t="shared" si="185"/>
        <v>24.717558956867318</v>
      </c>
      <c r="AA422" s="333">
        <f t="shared" si="185"/>
        <v>10.625875307545776</v>
      </c>
      <c r="AB422" s="333">
        <f t="shared" si="185"/>
        <v>47.657903486366287</v>
      </c>
      <c r="AC422" s="333">
        <f t="shared" si="185"/>
        <v>9.2044613597337044</v>
      </c>
      <c r="AD422" s="333">
        <f t="shared" si="185"/>
        <v>19.217189482619023</v>
      </c>
      <c r="AE422" s="333">
        <f t="shared" si="185"/>
        <v>0</v>
      </c>
      <c r="AF422" s="333">
        <f t="shared" si="185"/>
        <v>0</v>
      </c>
      <c r="AG422" s="333">
        <f t="shared" si="185"/>
        <v>0</v>
      </c>
      <c r="AH422" s="333">
        <f t="shared" si="185"/>
        <v>0</v>
      </c>
      <c r="AI422" s="333">
        <f t="shared" si="185"/>
        <v>0</v>
      </c>
      <c r="AJ422" s="333">
        <f t="shared" si="185"/>
        <v>0</v>
      </c>
      <c r="AK422" s="333">
        <f t="shared" si="185"/>
        <v>0</v>
      </c>
      <c r="AL422" s="333">
        <f t="shared" si="185"/>
        <v>0</v>
      </c>
      <c r="AM422" s="333">
        <f t="shared" si="185"/>
        <v>0</v>
      </c>
      <c r="AN422" s="333">
        <f t="shared" si="185"/>
        <v>0</v>
      </c>
      <c r="AO422" s="333">
        <f t="shared" si="185"/>
        <v>0</v>
      </c>
      <c r="AP422" s="333">
        <f t="shared" si="185"/>
        <v>0</v>
      </c>
      <c r="AQ422" s="333">
        <f t="shared" si="185"/>
        <v>0</v>
      </c>
      <c r="AR422" s="333">
        <f t="shared" si="185"/>
        <v>0</v>
      </c>
      <c r="AS422" s="333">
        <f t="shared" si="185"/>
        <v>0</v>
      </c>
      <c r="AT422" s="333">
        <f t="shared" si="185"/>
        <v>0</v>
      </c>
      <c r="AU422" s="333">
        <f t="shared" si="185"/>
        <v>0</v>
      </c>
      <c r="AV422" s="333">
        <f t="shared" si="185"/>
        <v>0</v>
      </c>
    </row>
    <row r="423" spans="1:48" s="320" customFormat="1" ht="15" customHeight="1">
      <c r="A423" s="351"/>
      <c r="B423" s="134"/>
      <c r="C423" s="322"/>
      <c r="D423" s="724"/>
      <c r="E423" s="333" t="s">
        <v>854</v>
      </c>
      <c r="F423" s="333"/>
      <c r="G423" s="333" t="s">
        <v>29</v>
      </c>
      <c r="H423" s="333"/>
      <c r="I423" s="333"/>
      <c r="J423" s="333">
        <f xml:space="preserve"> SUM(L423:AV423)</f>
        <v>1327.3902774463827</v>
      </c>
      <c r="K423" s="333"/>
      <c r="L423" s="333">
        <f t="shared" ref="L423:AV423" si="186" xml:space="preserve"> IF(L420 &lt;= $F415, 0, SUMIFS($L$422:$AV$422, $L$420:$AV$420, L420 - $F415)) * (L419 &lt; $F417)</f>
        <v>0</v>
      </c>
      <c r="M423" s="333">
        <f t="shared" si="186"/>
        <v>0</v>
      </c>
      <c r="N423" s="333">
        <f t="shared" si="186"/>
        <v>0</v>
      </c>
      <c r="O423" s="333">
        <f t="shared" si="186"/>
        <v>0</v>
      </c>
      <c r="P423" s="333">
        <f t="shared" si="186"/>
        <v>0</v>
      </c>
      <c r="Q423" s="333">
        <f t="shared" si="186"/>
        <v>0</v>
      </c>
      <c r="R423" s="333">
        <f t="shared" si="186"/>
        <v>0</v>
      </c>
      <c r="S423" s="333">
        <f t="shared" si="186"/>
        <v>0</v>
      </c>
      <c r="T423" s="333">
        <f t="shared" si="186"/>
        <v>0</v>
      </c>
      <c r="U423" s="333">
        <f t="shared" si="186"/>
        <v>0</v>
      </c>
      <c r="V423" s="333">
        <f t="shared" si="186"/>
        <v>0</v>
      </c>
      <c r="W423" s="333">
        <f t="shared" si="186"/>
        <v>1010.1999999999999</v>
      </c>
      <c r="X423" s="333">
        <f t="shared" si="186"/>
        <v>175.6</v>
      </c>
      <c r="Y423" s="333">
        <f t="shared" si="186"/>
        <v>59.637940489648081</v>
      </c>
      <c r="Z423" s="333">
        <f t="shared" si="186"/>
        <v>19.714240787317188</v>
      </c>
      <c r="AA423" s="333">
        <f t="shared" si="186"/>
        <v>22.205587260857488</v>
      </c>
      <c r="AB423" s="333">
        <f t="shared" si="186"/>
        <v>7.270379772582368</v>
      </c>
      <c r="AC423" s="333">
        <f t="shared" si="186"/>
        <v>32.762129135977283</v>
      </c>
      <c r="AD423" s="333">
        <f t="shared" si="186"/>
        <v>0</v>
      </c>
      <c r="AE423" s="333">
        <f t="shared" si="186"/>
        <v>0</v>
      </c>
      <c r="AF423" s="333">
        <f t="shared" si="186"/>
        <v>0</v>
      </c>
      <c r="AG423" s="333">
        <f t="shared" si="186"/>
        <v>0</v>
      </c>
      <c r="AH423" s="333">
        <f t="shared" si="186"/>
        <v>0</v>
      </c>
      <c r="AI423" s="333">
        <f t="shared" si="186"/>
        <v>0</v>
      </c>
      <c r="AJ423" s="333">
        <f t="shared" si="186"/>
        <v>0</v>
      </c>
      <c r="AK423" s="333">
        <f t="shared" si="186"/>
        <v>0</v>
      </c>
      <c r="AL423" s="333">
        <f t="shared" si="186"/>
        <v>0</v>
      </c>
      <c r="AM423" s="333">
        <f t="shared" si="186"/>
        <v>0</v>
      </c>
      <c r="AN423" s="333">
        <f t="shared" si="186"/>
        <v>0</v>
      </c>
      <c r="AO423" s="333">
        <f t="shared" si="186"/>
        <v>0</v>
      </c>
      <c r="AP423" s="333">
        <f t="shared" si="186"/>
        <v>0</v>
      </c>
      <c r="AQ423" s="333">
        <f t="shared" si="186"/>
        <v>0</v>
      </c>
      <c r="AR423" s="333">
        <f t="shared" si="186"/>
        <v>0</v>
      </c>
      <c r="AS423" s="333">
        <f t="shared" si="186"/>
        <v>0</v>
      </c>
      <c r="AT423" s="333">
        <f t="shared" si="186"/>
        <v>0</v>
      </c>
      <c r="AU423" s="333">
        <f t="shared" si="186"/>
        <v>0</v>
      </c>
      <c r="AV423" s="333">
        <f t="shared" si="186"/>
        <v>0</v>
      </c>
    </row>
    <row r="424" spans="1:48" s="320" customFormat="1" ht="15" customHeight="1">
      <c r="A424" s="351"/>
      <c r="B424" s="134"/>
      <c r="C424" s="322"/>
      <c r="D424" s="724"/>
      <c r="E424" s="335" t="s">
        <v>857</v>
      </c>
      <c r="F424" s="335"/>
      <c r="G424" s="335" t="s">
        <v>29</v>
      </c>
      <c r="H424" s="335"/>
      <c r="I424" s="335"/>
      <c r="J424" s="335"/>
      <c r="K424" s="336"/>
      <c r="L424" s="335">
        <f t="shared" ref="L424:AV424" si="187" xml:space="preserve"> L421 + L422 - L423</f>
        <v>0</v>
      </c>
      <c r="M424" s="335">
        <f t="shared" si="187"/>
        <v>0</v>
      </c>
      <c r="N424" s="335">
        <f t="shared" si="187"/>
        <v>0</v>
      </c>
      <c r="O424" s="335">
        <f t="shared" si="187"/>
        <v>0</v>
      </c>
      <c r="P424" s="335">
        <f t="shared" si="187"/>
        <v>1010.1999999999999</v>
      </c>
      <c r="Q424" s="335">
        <f t="shared" si="187"/>
        <v>1185.8</v>
      </c>
      <c r="R424" s="335">
        <f t="shared" si="187"/>
        <v>1245.4379404896481</v>
      </c>
      <c r="S424" s="335">
        <f t="shared" si="187"/>
        <v>1265.1521812769654</v>
      </c>
      <c r="T424" s="335">
        <f t="shared" si="187"/>
        <v>1287.3577685378229</v>
      </c>
      <c r="U424" s="335">
        <f t="shared" si="187"/>
        <v>1294.6281483104053</v>
      </c>
      <c r="V424" s="335">
        <f t="shared" si="187"/>
        <v>1327.3902774463827</v>
      </c>
      <c r="W424" s="335">
        <f t="shared" si="187"/>
        <v>331.97562711957255</v>
      </c>
      <c r="X424" s="335">
        <f t="shared" si="187"/>
        <v>193.66761274070748</v>
      </c>
      <c r="Y424" s="335">
        <f t="shared" si="187"/>
        <v>145.13604064884859</v>
      </c>
      <c r="Z424" s="335">
        <f t="shared" si="187"/>
        <v>150.13935881839873</v>
      </c>
      <c r="AA424" s="335">
        <f t="shared" si="187"/>
        <v>138.55964686508702</v>
      </c>
      <c r="AB424" s="335">
        <f t="shared" si="187"/>
        <v>178.94717057887092</v>
      </c>
      <c r="AC424" s="335">
        <f t="shared" si="187"/>
        <v>155.38950280262733</v>
      </c>
      <c r="AD424" s="335">
        <f t="shared" si="187"/>
        <v>174.60669228524637</v>
      </c>
      <c r="AE424" s="335">
        <f t="shared" si="187"/>
        <v>0</v>
      </c>
      <c r="AF424" s="335">
        <f t="shared" si="187"/>
        <v>0</v>
      </c>
      <c r="AG424" s="335">
        <f t="shared" si="187"/>
        <v>0</v>
      </c>
      <c r="AH424" s="335">
        <f t="shared" si="187"/>
        <v>0</v>
      </c>
      <c r="AI424" s="335">
        <f t="shared" si="187"/>
        <v>0</v>
      </c>
      <c r="AJ424" s="335">
        <f t="shared" si="187"/>
        <v>0</v>
      </c>
      <c r="AK424" s="335">
        <f t="shared" si="187"/>
        <v>0</v>
      </c>
      <c r="AL424" s="335">
        <f t="shared" si="187"/>
        <v>0</v>
      </c>
      <c r="AM424" s="335">
        <f t="shared" si="187"/>
        <v>0</v>
      </c>
      <c r="AN424" s="335">
        <f t="shared" si="187"/>
        <v>0</v>
      </c>
      <c r="AO424" s="335">
        <f t="shared" si="187"/>
        <v>0</v>
      </c>
      <c r="AP424" s="335">
        <f t="shared" si="187"/>
        <v>0</v>
      </c>
      <c r="AQ424" s="335">
        <f t="shared" si="187"/>
        <v>0</v>
      </c>
      <c r="AR424" s="335">
        <f t="shared" si="187"/>
        <v>0</v>
      </c>
      <c r="AS424" s="335">
        <f t="shared" si="187"/>
        <v>0</v>
      </c>
      <c r="AT424" s="335">
        <f t="shared" si="187"/>
        <v>0</v>
      </c>
      <c r="AU424" s="335">
        <f t="shared" si="187"/>
        <v>0</v>
      </c>
      <c r="AV424" s="335">
        <f t="shared" si="187"/>
        <v>0</v>
      </c>
    </row>
    <row r="425" spans="1:48" s="320" customFormat="1" ht="15" customHeight="1">
      <c r="A425" s="351"/>
      <c r="B425" s="134"/>
      <c r="C425" s="322"/>
      <c r="D425" s="724"/>
    </row>
    <row r="426" spans="1:48" s="320" customFormat="1" ht="15" customHeight="1">
      <c r="A426" s="351"/>
      <c r="B426" s="134"/>
      <c r="C426" s="322"/>
      <c r="D426" s="724"/>
      <c r="E426" s="320" t="s">
        <v>860</v>
      </c>
      <c r="G426" s="320" t="s">
        <v>29</v>
      </c>
      <c r="J426" s="320">
        <f xml:space="preserve"> SUM(L426:AV426)</f>
        <v>1415.6830393764767</v>
      </c>
      <c r="L426" s="320">
        <f t="shared" ref="L426:AV426" si="188" xml:space="preserve"> IF( L419 &lt; $F417, L424 / $F415, 0)</f>
        <v>0</v>
      </c>
      <c r="M426" s="320">
        <f t="shared" si="188"/>
        <v>0</v>
      </c>
      <c r="N426" s="320">
        <f t="shared" si="188"/>
        <v>0</v>
      </c>
      <c r="O426" s="320">
        <f t="shared" si="188"/>
        <v>0</v>
      </c>
      <c r="P426" s="320">
        <f t="shared" si="188"/>
        <v>144.31428571428572</v>
      </c>
      <c r="Q426" s="320">
        <f t="shared" si="188"/>
        <v>169.4</v>
      </c>
      <c r="R426" s="320">
        <f t="shared" si="188"/>
        <v>177.91970578423545</v>
      </c>
      <c r="S426" s="320">
        <f t="shared" si="188"/>
        <v>180.73602589670935</v>
      </c>
      <c r="T426" s="320">
        <f t="shared" si="188"/>
        <v>183.90825264826043</v>
      </c>
      <c r="U426" s="320">
        <f t="shared" si="188"/>
        <v>184.9468783300579</v>
      </c>
      <c r="V426" s="320">
        <f t="shared" si="188"/>
        <v>189.62718249234038</v>
      </c>
      <c r="W426" s="320">
        <f t="shared" si="188"/>
        <v>47.425089588510367</v>
      </c>
      <c r="X426" s="320">
        <f t="shared" si="188"/>
        <v>27.666801820101067</v>
      </c>
      <c r="Y426" s="320">
        <f t="shared" si="188"/>
        <v>20.733720092692657</v>
      </c>
      <c r="Z426" s="320">
        <f t="shared" si="188"/>
        <v>21.448479831199819</v>
      </c>
      <c r="AA426" s="320">
        <f t="shared" si="188"/>
        <v>19.794235266441003</v>
      </c>
      <c r="AB426" s="320">
        <f t="shared" si="188"/>
        <v>25.563881511267276</v>
      </c>
      <c r="AC426" s="320">
        <f t="shared" si="188"/>
        <v>22.198500400375334</v>
      </c>
      <c r="AD426" s="320">
        <f t="shared" si="188"/>
        <v>0</v>
      </c>
      <c r="AE426" s="320">
        <f t="shared" si="188"/>
        <v>0</v>
      </c>
      <c r="AF426" s="320">
        <f t="shared" si="188"/>
        <v>0</v>
      </c>
      <c r="AG426" s="320">
        <f t="shared" si="188"/>
        <v>0</v>
      </c>
      <c r="AH426" s="320">
        <f t="shared" si="188"/>
        <v>0</v>
      </c>
      <c r="AI426" s="320">
        <f t="shared" si="188"/>
        <v>0</v>
      </c>
      <c r="AJ426" s="320">
        <f t="shared" si="188"/>
        <v>0</v>
      </c>
      <c r="AK426" s="320">
        <f t="shared" si="188"/>
        <v>0</v>
      </c>
      <c r="AL426" s="320">
        <f t="shared" si="188"/>
        <v>0</v>
      </c>
      <c r="AM426" s="320">
        <f t="shared" si="188"/>
        <v>0</v>
      </c>
      <c r="AN426" s="320">
        <f t="shared" si="188"/>
        <v>0</v>
      </c>
      <c r="AO426" s="320">
        <f t="shared" si="188"/>
        <v>0</v>
      </c>
      <c r="AP426" s="320">
        <f t="shared" si="188"/>
        <v>0</v>
      </c>
      <c r="AQ426" s="320">
        <f t="shared" si="188"/>
        <v>0</v>
      </c>
      <c r="AR426" s="320">
        <f t="shared" si="188"/>
        <v>0</v>
      </c>
      <c r="AS426" s="320">
        <f t="shared" si="188"/>
        <v>0</v>
      </c>
      <c r="AT426" s="320">
        <f t="shared" si="188"/>
        <v>0</v>
      </c>
      <c r="AU426" s="320">
        <f t="shared" si="188"/>
        <v>0</v>
      </c>
      <c r="AV426" s="320">
        <f t="shared" si="188"/>
        <v>0</v>
      </c>
    </row>
    <row r="427" spans="1:48" s="320" customFormat="1" ht="15" customHeight="1">
      <c r="A427" s="351"/>
      <c r="B427" s="134"/>
      <c r="C427" s="322"/>
      <c r="D427" s="724"/>
    </row>
    <row r="428" spans="1:48" s="320" customFormat="1" ht="15" customHeight="1">
      <c r="A428" s="351"/>
      <c r="B428" s="134"/>
      <c r="C428" s="322"/>
      <c r="D428" s="724"/>
      <c r="E428" s="332" t="s">
        <v>861</v>
      </c>
      <c r="F428" s="332"/>
      <c r="G428" s="332"/>
      <c r="H428" s="332"/>
      <c r="I428" s="332"/>
      <c r="J428" s="332"/>
      <c r="K428" s="332"/>
      <c r="L428" s="332">
        <f t="shared" ref="L428:AV428" si="189" xml:space="preserve"> K432</f>
        <v>0</v>
      </c>
      <c r="M428" s="332">
        <f t="shared" si="189"/>
        <v>0</v>
      </c>
      <c r="N428" s="332">
        <f t="shared" si="189"/>
        <v>0</v>
      </c>
      <c r="O428" s="332">
        <f t="shared" si="189"/>
        <v>0</v>
      </c>
      <c r="P428" s="332">
        <f t="shared" si="189"/>
        <v>0</v>
      </c>
      <c r="Q428" s="332">
        <f t="shared" si="189"/>
        <v>865.88571428571424</v>
      </c>
      <c r="R428" s="332">
        <f t="shared" si="189"/>
        <v>872.08571428571429</v>
      </c>
      <c r="S428" s="332">
        <f t="shared" si="189"/>
        <v>753.80394899112684</v>
      </c>
      <c r="T428" s="332">
        <f t="shared" si="189"/>
        <v>592.78216388173473</v>
      </c>
      <c r="U428" s="332">
        <f t="shared" si="189"/>
        <v>431.07949849433174</v>
      </c>
      <c r="V428" s="332">
        <f t="shared" si="189"/>
        <v>253.40299993685622</v>
      </c>
      <c r="W428" s="332">
        <f t="shared" si="189"/>
        <v>96.537946580493127</v>
      </c>
      <c r="X428" s="332">
        <f t="shared" si="189"/>
        <v>63.898206665172587</v>
      </c>
      <c r="Y428" s="332">
        <f t="shared" si="189"/>
        <v>73.523390466206422</v>
      </c>
      <c r="Z428" s="332">
        <f t="shared" si="189"/>
        <v>63.896038771302962</v>
      </c>
      <c r="AA428" s="332">
        <f t="shared" si="189"/>
        <v>67.165117896970457</v>
      </c>
      <c r="AB428" s="332">
        <f t="shared" si="189"/>
        <v>57.996757938075234</v>
      </c>
      <c r="AC428" s="332">
        <f t="shared" si="189"/>
        <v>80.090779913174231</v>
      </c>
      <c r="AD428" s="332">
        <f t="shared" si="189"/>
        <v>67.096740872532592</v>
      </c>
      <c r="AE428" s="332">
        <f t="shared" si="189"/>
        <v>0</v>
      </c>
      <c r="AF428" s="332">
        <f t="shared" si="189"/>
        <v>0</v>
      </c>
      <c r="AG428" s="332">
        <f t="shared" si="189"/>
        <v>0</v>
      </c>
      <c r="AH428" s="332">
        <f t="shared" si="189"/>
        <v>0</v>
      </c>
      <c r="AI428" s="332">
        <f t="shared" si="189"/>
        <v>0</v>
      </c>
      <c r="AJ428" s="332">
        <f t="shared" si="189"/>
        <v>0</v>
      </c>
      <c r="AK428" s="332">
        <f t="shared" si="189"/>
        <v>0</v>
      </c>
      <c r="AL428" s="332">
        <f t="shared" si="189"/>
        <v>0</v>
      </c>
      <c r="AM428" s="332">
        <f t="shared" si="189"/>
        <v>0</v>
      </c>
      <c r="AN428" s="332">
        <f t="shared" si="189"/>
        <v>0</v>
      </c>
      <c r="AO428" s="332">
        <f t="shared" si="189"/>
        <v>0</v>
      </c>
      <c r="AP428" s="332">
        <f t="shared" si="189"/>
        <v>0</v>
      </c>
      <c r="AQ428" s="332">
        <f t="shared" si="189"/>
        <v>0</v>
      </c>
      <c r="AR428" s="332">
        <f t="shared" si="189"/>
        <v>0</v>
      </c>
      <c r="AS428" s="332">
        <f t="shared" si="189"/>
        <v>0</v>
      </c>
      <c r="AT428" s="332">
        <f t="shared" si="189"/>
        <v>0</v>
      </c>
      <c r="AU428" s="332">
        <f t="shared" si="189"/>
        <v>0</v>
      </c>
      <c r="AV428" s="332">
        <f t="shared" si="189"/>
        <v>0</v>
      </c>
    </row>
    <row r="429" spans="1:48" s="320" customFormat="1" ht="15" customHeight="1">
      <c r="A429" s="351"/>
      <c r="B429" s="134"/>
      <c r="C429" s="322"/>
      <c r="D429" s="724"/>
      <c r="E429" s="333" t="str">
        <f t="shared" ref="E429:K429" si="190" xml:space="preserve"> E$416</f>
        <v>Capital Costs inc. Sens.</v>
      </c>
      <c r="F429" s="333">
        <f t="shared" si="190"/>
        <v>0</v>
      </c>
      <c r="G429" s="333" t="str">
        <f t="shared" si="190"/>
        <v>$ mn</v>
      </c>
      <c r="H429" s="333">
        <f t="shared" si="190"/>
        <v>0</v>
      </c>
      <c r="I429" s="333">
        <f t="shared" si="190"/>
        <v>0</v>
      </c>
      <c r="J429" s="333">
        <f t="shared" si="190"/>
        <v>1501.9969697316285</v>
      </c>
      <c r="K429" s="333">
        <f t="shared" si="190"/>
        <v>0</v>
      </c>
      <c r="L429" s="333">
        <f t="shared" ref="L429:AV429" si="191" xml:space="preserve"> L$416</f>
        <v>0</v>
      </c>
      <c r="M429" s="333">
        <f t="shared" si="191"/>
        <v>0</v>
      </c>
      <c r="N429" s="333">
        <f t="shared" si="191"/>
        <v>0</v>
      </c>
      <c r="O429" s="333">
        <f t="shared" si="191"/>
        <v>0</v>
      </c>
      <c r="P429" s="333">
        <f t="shared" si="191"/>
        <v>1010.1999999999999</v>
      </c>
      <c r="Q429" s="333">
        <f t="shared" si="191"/>
        <v>175.6</v>
      </c>
      <c r="R429" s="333">
        <f t="shared" si="191"/>
        <v>59.637940489648081</v>
      </c>
      <c r="S429" s="333">
        <f t="shared" si="191"/>
        <v>19.714240787317188</v>
      </c>
      <c r="T429" s="333">
        <f t="shared" si="191"/>
        <v>22.205587260857488</v>
      </c>
      <c r="U429" s="333">
        <f t="shared" si="191"/>
        <v>7.270379772582368</v>
      </c>
      <c r="V429" s="333">
        <f t="shared" si="191"/>
        <v>32.762129135977283</v>
      </c>
      <c r="W429" s="333">
        <f t="shared" si="191"/>
        <v>14.785349673189831</v>
      </c>
      <c r="X429" s="333">
        <f t="shared" si="191"/>
        <v>37.291985621134906</v>
      </c>
      <c r="Y429" s="333">
        <f t="shared" si="191"/>
        <v>11.106368397789192</v>
      </c>
      <c r="Z429" s="333">
        <f t="shared" si="191"/>
        <v>24.717558956867318</v>
      </c>
      <c r="AA429" s="333">
        <f t="shared" si="191"/>
        <v>10.625875307545776</v>
      </c>
      <c r="AB429" s="333">
        <f t="shared" si="191"/>
        <v>47.657903486366287</v>
      </c>
      <c r="AC429" s="333">
        <f t="shared" si="191"/>
        <v>9.2044613597337044</v>
      </c>
      <c r="AD429" s="333">
        <f t="shared" si="191"/>
        <v>19.217189482619023</v>
      </c>
      <c r="AE429" s="333">
        <f t="shared" si="191"/>
        <v>0</v>
      </c>
      <c r="AF429" s="333">
        <f t="shared" si="191"/>
        <v>0</v>
      </c>
      <c r="AG429" s="333">
        <f t="shared" si="191"/>
        <v>0</v>
      </c>
      <c r="AH429" s="333">
        <f t="shared" si="191"/>
        <v>0</v>
      </c>
      <c r="AI429" s="333">
        <f t="shared" si="191"/>
        <v>0</v>
      </c>
      <c r="AJ429" s="333">
        <f t="shared" si="191"/>
        <v>0</v>
      </c>
      <c r="AK429" s="333">
        <f t="shared" si="191"/>
        <v>0</v>
      </c>
      <c r="AL429" s="333">
        <f t="shared" si="191"/>
        <v>0</v>
      </c>
      <c r="AM429" s="333">
        <f t="shared" si="191"/>
        <v>0</v>
      </c>
      <c r="AN429" s="333">
        <f t="shared" si="191"/>
        <v>0</v>
      </c>
      <c r="AO429" s="333">
        <f t="shared" si="191"/>
        <v>0</v>
      </c>
      <c r="AP429" s="333">
        <f t="shared" si="191"/>
        <v>0</v>
      </c>
      <c r="AQ429" s="333">
        <f t="shared" si="191"/>
        <v>0</v>
      </c>
      <c r="AR429" s="333">
        <f t="shared" si="191"/>
        <v>0</v>
      </c>
      <c r="AS429" s="333">
        <f t="shared" si="191"/>
        <v>0</v>
      </c>
      <c r="AT429" s="333">
        <f t="shared" si="191"/>
        <v>0</v>
      </c>
      <c r="AU429" s="333">
        <f t="shared" si="191"/>
        <v>0</v>
      </c>
      <c r="AV429" s="333">
        <f t="shared" si="191"/>
        <v>0</v>
      </c>
    </row>
    <row r="430" spans="1:48" s="320" customFormat="1" ht="15" customHeight="1">
      <c r="A430" s="351"/>
      <c r="B430" s="134"/>
      <c r="C430" s="322"/>
      <c r="D430" s="724"/>
      <c r="E430" s="333" t="str">
        <f t="shared" ref="E430:K430" si="192" xml:space="preserve"> E$426</f>
        <v>SL Depreciation charge</v>
      </c>
      <c r="F430" s="333">
        <f t="shared" si="192"/>
        <v>0</v>
      </c>
      <c r="G430" s="333" t="str">
        <f t="shared" si="192"/>
        <v>$ mn</v>
      </c>
      <c r="H430" s="333">
        <f t="shared" si="192"/>
        <v>0</v>
      </c>
      <c r="I430" s="333">
        <f t="shared" si="192"/>
        <v>0</v>
      </c>
      <c r="J430" s="333">
        <f t="shared" si="192"/>
        <v>1415.6830393764767</v>
      </c>
      <c r="K430" s="333">
        <f t="shared" si="192"/>
        <v>0</v>
      </c>
      <c r="L430" s="333">
        <f t="shared" ref="L430:AV430" si="193" xml:space="preserve"> L$426</f>
        <v>0</v>
      </c>
      <c r="M430" s="333">
        <f t="shared" si="193"/>
        <v>0</v>
      </c>
      <c r="N430" s="333">
        <f t="shared" si="193"/>
        <v>0</v>
      </c>
      <c r="O430" s="333">
        <f t="shared" si="193"/>
        <v>0</v>
      </c>
      <c r="P430" s="333">
        <f t="shared" si="193"/>
        <v>144.31428571428572</v>
      </c>
      <c r="Q430" s="333">
        <f t="shared" si="193"/>
        <v>169.4</v>
      </c>
      <c r="R430" s="333">
        <f t="shared" si="193"/>
        <v>177.91970578423545</v>
      </c>
      <c r="S430" s="333">
        <f t="shared" si="193"/>
        <v>180.73602589670935</v>
      </c>
      <c r="T430" s="333">
        <f t="shared" si="193"/>
        <v>183.90825264826043</v>
      </c>
      <c r="U430" s="333">
        <f t="shared" si="193"/>
        <v>184.9468783300579</v>
      </c>
      <c r="V430" s="333">
        <f t="shared" si="193"/>
        <v>189.62718249234038</v>
      </c>
      <c r="W430" s="333">
        <f t="shared" si="193"/>
        <v>47.425089588510367</v>
      </c>
      <c r="X430" s="333">
        <f t="shared" si="193"/>
        <v>27.666801820101067</v>
      </c>
      <c r="Y430" s="333">
        <f t="shared" si="193"/>
        <v>20.733720092692657</v>
      </c>
      <c r="Z430" s="333">
        <f t="shared" si="193"/>
        <v>21.448479831199819</v>
      </c>
      <c r="AA430" s="333">
        <f t="shared" si="193"/>
        <v>19.794235266441003</v>
      </c>
      <c r="AB430" s="333">
        <f t="shared" si="193"/>
        <v>25.563881511267276</v>
      </c>
      <c r="AC430" s="333">
        <f t="shared" si="193"/>
        <v>22.198500400375334</v>
      </c>
      <c r="AD430" s="333">
        <f t="shared" si="193"/>
        <v>0</v>
      </c>
      <c r="AE430" s="333">
        <f t="shared" si="193"/>
        <v>0</v>
      </c>
      <c r="AF430" s="333">
        <f t="shared" si="193"/>
        <v>0</v>
      </c>
      <c r="AG430" s="333">
        <f t="shared" si="193"/>
        <v>0</v>
      </c>
      <c r="AH430" s="333">
        <f t="shared" si="193"/>
        <v>0</v>
      </c>
      <c r="AI430" s="333">
        <f t="shared" si="193"/>
        <v>0</v>
      </c>
      <c r="AJ430" s="333">
        <f t="shared" si="193"/>
        <v>0</v>
      </c>
      <c r="AK430" s="333">
        <f t="shared" si="193"/>
        <v>0</v>
      </c>
      <c r="AL430" s="333">
        <f t="shared" si="193"/>
        <v>0</v>
      </c>
      <c r="AM430" s="333">
        <f t="shared" si="193"/>
        <v>0</v>
      </c>
      <c r="AN430" s="333">
        <f t="shared" si="193"/>
        <v>0</v>
      </c>
      <c r="AO430" s="333">
        <f t="shared" si="193"/>
        <v>0</v>
      </c>
      <c r="AP430" s="333">
        <f t="shared" si="193"/>
        <v>0</v>
      </c>
      <c r="AQ430" s="333">
        <f t="shared" si="193"/>
        <v>0</v>
      </c>
      <c r="AR430" s="333">
        <f t="shared" si="193"/>
        <v>0</v>
      </c>
      <c r="AS430" s="333">
        <f t="shared" si="193"/>
        <v>0</v>
      </c>
      <c r="AT430" s="333">
        <f t="shared" si="193"/>
        <v>0</v>
      </c>
      <c r="AU430" s="333">
        <f t="shared" si="193"/>
        <v>0</v>
      </c>
      <c r="AV430" s="333">
        <f t="shared" si="193"/>
        <v>0</v>
      </c>
    </row>
    <row r="431" spans="1:48" s="320" customFormat="1" ht="15" customHeight="1">
      <c r="A431" s="351"/>
      <c r="B431" s="134"/>
      <c r="C431" s="322"/>
      <c r="D431" s="724"/>
      <c r="E431" s="333" t="s">
        <v>862</v>
      </c>
      <c r="F431" s="333"/>
      <c r="G431" s="333" t="s">
        <v>29</v>
      </c>
      <c r="H431" s="333"/>
      <c r="I431" s="333"/>
      <c r="J431" s="333">
        <f xml:space="preserve"> SUM(L431:AV431)</f>
        <v>86.313930355151612</v>
      </c>
      <c r="K431" s="333"/>
      <c r="L431" s="333">
        <f t="shared" ref="L431:AV431" si="194" xml:space="preserve"> IF(L419 = $F417, L428 + L429 - L430, 0)</f>
        <v>0</v>
      </c>
      <c r="M431" s="333">
        <f t="shared" si="194"/>
        <v>0</v>
      </c>
      <c r="N431" s="333">
        <f t="shared" si="194"/>
        <v>0</v>
      </c>
      <c r="O431" s="333">
        <f t="shared" si="194"/>
        <v>0</v>
      </c>
      <c r="P431" s="333">
        <f t="shared" si="194"/>
        <v>0</v>
      </c>
      <c r="Q431" s="333">
        <f t="shared" si="194"/>
        <v>0</v>
      </c>
      <c r="R431" s="333">
        <f t="shared" si="194"/>
        <v>0</v>
      </c>
      <c r="S431" s="333">
        <f t="shared" si="194"/>
        <v>0</v>
      </c>
      <c r="T431" s="333">
        <f t="shared" si="194"/>
        <v>0</v>
      </c>
      <c r="U431" s="333">
        <f t="shared" si="194"/>
        <v>0</v>
      </c>
      <c r="V431" s="333">
        <f t="shared" si="194"/>
        <v>0</v>
      </c>
      <c r="W431" s="333">
        <f t="shared" si="194"/>
        <v>0</v>
      </c>
      <c r="X431" s="333">
        <f t="shared" si="194"/>
        <v>0</v>
      </c>
      <c r="Y431" s="333">
        <f t="shared" si="194"/>
        <v>0</v>
      </c>
      <c r="Z431" s="333">
        <f t="shared" si="194"/>
        <v>0</v>
      </c>
      <c r="AA431" s="333">
        <f t="shared" si="194"/>
        <v>0</v>
      </c>
      <c r="AB431" s="333">
        <f t="shared" si="194"/>
        <v>0</v>
      </c>
      <c r="AC431" s="333">
        <f t="shared" si="194"/>
        <v>0</v>
      </c>
      <c r="AD431" s="333">
        <f t="shared" si="194"/>
        <v>86.313930355151612</v>
      </c>
      <c r="AE431" s="333">
        <f t="shared" si="194"/>
        <v>0</v>
      </c>
      <c r="AF431" s="333">
        <f t="shared" si="194"/>
        <v>0</v>
      </c>
      <c r="AG431" s="333">
        <f t="shared" si="194"/>
        <v>0</v>
      </c>
      <c r="AH431" s="333">
        <f t="shared" si="194"/>
        <v>0</v>
      </c>
      <c r="AI431" s="333">
        <f t="shared" si="194"/>
        <v>0</v>
      </c>
      <c r="AJ431" s="333">
        <f t="shared" si="194"/>
        <v>0</v>
      </c>
      <c r="AK431" s="333">
        <f t="shared" si="194"/>
        <v>0</v>
      </c>
      <c r="AL431" s="333">
        <f t="shared" si="194"/>
        <v>0</v>
      </c>
      <c r="AM431" s="333">
        <f t="shared" si="194"/>
        <v>0</v>
      </c>
      <c r="AN431" s="333">
        <f t="shared" si="194"/>
        <v>0</v>
      </c>
      <c r="AO431" s="333">
        <f t="shared" si="194"/>
        <v>0</v>
      </c>
      <c r="AP431" s="333">
        <f t="shared" si="194"/>
        <v>0</v>
      </c>
      <c r="AQ431" s="333">
        <f t="shared" si="194"/>
        <v>0</v>
      </c>
      <c r="AR431" s="333">
        <f t="shared" si="194"/>
        <v>0</v>
      </c>
      <c r="AS431" s="333">
        <f t="shared" si="194"/>
        <v>0</v>
      </c>
      <c r="AT431" s="333">
        <f t="shared" si="194"/>
        <v>0</v>
      </c>
      <c r="AU431" s="333">
        <f t="shared" si="194"/>
        <v>0</v>
      </c>
      <c r="AV431" s="333">
        <f t="shared" si="194"/>
        <v>0</v>
      </c>
    </row>
    <row r="432" spans="1:48" s="320" customFormat="1" ht="15" customHeight="1">
      <c r="A432" s="351"/>
      <c r="B432" s="134"/>
      <c r="C432" s="322"/>
      <c r="D432" s="724"/>
      <c r="E432" s="335" t="s">
        <v>863</v>
      </c>
      <c r="F432" s="335"/>
      <c r="G432" s="335"/>
      <c r="H432" s="335"/>
      <c r="I432" s="335"/>
      <c r="J432" s="335"/>
      <c r="K432" s="336"/>
      <c r="L432" s="335">
        <f t="shared" ref="L432:AV432" si="195" xml:space="preserve"> L428 + L429 - L430 - L431</f>
        <v>0</v>
      </c>
      <c r="M432" s="335">
        <f t="shared" si="195"/>
        <v>0</v>
      </c>
      <c r="N432" s="335">
        <f t="shared" si="195"/>
        <v>0</v>
      </c>
      <c r="O432" s="335">
        <f t="shared" si="195"/>
        <v>0</v>
      </c>
      <c r="P432" s="335">
        <f t="shared" si="195"/>
        <v>865.88571428571424</v>
      </c>
      <c r="Q432" s="335">
        <f t="shared" si="195"/>
        <v>872.08571428571429</v>
      </c>
      <c r="R432" s="335">
        <f t="shared" si="195"/>
        <v>753.80394899112684</v>
      </c>
      <c r="S432" s="335">
        <f t="shared" si="195"/>
        <v>592.78216388173473</v>
      </c>
      <c r="T432" s="335">
        <f t="shared" si="195"/>
        <v>431.07949849433174</v>
      </c>
      <c r="U432" s="335">
        <f t="shared" si="195"/>
        <v>253.40299993685622</v>
      </c>
      <c r="V432" s="335">
        <f t="shared" si="195"/>
        <v>96.537946580493127</v>
      </c>
      <c r="W432" s="335">
        <f t="shared" si="195"/>
        <v>63.898206665172587</v>
      </c>
      <c r="X432" s="335">
        <f t="shared" si="195"/>
        <v>73.523390466206422</v>
      </c>
      <c r="Y432" s="335">
        <f t="shared" si="195"/>
        <v>63.896038771302962</v>
      </c>
      <c r="Z432" s="335">
        <f t="shared" si="195"/>
        <v>67.165117896970457</v>
      </c>
      <c r="AA432" s="335">
        <f t="shared" si="195"/>
        <v>57.996757938075234</v>
      </c>
      <c r="AB432" s="335">
        <f t="shared" si="195"/>
        <v>80.090779913174231</v>
      </c>
      <c r="AC432" s="335">
        <f t="shared" si="195"/>
        <v>67.096740872532592</v>
      </c>
      <c r="AD432" s="335">
        <f t="shared" si="195"/>
        <v>0</v>
      </c>
      <c r="AE432" s="335">
        <f t="shared" si="195"/>
        <v>0</v>
      </c>
      <c r="AF432" s="335">
        <f t="shared" si="195"/>
        <v>0</v>
      </c>
      <c r="AG432" s="335">
        <f t="shared" si="195"/>
        <v>0</v>
      </c>
      <c r="AH432" s="335">
        <f t="shared" si="195"/>
        <v>0</v>
      </c>
      <c r="AI432" s="335">
        <f t="shared" si="195"/>
        <v>0</v>
      </c>
      <c r="AJ432" s="335">
        <f t="shared" si="195"/>
        <v>0</v>
      </c>
      <c r="AK432" s="335">
        <f t="shared" si="195"/>
        <v>0</v>
      </c>
      <c r="AL432" s="335">
        <f t="shared" si="195"/>
        <v>0</v>
      </c>
      <c r="AM432" s="335">
        <f t="shared" si="195"/>
        <v>0</v>
      </c>
      <c r="AN432" s="335">
        <f t="shared" si="195"/>
        <v>0</v>
      </c>
      <c r="AO432" s="335">
        <f t="shared" si="195"/>
        <v>0</v>
      </c>
      <c r="AP432" s="335">
        <f t="shared" si="195"/>
        <v>0</v>
      </c>
      <c r="AQ432" s="335">
        <f t="shared" si="195"/>
        <v>0</v>
      </c>
      <c r="AR432" s="335">
        <f t="shared" si="195"/>
        <v>0</v>
      </c>
      <c r="AS432" s="335">
        <f t="shared" si="195"/>
        <v>0</v>
      </c>
      <c r="AT432" s="335">
        <f t="shared" si="195"/>
        <v>0</v>
      </c>
      <c r="AU432" s="335">
        <f t="shared" si="195"/>
        <v>0</v>
      </c>
      <c r="AV432" s="335">
        <f t="shared" si="195"/>
        <v>0</v>
      </c>
    </row>
    <row r="433" spans="1:48" s="320" customFormat="1" ht="15" customHeight="1">
      <c r="A433" s="351"/>
      <c r="B433" s="134"/>
      <c r="C433" s="322"/>
      <c r="D433" s="724"/>
    </row>
    <row r="434" spans="1:48" s="320" customFormat="1" ht="15" customHeight="1">
      <c r="A434" s="351"/>
      <c r="B434" s="134"/>
      <c r="C434" s="322"/>
      <c r="D434" s="724"/>
      <c r="E434" s="320" t="s">
        <v>864</v>
      </c>
      <c r="G434" s="320" t="s">
        <v>29</v>
      </c>
      <c r="J434" s="320">
        <f xml:space="preserve"> SUM(L434:AV434)</f>
        <v>1501.9969697316283</v>
      </c>
      <c r="L434" s="320">
        <f t="shared" ref="L434:AV434" si="196" xml:space="preserve"> L426 + L431</f>
        <v>0</v>
      </c>
      <c r="M434" s="320">
        <f t="shared" si="196"/>
        <v>0</v>
      </c>
      <c r="N434" s="320">
        <f t="shared" si="196"/>
        <v>0</v>
      </c>
      <c r="O434" s="320">
        <f t="shared" si="196"/>
        <v>0</v>
      </c>
      <c r="P434" s="320">
        <f t="shared" si="196"/>
        <v>144.31428571428572</v>
      </c>
      <c r="Q434" s="320">
        <f t="shared" si="196"/>
        <v>169.4</v>
      </c>
      <c r="R434" s="320">
        <f t="shared" si="196"/>
        <v>177.91970578423545</v>
      </c>
      <c r="S434" s="320">
        <f t="shared" si="196"/>
        <v>180.73602589670935</v>
      </c>
      <c r="T434" s="320">
        <f t="shared" si="196"/>
        <v>183.90825264826043</v>
      </c>
      <c r="U434" s="320">
        <f t="shared" si="196"/>
        <v>184.9468783300579</v>
      </c>
      <c r="V434" s="320">
        <f t="shared" si="196"/>
        <v>189.62718249234038</v>
      </c>
      <c r="W434" s="320">
        <f t="shared" si="196"/>
        <v>47.425089588510367</v>
      </c>
      <c r="X434" s="320">
        <f t="shared" si="196"/>
        <v>27.666801820101067</v>
      </c>
      <c r="Y434" s="320">
        <f t="shared" si="196"/>
        <v>20.733720092692657</v>
      </c>
      <c r="Z434" s="320">
        <f t="shared" si="196"/>
        <v>21.448479831199819</v>
      </c>
      <c r="AA434" s="320">
        <f t="shared" si="196"/>
        <v>19.794235266441003</v>
      </c>
      <c r="AB434" s="320">
        <f t="shared" si="196"/>
        <v>25.563881511267276</v>
      </c>
      <c r="AC434" s="320">
        <f t="shared" si="196"/>
        <v>22.198500400375334</v>
      </c>
      <c r="AD434" s="320">
        <f t="shared" si="196"/>
        <v>86.313930355151612</v>
      </c>
      <c r="AE434" s="320">
        <f t="shared" si="196"/>
        <v>0</v>
      </c>
      <c r="AF434" s="320">
        <f t="shared" si="196"/>
        <v>0</v>
      </c>
      <c r="AG434" s="320">
        <f t="shared" si="196"/>
        <v>0</v>
      </c>
      <c r="AH434" s="320">
        <f t="shared" si="196"/>
        <v>0</v>
      </c>
      <c r="AI434" s="320">
        <f t="shared" si="196"/>
        <v>0</v>
      </c>
      <c r="AJ434" s="320">
        <f t="shared" si="196"/>
        <v>0</v>
      </c>
      <c r="AK434" s="320">
        <f t="shared" si="196"/>
        <v>0</v>
      </c>
      <c r="AL434" s="320">
        <f t="shared" si="196"/>
        <v>0</v>
      </c>
      <c r="AM434" s="320">
        <f t="shared" si="196"/>
        <v>0</v>
      </c>
      <c r="AN434" s="320">
        <f t="shared" si="196"/>
        <v>0</v>
      </c>
      <c r="AO434" s="320">
        <f t="shared" si="196"/>
        <v>0</v>
      </c>
      <c r="AP434" s="320">
        <f t="shared" si="196"/>
        <v>0</v>
      </c>
      <c r="AQ434" s="320">
        <f t="shared" si="196"/>
        <v>0</v>
      </c>
      <c r="AR434" s="320">
        <f t="shared" si="196"/>
        <v>0</v>
      </c>
      <c r="AS434" s="320">
        <f t="shared" si="196"/>
        <v>0</v>
      </c>
      <c r="AT434" s="320">
        <f t="shared" si="196"/>
        <v>0</v>
      </c>
      <c r="AU434" s="320">
        <f t="shared" si="196"/>
        <v>0</v>
      </c>
      <c r="AV434" s="320">
        <f t="shared" si="196"/>
        <v>0</v>
      </c>
    </row>
    <row r="435" spans="1:48" s="320" customFormat="1" ht="15" customHeight="1">
      <c r="A435" s="351"/>
      <c r="B435" s="134"/>
      <c r="C435" s="322"/>
      <c r="D435" s="724"/>
    </row>
    <row r="436" spans="1:48" s="320" customFormat="1" ht="15" customHeight="1">
      <c r="A436" s="351"/>
      <c r="B436" s="134"/>
      <c r="C436" s="322"/>
      <c r="D436" s="724"/>
      <c r="E436" s="150" t="str">
        <f>E434</f>
        <v>SL depreciation charge incl. last year w/off</v>
      </c>
      <c r="F436" s="150">
        <f xml:space="preserve"> SUM(L434:AV434)</f>
        <v>1501.9969697316283</v>
      </c>
      <c r="G436" s="150" t="s">
        <v>29</v>
      </c>
    </row>
    <row r="437" spans="1:48" s="320" customFormat="1" ht="15" customHeight="1">
      <c r="A437" s="351"/>
      <c r="B437" s="134"/>
      <c r="C437" s="322"/>
      <c r="D437" s="724"/>
      <c r="E437" s="320" t="str">
        <f t="shared" ref="E437:G437" si="197" xml:space="preserve"> E$412</f>
        <v>Capital Costs</v>
      </c>
      <c r="F437" s="320">
        <f t="shared" si="197"/>
        <v>1501.9969697316285</v>
      </c>
      <c r="G437" s="320" t="str">
        <f t="shared" si="197"/>
        <v>$ mn</v>
      </c>
    </row>
    <row r="438" spans="1:48" s="320" customFormat="1" ht="15" customHeight="1">
      <c r="A438" s="351"/>
      <c r="B438" s="134"/>
      <c r="C438" s="322"/>
      <c r="D438" s="724"/>
      <c r="E438" s="150" t="s">
        <v>865</v>
      </c>
      <c r="F438" s="482">
        <f xml:space="preserve"> IF( ABS(F436 - F437) &gt; CHK_TOL, 1, 0)</f>
        <v>0</v>
      </c>
      <c r="G438" s="320" t="s">
        <v>113</v>
      </c>
    </row>
    <row r="439" spans="1:48" s="320" customFormat="1" ht="15" customHeight="1">
      <c r="A439" s="351"/>
      <c r="B439" s="134"/>
      <c r="C439" s="322"/>
      <c r="D439" s="724"/>
    </row>
    <row r="440" spans="1:48" s="160" customFormat="1" ht="15" customHeight="1">
      <c r="A440" s="164" t="s">
        <v>771</v>
      </c>
      <c r="B440" s="162"/>
      <c r="C440" s="315"/>
      <c r="D440" s="386"/>
      <c r="E440" s="162"/>
      <c r="F440" s="162"/>
      <c r="G440" s="162"/>
      <c r="H440" s="162"/>
    </row>
    <row r="441" spans="1:48" s="320" customFormat="1" ht="15" customHeight="1">
      <c r="A441" s="351"/>
      <c r="B441" s="134"/>
      <c r="C441" s="322"/>
      <c r="D441" s="724"/>
    </row>
    <row r="442" spans="1:48" s="320" customFormat="1" ht="15" customHeight="1">
      <c r="A442" s="351"/>
      <c r="B442" s="134"/>
      <c r="C442" s="322"/>
      <c r="D442" s="724"/>
      <c r="E442" s="320" t="str">
        <f xml:space="preserve"> E$187</f>
        <v>Copper gross revenue (at realized prices)</v>
      </c>
      <c r="F442" s="320">
        <f t="shared" ref="F442:AV442" si="198" xml:space="preserve"> F187</f>
        <v>0</v>
      </c>
      <c r="G442" s="320" t="str">
        <f t="shared" si="198"/>
        <v>$ mn</v>
      </c>
      <c r="H442" s="320">
        <f t="shared" si="198"/>
        <v>0</v>
      </c>
      <c r="I442" s="320">
        <f t="shared" si="198"/>
        <v>0</v>
      </c>
      <c r="J442" s="320">
        <f t="shared" si="198"/>
        <v>11467.694807333486</v>
      </c>
      <c r="K442" s="320">
        <f t="shared" si="198"/>
        <v>0</v>
      </c>
      <c r="L442" s="320">
        <f t="shared" si="198"/>
        <v>0</v>
      </c>
      <c r="M442" s="320">
        <f t="shared" si="198"/>
        <v>0</v>
      </c>
      <c r="N442" s="320">
        <f t="shared" si="198"/>
        <v>0</v>
      </c>
      <c r="O442" s="320">
        <f t="shared" si="198"/>
        <v>0</v>
      </c>
      <c r="P442" s="320">
        <f t="shared" si="198"/>
        <v>56.882825869581119</v>
      </c>
      <c r="Q442" s="320">
        <f t="shared" si="198"/>
        <v>537.90040239011887</v>
      </c>
      <c r="R442" s="320">
        <f t="shared" si="198"/>
        <v>466.86178216090872</v>
      </c>
      <c r="S442" s="320">
        <f t="shared" si="198"/>
        <v>846.94161577854641</v>
      </c>
      <c r="T442" s="320">
        <f t="shared" si="198"/>
        <v>827.43128123694396</v>
      </c>
      <c r="U442" s="320">
        <f t="shared" si="198"/>
        <v>827.53678415828165</v>
      </c>
      <c r="V442" s="320">
        <f t="shared" si="198"/>
        <v>855.37158418205354</v>
      </c>
      <c r="W442" s="320">
        <f t="shared" si="198"/>
        <v>870.43262455927129</v>
      </c>
      <c r="X442" s="320">
        <f t="shared" si="198"/>
        <v>871.18297689339511</v>
      </c>
      <c r="Y442" s="320">
        <f t="shared" si="198"/>
        <v>878.19958614320012</v>
      </c>
      <c r="Z442" s="320">
        <f t="shared" si="198"/>
        <v>869.03680141350003</v>
      </c>
      <c r="AA442" s="320">
        <f t="shared" si="198"/>
        <v>864.81700401760008</v>
      </c>
      <c r="AB442" s="320">
        <f t="shared" si="198"/>
        <v>890.0243598372424</v>
      </c>
      <c r="AC442" s="320">
        <f t="shared" si="198"/>
        <v>904.18180084522714</v>
      </c>
      <c r="AD442" s="320">
        <f t="shared" si="198"/>
        <v>900.89337784761744</v>
      </c>
      <c r="AE442" s="320">
        <f t="shared" si="198"/>
        <v>0</v>
      </c>
      <c r="AF442" s="320">
        <f t="shared" si="198"/>
        <v>0</v>
      </c>
      <c r="AG442" s="320">
        <f t="shared" si="198"/>
        <v>0</v>
      </c>
      <c r="AH442" s="320">
        <f t="shared" si="198"/>
        <v>0</v>
      </c>
      <c r="AI442" s="320">
        <f t="shared" si="198"/>
        <v>0</v>
      </c>
      <c r="AJ442" s="320">
        <f t="shared" si="198"/>
        <v>0</v>
      </c>
      <c r="AK442" s="320">
        <f t="shared" si="198"/>
        <v>0</v>
      </c>
      <c r="AL442" s="320">
        <f t="shared" si="198"/>
        <v>0</v>
      </c>
      <c r="AM442" s="320">
        <f t="shared" si="198"/>
        <v>0</v>
      </c>
      <c r="AN442" s="320">
        <f t="shared" si="198"/>
        <v>0</v>
      </c>
      <c r="AO442" s="320">
        <f t="shared" si="198"/>
        <v>0</v>
      </c>
      <c r="AP442" s="320">
        <f t="shared" si="198"/>
        <v>0</v>
      </c>
      <c r="AQ442" s="320">
        <f t="shared" si="198"/>
        <v>0</v>
      </c>
      <c r="AR442" s="320">
        <f t="shared" si="198"/>
        <v>0</v>
      </c>
      <c r="AS442" s="320">
        <f t="shared" si="198"/>
        <v>0</v>
      </c>
      <c r="AT442" s="320">
        <f t="shared" si="198"/>
        <v>0</v>
      </c>
      <c r="AU442" s="320">
        <f t="shared" si="198"/>
        <v>0</v>
      </c>
      <c r="AV442" s="320">
        <f t="shared" si="198"/>
        <v>0</v>
      </c>
    </row>
    <row r="443" spans="1:48" s="320" customFormat="1" ht="15" customHeight="1">
      <c r="A443" s="351"/>
      <c r="B443" s="134"/>
      <c r="C443" s="322"/>
      <c r="D443" s="724"/>
      <c r="E443" s="320" t="str">
        <f xml:space="preserve"> E$188</f>
        <v>Cobalt gross revenue (at realized prices)</v>
      </c>
      <c r="F443" s="320">
        <f t="shared" ref="F443:AV443" si="199" xml:space="preserve"> F188</f>
        <v>0</v>
      </c>
      <c r="G443" s="320" t="str">
        <f t="shared" si="199"/>
        <v>$ mn</v>
      </c>
      <c r="H443" s="320">
        <f t="shared" si="199"/>
        <v>0</v>
      </c>
      <c r="I443" s="320">
        <f t="shared" si="199"/>
        <v>0</v>
      </c>
      <c r="J443" s="320">
        <f t="shared" si="199"/>
        <v>7544.2272910711363</v>
      </c>
      <c r="K443" s="320">
        <f t="shared" si="199"/>
        <v>0</v>
      </c>
      <c r="L443" s="320">
        <f t="shared" si="199"/>
        <v>0</v>
      </c>
      <c r="M443" s="320">
        <f t="shared" si="199"/>
        <v>0</v>
      </c>
      <c r="N443" s="320">
        <f t="shared" si="199"/>
        <v>0</v>
      </c>
      <c r="O443" s="320">
        <f t="shared" si="199"/>
        <v>0</v>
      </c>
      <c r="P443" s="320">
        <f t="shared" si="199"/>
        <v>10.253428059846346</v>
      </c>
      <c r="Q443" s="320">
        <f t="shared" si="199"/>
        <v>408.69518197966062</v>
      </c>
      <c r="R443" s="320">
        <f t="shared" si="199"/>
        <v>334.11109565874864</v>
      </c>
      <c r="S443" s="320">
        <f t="shared" si="199"/>
        <v>707.98561665940747</v>
      </c>
      <c r="T443" s="320">
        <f t="shared" si="199"/>
        <v>962.82272674877015</v>
      </c>
      <c r="U443" s="320">
        <f t="shared" si="199"/>
        <v>459.45869682312974</v>
      </c>
      <c r="V443" s="320">
        <f t="shared" si="199"/>
        <v>342.2851374481404</v>
      </c>
      <c r="W443" s="320">
        <f t="shared" si="199"/>
        <v>533.32637908197103</v>
      </c>
      <c r="X443" s="320">
        <f t="shared" si="199"/>
        <v>519.95175299846198</v>
      </c>
      <c r="Y443" s="320">
        <f t="shared" si="199"/>
        <v>491.01727649102816</v>
      </c>
      <c r="Z443" s="320">
        <f t="shared" si="199"/>
        <v>529.29819445445742</v>
      </c>
      <c r="AA443" s="320">
        <f t="shared" si="199"/>
        <v>528.53468233551689</v>
      </c>
      <c r="AB443" s="320">
        <f t="shared" si="199"/>
        <v>510.64196185793799</v>
      </c>
      <c r="AC443" s="320">
        <f t="shared" si="199"/>
        <v>586.28641494261217</v>
      </c>
      <c r="AD443" s="320">
        <f t="shared" si="199"/>
        <v>619.55874553144668</v>
      </c>
      <c r="AE443" s="320">
        <f t="shared" si="199"/>
        <v>0</v>
      </c>
      <c r="AF443" s="320">
        <f t="shared" si="199"/>
        <v>0</v>
      </c>
      <c r="AG443" s="320">
        <f t="shared" si="199"/>
        <v>0</v>
      </c>
      <c r="AH443" s="320">
        <f t="shared" si="199"/>
        <v>0</v>
      </c>
      <c r="AI443" s="320">
        <f t="shared" si="199"/>
        <v>0</v>
      </c>
      <c r="AJ443" s="320">
        <f t="shared" si="199"/>
        <v>0</v>
      </c>
      <c r="AK443" s="320">
        <f t="shared" si="199"/>
        <v>0</v>
      </c>
      <c r="AL443" s="320">
        <f t="shared" si="199"/>
        <v>0</v>
      </c>
      <c r="AM443" s="320">
        <f t="shared" si="199"/>
        <v>0</v>
      </c>
      <c r="AN443" s="320">
        <f t="shared" si="199"/>
        <v>0</v>
      </c>
      <c r="AO443" s="320">
        <f t="shared" si="199"/>
        <v>0</v>
      </c>
      <c r="AP443" s="320">
        <f t="shared" si="199"/>
        <v>0</v>
      </c>
      <c r="AQ443" s="320">
        <f t="shared" si="199"/>
        <v>0</v>
      </c>
      <c r="AR443" s="320">
        <f t="shared" si="199"/>
        <v>0</v>
      </c>
      <c r="AS443" s="320">
        <f t="shared" si="199"/>
        <v>0</v>
      </c>
      <c r="AT443" s="320">
        <f t="shared" si="199"/>
        <v>0</v>
      </c>
      <c r="AU443" s="320">
        <f t="shared" si="199"/>
        <v>0</v>
      </c>
      <c r="AV443" s="320">
        <f t="shared" si="199"/>
        <v>0</v>
      </c>
    </row>
    <row r="444" spans="1:48" s="324" customFormat="1" ht="15" customHeight="1">
      <c r="A444" s="352"/>
      <c r="B444" s="218"/>
      <c r="C444" s="331"/>
      <c r="D444" s="855"/>
      <c r="E444" s="324" t="str">
        <f xml:space="preserve"> E$189</f>
        <v>Copper plus Cobalt revenue</v>
      </c>
      <c r="F444" s="324">
        <f t="shared" ref="F444:AV444" si="200" xml:space="preserve"> F189</f>
        <v>0</v>
      </c>
      <c r="G444" s="324" t="str">
        <f t="shared" si="200"/>
        <v>$ mn</v>
      </c>
      <c r="H444" s="324">
        <f t="shared" si="200"/>
        <v>0</v>
      </c>
      <c r="I444" s="324">
        <f t="shared" si="200"/>
        <v>0</v>
      </c>
      <c r="J444" s="324">
        <f t="shared" si="200"/>
        <v>19011.922098404622</v>
      </c>
      <c r="K444" s="324">
        <f t="shared" si="200"/>
        <v>0</v>
      </c>
      <c r="L444" s="324">
        <f t="shared" si="200"/>
        <v>0</v>
      </c>
      <c r="M444" s="324">
        <f t="shared" si="200"/>
        <v>0</v>
      </c>
      <c r="N444" s="324">
        <f t="shared" si="200"/>
        <v>0</v>
      </c>
      <c r="O444" s="324">
        <f t="shared" si="200"/>
        <v>0</v>
      </c>
      <c r="P444" s="324">
        <f t="shared" si="200"/>
        <v>67.136253929427468</v>
      </c>
      <c r="Q444" s="324">
        <f t="shared" si="200"/>
        <v>946.59558436977954</v>
      </c>
      <c r="R444" s="324">
        <f t="shared" si="200"/>
        <v>800.97287781965736</v>
      </c>
      <c r="S444" s="324">
        <f t="shared" si="200"/>
        <v>1554.927232437954</v>
      </c>
      <c r="T444" s="324">
        <f t="shared" si="200"/>
        <v>1790.254007985714</v>
      </c>
      <c r="U444" s="324">
        <f t="shared" si="200"/>
        <v>1286.9954809814114</v>
      </c>
      <c r="V444" s="324">
        <f t="shared" si="200"/>
        <v>1197.6567216301939</v>
      </c>
      <c r="W444" s="324">
        <f t="shared" si="200"/>
        <v>1403.7590036412423</v>
      </c>
      <c r="X444" s="324">
        <f t="shared" si="200"/>
        <v>1391.1347298918572</v>
      </c>
      <c r="Y444" s="324">
        <f t="shared" si="200"/>
        <v>1369.2168626342282</v>
      </c>
      <c r="Z444" s="324">
        <f t="shared" si="200"/>
        <v>1398.3349958679573</v>
      </c>
      <c r="AA444" s="324">
        <f t="shared" si="200"/>
        <v>1393.351686353117</v>
      </c>
      <c r="AB444" s="324">
        <f t="shared" si="200"/>
        <v>1400.6663216951804</v>
      </c>
      <c r="AC444" s="324">
        <f t="shared" si="200"/>
        <v>1490.4682157878392</v>
      </c>
      <c r="AD444" s="324">
        <f t="shared" si="200"/>
        <v>1520.4521233790642</v>
      </c>
      <c r="AE444" s="324">
        <f t="shared" si="200"/>
        <v>0</v>
      </c>
      <c r="AF444" s="324">
        <f t="shared" si="200"/>
        <v>0</v>
      </c>
      <c r="AG444" s="324">
        <f t="shared" si="200"/>
        <v>0</v>
      </c>
      <c r="AH444" s="324">
        <f t="shared" si="200"/>
        <v>0</v>
      </c>
      <c r="AI444" s="324">
        <f t="shared" si="200"/>
        <v>0</v>
      </c>
      <c r="AJ444" s="324">
        <f t="shared" si="200"/>
        <v>0</v>
      </c>
      <c r="AK444" s="324">
        <f t="shared" si="200"/>
        <v>0</v>
      </c>
      <c r="AL444" s="324">
        <f t="shared" si="200"/>
        <v>0</v>
      </c>
      <c r="AM444" s="324">
        <f t="shared" si="200"/>
        <v>0</v>
      </c>
      <c r="AN444" s="324">
        <f t="shared" si="200"/>
        <v>0</v>
      </c>
      <c r="AO444" s="324">
        <f t="shared" si="200"/>
        <v>0</v>
      </c>
      <c r="AP444" s="324">
        <f t="shared" si="200"/>
        <v>0</v>
      </c>
      <c r="AQ444" s="324">
        <f t="shared" si="200"/>
        <v>0</v>
      </c>
      <c r="AR444" s="324">
        <f t="shared" si="200"/>
        <v>0</v>
      </c>
      <c r="AS444" s="324">
        <f t="shared" si="200"/>
        <v>0</v>
      </c>
      <c r="AT444" s="324">
        <f t="shared" si="200"/>
        <v>0</v>
      </c>
      <c r="AU444" s="324">
        <f t="shared" si="200"/>
        <v>0</v>
      </c>
      <c r="AV444" s="324">
        <f t="shared" si="200"/>
        <v>0</v>
      </c>
    </row>
    <row r="445" spans="1:48" s="320" customFormat="1" ht="15" customHeight="1">
      <c r="A445" s="351"/>
      <c r="B445" s="134"/>
      <c r="C445" s="322"/>
      <c r="D445" s="724"/>
    </row>
    <row r="446" spans="1:48" s="320" customFormat="1" ht="15" customHeight="1">
      <c r="A446" s="351"/>
      <c r="B446" s="134"/>
      <c r="C446" s="322"/>
      <c r="D446" s="724"/>
      <c r="E446" s="320" t="str">
        <f t="shared" ref="E446:AV446" si="201" xml:space="preserve"> E$205</f>
        <v>Freight, Insurance &amp; Sales 2019TR: Cu</v>
      </c>
      <c r="F446" s="320">
        <f t="shared" si="201"/>
        <v>0</v>
      </c>
      <c r="G446" s="320" t="str">
        <f t="shared" si="201"/>
        <v>$ mn</v>
      </c>
      <c r="H446" s="320">
        <f t="shared" si="201"/>
        <v>0</v>
      </c>
      <c r="I446" s="320">
        <f t="shared" si="201"/>
        <v>0</v>
      </c>
      <c r="J446" s="320">
        <f t="shared" si="201"/>
        <v>0</v>
      </c>
      <c r="K446" s="320">
        <f t="shared" si="201"/>
        <v>0</v>
      </c>
      <c r="L446" s="320">
        <f t="shared" si="201"/>
        <v>0</v>
      </c>
      <c r="M446" s="320">
        <f t="shared" si="201"/>
        <v>0</v>
      </c>
      <c r="N446" s="320">
        <f t="shared" si="201"/>
        <v>0</v>
      </c>
      <c r="O446" s="320">
        <f t="shared" si="201"/>
        <v>0</v>
      </c>
      <c r="P446" s="320">
        <f t="shared" si="201"/>
        <v>0</v>
      </c>
      <c r="Q446" s="320">
        <f t="shared" si="201"/>
        <v>0</v>
      </c>
      <c r="R446" s="320">
        <f t="shared" si="201"/>
        <v>0</v>
      </c>
      <c r="S446" s="320">
        <f t="shared" si="201"/>
        <v>0</v>
      </c>
      <c r="T446" s="320">
        <f t="shared" si="201"/>
        <v>0</v>
      </c>
      <c r="U446" s="320">
        <f t="shared" si="201"/>
        <v>0</v>
      </c>
      <c r="V446" s="320">
        <f t="shared" si="201"/>
        <v>0</v>
      </c>
      <c r="W446" s="320">
        <f t="shared" si="201"/>
        <v>0</v>
      </c>
      <c r="X446" s="320">
        <f t="shared" si="201"/>
        <v>0</v>
      </c>
      <c r="Y446" s="320">
        <f t="shared" si="201"/>
        <v>0</v>
      </c>
      <c r="Z446" s="320">
        <f t="shared" si="201"/>
        <v>0</v>
      </c>
      <c r="AA446" s="320">
        <f t="shared" si="201"/>
        <v>0</v>
      </c>
      <c r="AB446" s="320">
        <f t="shared" si="201"/>
        <v>0</v>
      </c>
      <c r="AC446" s="320">
        <f t="shared" si="201"/>
        <v>0</v>
      </c>
      <c r="AD446" s="320">
        <f t="shared" si="201"/>
        <v>0</v>
      </c>
      <c r="AE446" s="320">
        <f t="shared" si="201"/>
        <v>0</v>
      </c>
      <c r="AF446" s="320">
        <f t="shared" si="201"/>
        <v>0</v>
      </c>
      <c r="AG446" s="320">
        <f t="shared" si="201"/>
        <v>0</v>
      </c>
      <c r="AH446" s="320">
        <f t="shared" si="201"/>
        <v>0</v>
      </c>
      <c r="AI446" s="320">
        <f t="shared" si="201"/>
        <v>0</v>
      </c>
      <c r="AJ446" s="320">
        <f t="shared" si="201"/>
        <v>0</v>
      </c>
      <c r="AK446" s="320">
        <f t="shared" si="201"/>
        <v>0</v>
      </c>
      <c r="AL446" s="320">
        <f t="shared" si="201"/>
        <v>0</v>
      </c>
      <c r="AM446" s="320">
        <f t="shared" si="201"/>
        <v>0</v>
      </c>
      <c r="AN446" s="320">
        <f t="shared" si="201"/>
        <v>0</v>
      </c>
      <c r="AO446" s="320">
        <f t="shared" si="201"/>
        <v>0</v>
      </c>
      <c r="AP446" s="320">
        <f t="shared" si="201"/>
        <v>0</v>
      </c>
      <c r="AQ446" s="320">
        <f t="shared" si="201"/>
        <v>0</v>
      </c>
      <c r="AR446" s="320">
        <f t="shared" si="201"/>
        <v>0</v>
      </c>
      <c r="AS446" s="320">
        <f t="shared" si="201"/>
        <v>0</v>
      </c>
      <c r="AT446" s="320">
        <f t="shared" si="201"/>
        <v>0</v>
      </c>
      <c r="AU446" s="320">
        <f t="shared" si="201"/>
        <v>0</v>
      </c>
      <c r="AV446" s="320">
        <f t="shared" si="201"/>
        <v>0</v>
      </c>
    </row>
    <row r="447" spans="1:48" s="320" customFormat="1" ht="15" customHeight="1">
      <c r="A447" s="351"/>
      <c r="B447" s="134"/>
      <c r="C447" s="322"/>
      <c r="D447" s="724"/>
      <c r="E447" s="320" t="str">
        <f t="shared" ref="E447:AV447" si="202" xml:space="preserve"> E$209</f>
        <v>Freight, Insurance &amp; Sales 2019TR: Co</v>
      </c>
      <c r="F447" s="320">
        <f t="shared" si="202"/>
        <v>0</v>
      </c>
      <c r="G447" s="320" t="str">
        <f t="shared" si="202"/>
        <v>$ mn</v>
      </c>
      <c r="H447" s="320">
        <f t="shared" si="202"/>
        <v>0</v>
      </c>
      <c r="I447" s="320">
        <f t="shared" si="202"/>
        <v>0</v>
      </c>
      <c r="J447" s="320">
        <f t="shared" si="202"/>
        <v>0</v>
      </c>
      <c r="K447" s="320">
        <f t="shared" si="202"/>
        <v>0</v>
      </c>
      <c r="L447" s="320">
        <f t="shared" si="202"/>
        <v>0</v>
      </c>
      <c r="M447" s="320">
        <f t="shared" si="202"/>
        <v>0</v>
      </c>
      <c r="N447" s="320">
        <f t="shared" si="202"/>
        <v>0</v>
      </c>
      <c r="O447" s="320">
        <f t="shared" si="202"/>
        <v>0</v>
      </c>
      <c r="P447" s="320">
        <f t="shared" si="202"/>
        <v>0</v>
      </c>
      <c r="Q447" s="320">
        <f t="shared" si="202"/>
        <v>0</v>
      </c>
      <c r="R447" s="320">
        <f t="shared" si="202"/>
        <v>0</v>
      </c>
      <c r="S447" s="320">
        <f t="shared" si="202"/>
        <v>0</v>
      </c>
      <c r="T447" s="320">
        <f t="shared" si="202"/>
        <v>0</v>
      </c>
      <c r="U447" s="320">
        <f t="shared" si="202"/>
        <v>0</v>
      </c>
      <c r="V447" s="320">
        <f t="shared" si="202"/>
        <v>0</v>
      </c>
      <c r="W447" s="320">
        <f t="shared" si="202"/>
        <v>0</v>
      </c>
      <c r="X447" s="320">
        <f t="shared" si="202"/>
        <v>0</v>
      </c>
      <c r="Y447" s="320">
        <f t="shared" si="202"/>
        <v>0</v>
      </c>
      <c r="Z447" s="320">
        <f t="shared" si="202"/>
        <v>0</v>
      </c>
      <c r="AA447" s="320">
        <f t="shared" si="202"/>
        <v>0</v>
      </c>
      <c r="AB447" s="320">
        <f t="shared" si="202"/>
        <v>0</v>
      </c>
      <c r="AC447" s="320">
        <f t="shared" si="202"/>
        <v>0</v>
      </c>
      <c r="AD447" s="320">
        <f t="shared" si="202"/>
        <v>0</v>
      </c>
      <c r="AE447" s="320">
        <f t="shared" si="202"/>
        <v>0</v>
      </c>
      <c r="AF447" s="320">
        <f t="shared" si="202"/>
        <v>0</v>
      </c>
      <c r="AG447" s="320">
        <f t="shared" si="202"/>
        <v>0</v>
      </c>
      <c r="AH447" s="320">
        <f t="shared" si="202"/>
        <v>0</v>
      </c>
      <c r="AI447" s="320">
        <f t="shared" si="202"/>
        <v>0</v>
      </c>
      <c r="AJ447" s="320">
        <f t="shared" si="202"/>
        <v>0</v>
      </c>
      <c r="AK447" s="320">
        <f t="shared" si="202"/>
        <v>0</v>
      </c>
      <c r="AL447" s="320">
        <f t="shared" si="202"/>
        <v>0</v>
      </c>
      <c r="AM447" s="320">
        <f t="shared" si="202"/>
        <v>0</v>
      </c>
      <c r="AN447" s="320">
        <f t="shared" si="202"/>
        <v>0</v>
      </c>
      <c r="AO447" s="320">
        <f t="shared" si="202"/>
        <v>0</v>
      </c>
      <c r="AP447" s="320">
        <f t="shared" si="202"/>
        <v>0</v>
      </c>
      <c r="AQ447" s="320">
        <f t="shared" si="202"/>
        <v>0</v>
      </c>
      <c r="AR447" s="320">
        <f t="shared" si="202"/>
        <v>0</v>
      </c>
      <c r="AS447" s="320">
        <f t="shared" si="202"/>
        <v>0</v>
      </c>
      <c r="AT447" s="320">
        <f t="shared" si="202"/>
        <v>0</v>
      </c>
      <c r="AU447" s="320">
        <f t="shared" si="202"/>
        <v>0</v>
      </c>
      <c r="AV447" s="320">
        <f t="shared" si="202"/>
        <v>0</v>
      </c>
    </row>
    <row r="448" spans="1:48" s="324" customFormat="1" ht="15" customHeight="1">
      <c r="A448" s="352"/>
      <c r="B448" s="218"/>
      <c r="C448" s="331"/>
      <c r="D448" s="855"/>
      <c r="E448" s="324" t="str">
        <f t="shared" ref="E448:AV448" si="203" xml:space="preserve"> E$211</f>
        <v>Realization costs Cu and Co</v>
      </c>
      <c r="F448" s="324">
        <f t="shared" si="203"/>
        <v>0</v>
      </c>
      <c r="G448" s="324" t="str">
        <f t="shared" si="203"/>
        <v>$ mn</v>
      </c>
      <c r="H448" s="324">
        <f t="shared" si="203"/>
        <v>0</v>
      </c>
      <c r="I448" s="324">
        <f t="shared" si="203"/>
        <v>0</v>
      </c>
      <c r="J448" s="324">
        <f t="shared" si="203"/>
        <v>0</v>
      </c>
      <c r="K448" s="324">
        <f t="shared" si="203"/>
        <v>0</v>
      </c>
      <c r="L448" s="324">
        <f t="shared" si="203"/>
        <v>0</v>
      </c>
      <c r="M448" s="324">
        <f t="shared" si="203"/>
        <v>0</v>
      </c>
      <c r="N448" s="324">
        <f t="shared" si="203"/>
        <v>0</v>
      </c>
      <c r="O448" s="324">
        <f t="shared" si="203"/>
        <v>0</v>
      </c>
      <c r="P448" s="324">
        <f t="shared" si="203"/>
        <v>0</v>
      </c>
      <c r="Q448" s="324">
        <f t="shared" si="203"/>
        <v>0</v>
      </c>
      <c r="R448" s="324">
        <f t="shared" si="203"/>
        <v>0</v>
      </c>
      <c r="S448" s="324">
        <f t="shared" si="203"/>
        <v>0</v>
      </c>
      <c r="T448" s="324">
        <f t="shared" si="203"/>
        <v>0</v>
      </c>
      <c r="U448" s="324">
        <f t="shared" si="203"/>
        <v>0</v>
      </c>
      <c r="V448" s="324">
        <f t="shared" si="203"/>
        <v>0</v>
      </c>
      <c r="W448" s="324">
        <f t="shared" si="203"/>
        <v>0</v>
      </c>
      <c r="X448" s="324">
        <f t="shared" si="203"/>
        <v>0</v>
      </c>
      <c r="Y448" s="324">
        <f t="shared" si="203"/>
        <v>0</v>
      </c>
      <c r="Z448" s="324">
        <f t="shared" si="203"/>
        <v>0</v>
      </c>
      <c r="AA448" s="324">
        <f t="shared" si="203"/>
        <v>0</v>
      </c>
      <c r="AB448" s="324">
        <f t="shared" si="203"/>
        <v>0</v>
      </c>
      <c r="AC448" s="324">
        <f t="shared" si="203"/>
        <v>0</v>
      </c>
      <c r="AD448" s="324">
        <f t="shared" si="203"/>
        <v>0</v>
      </c>
      <c r="AE448" s="324">
        <f t="shared" si="203"/>
        <v>0</v>
      </c>
      <c r="AF448" s="324">
        <f t="shared" si="203"/>
        <v>0</v>
      </c>
      <c r="AG448" s="324">
        <f t="shared" si="203"/>
        <v>0</v>
      </c>
      <c r="AH448" s="324">
        <f t="shared" si="203"/>
        <v>0</v>
      </c>
      <c r="AI448" s="324">
        <f t="shared" si="203"/>
        <v>0</v>
      </c>
      <c r="AJ448" s="324">
        <f t="shared" si="203"/>
        <v>0</v>
      </c>
      <c r="AK448" s="324">
        <f t="shared" si="203"/>
        <v>0</v>
      </c>
      <c r="AL448" s="324">
        <f t="shared" si="203"/>
        <v>0</v>
      </c>
      <c r="AM448" s="324">
        <f t="shared" si="203"/>
        <v>0</v>
      </c>
      <c r="AN448" s="324">
        <f t="shared" si="203"/>
        <v>0</v>
      </c>
      <c r="AO448" s="324">
        <f t="shared" si="203"/>
        <v>0</v>
      </c>
      <c r="AP448" s="324">
        <f t="shared" si="203"/>
        <v>0</v>
      </c>
      <c r="AQ448" s="324">
        <f t="shared" si="203"/>
        <v>0</v>
      </c>
      <c r="AR448" s="324">
        <f t="shared" si="203"/>
        <v>0</v>
      </c>
      <c r="AS448" s="324">
        <f t="shared" si="203"/>
        <v>0</v>
      </c>
      <c r="AT448" s="324">
        <f t="shared" si="203"/>
        <v>0</v>
      </c>
      <c r="AU448" s="324">
        <f t="shared" si="203"/>
        <v>0</v>
      </c>
      <c r="AV448" s="324">
        <f t="shared" si="203"/>
        <v>0</v>
      </c>
    </row>
    <row r="449" spans="1:48" s="320" customFormat="1" ht="15" customHeight="1">
      <c r="A449" s="351"/>
      <c r="B449" s="134"/>
      <c r="C449" s="322"/>
      <c r="D449" s="724"/>
    </row>
    <row r="450" spans="1:48" s="98" customFormat="1" ht="15" customHeight="1">
      <c r="A450" s="385"/>
      <c r="B450" s="357"/>
      <c r="C450" s="366"/>
      <c r="D450" s="317"/>
      <c r="E450" s="98" t="str">
        <f t="shared" ref="E450:AV450" si="204" xml:space="preserve"> E$390</f>
        <v>Alternative Operating Cost Profile</v>
      </c>
      <c r="F450" s="98" t="str">
        <f t="shared" si="204"/>
        <v>Alt Opex</v>
      </c>
      <c r="G450" s="98" t="str">
        <f t="shared" si="204"/>
        <v>$ mn</v>
      </c>
      <c r="H450" s="98">
        <f t="shared" si="204"/>
        <v>0</v>
      </c>
      <c r="I450" s="98">
        <f t="shared" si="204"/>
        <v>0</v>
      </c>
      <c r="J450" s="98">
        <f t="shared" si="204"/>
        <v>9907.4531304831744</v>
      </c>
      <c r="K450" s="98">
        <f t="shared" si="204"/>
        <v>0</v>
      </c>
      <c r="L450" s="98">
        <f t="shared" si="204"/>
        <v>0</v>
      </c>
      <c r="M450" s="98">
        <f t="shared" si="204"/>
        <v>0</v>
      </c>
      <c r="N450" s="98">
        <f t="shared" si="204"/>
        <v>0</v>
      </c>
      <c r="O450" s="98">
        <f t="shared" si="204"/>
        <v>0</v>
      </c>
      <c r="P450" s="98">
        <f t="shared" si="204"/>
        <v>0</v>
      </c>
      <c r="Q450" s="98">
        <f t="shared" si="204"/>
        <v>0</v>
      </c>
      <c r="R450" s="98">
        <f t="shared" si="204"/>
        <v>427.00000000000006</v>
      </c>
      <c r="S450" s="98">
        <f t="shared" si="204"/>
        <v>532</v>
      </c>
      <c r="T450" s="98">
        <f t="shared" si="204"/>
        <v>705</v>
      </c>
      <c r="U450" s="98">
        <f t="shared" si="204"/>
        <v>724.29157127871883</v>
      </c>
      <c r="V450" s="98">
        <f t="shared" si="204"/>
        <v>760.56406616996242</v>
      </c>
      <c r="W450" s="98">
        <f t="shared" si="204"/>
        <v>785.45450684568095</v>
      </c>
      <c r="X450" s="98">
        <f t="shared" si="204"/>
        <v>800.92213977533436</v>
      </c>
      <c r="Y450" s="98">
        <f t="shared" si="204"/>
        <v>816.87383726665769</v>
      </c>
      <c r="Z450" s="98">
        <f t="shared" si="204"/>
        <v>837.83662691634106</v>
      </c>
      <c r="AA450" s="98">
        <f t="shared" si="204"/>
        <v>851.22045364034364</v>
      </c>
      <c r="AB450" s="98">
        <f t="shared" si="204"/>
        <v>866.62268025643698</v>
      </c>
      <c r="AC450" s="98">
        <f t="shared" si="204"/>
        <v>897.22565631293298</v>
      </c>
      <c r="AD450" s="98">
        <f t="shared" si="204"/>
        <v>902.44159202076582</v>
      </c>
      <c r="AE450" s="98">
        <f t="shared" si="204"/>
        <v>0</v>
      </c>
      <c r="AF450" s="98">
        <f t="shared" si="204"/>
        <v>0</v>
      </c>
      <c r="AG450" s="98">
        <f t="shared" si="204"/>
        <v>0</v>
      </c>
      <c r="AH450" s="98">
        <f t="shared" si="204"/>
        <v>0</v>
      </c>
      <c r="AI450" s="98">
        <f t="shared" si="204"/>
        <v>0</v>
      </c>
      <c r="AJ450" s="98">
        <f t="shared" si="204"/>
        <v>0</v>
      </c>
      <c r="AK450" s="98">
        <f t="shared" si="204"/>
        <v>0</v>
      </c>
      <c r="AL450" s="98">
        <f t="shared" si="204"/>
        <v>0</v>
      </c>
      <c r="AM450" s="98">
        <f t="shared" si="204"/>
        <v>0</v>
      </c>
      <c r="AN450" s="98">
        <f t="shared" si="204"/>
        <v>0</v>
      </c>
      <c r="AO450" s="98">
        <f t="shared" si="204"/>
        <v>0</v>
      </c>
      <c r="AP450" s="98">
        <f t="shared" si="204"/>
        <v>0</v>
      </c>
      <c r="AQ450" s="98">
        <f t="shared" si="204"/>
        <v>0</v>
      </c>
      <c r="AR450" s="98">
        <f t="shared" si="204"/>
        <v>0</v>
      </c>
      <c r="AS450" s="98">
        <f t="shared" si="204"/>
        <v>0</v>
      </c>
      <c r="AT450" s="98">
        <f t="shared" si="204"/>
        <v>0</v>
      </c>
      <c r="AU450" s="98">
        <f t="shared" si="204"/>
        <v>0</v>
      </c>
      <c r="AV450" s="98">
        <f t="shared" si="204"/>
        <v>0</v>
      </c>
    </row>
    <row r="451" spans="1:48" s="320" customFormat="1" ht="15" customHeight="1">
      <c r="A451" s="351"/>
      <c r="B451" s="134"/>
      <c r="C451" s="322"/>
      <c r="D451" s="724"/>
      <c r="E451" s="320" t="str">
        <f t="shared" ref="E451:AV451" si="205" xml:space="preserve"> E$410</f>
        <v>Capital Costs inc. Sens.</v>
      </c>
      <c r="F451" s="320">
        <f t="shared" si="205"/>
        <v>0</v>
      </c>
      <c r="G451" s="320" t="str">
        <f t="shared" si="205"/>
        <v>$ mn</v>
      </c>
      <c r="H451" s="320">
        <f t="shared" si="205"/>
        <v>0</v>
      </c>
      <c r="I451" s="320">
        <f t="shared" si="205"/>
        <v>0</v>
      </c>
      <c r="J451" s="320">
        <f t="shared" si="205"/>
        <v>1501.9969697316285</v>
      </c>
      <c r="K451" s="320">
        <f t="shared" si="205"/>
        <v>0</v>
      </c>
      <c r="L451" s="320">
        <f t="shared" si="205"/>
        <v>0</v>
      </c>
      <c r="M451" s="320">
        <f t="shared" si="205"/>
        <v>0</v>
      </c>
      <c r="N451" s="320">
        <f t="shared" si="205"/>
        <v>0</v>
      </c>
      <c r="O451" s="320">
        <f t="shared" si="205"/>
        <v>0</v>
      </c>
      <c r="P451" s="320">
        <f t="shared" si="205"/>
        <v>1010.1999999999999</v>
      </c>
      <c r="Q451" s="320">
        <f t="shared" si="205"/>
        <v>175.6</v>
      </c>
      <c r="R451" s="320">
        <f t="shared" si="205"/>
        <v>59.637940489648081</v>
      </c>
      <c r="S451" s="320">
        <f t="shared" si="205"/>
        <v>19.714240787317188</v>
      </c>
      <c r="T451" s="320">
        <f t="shared" si="205"/>
        <v>22.205587260857488</v>
      </c>
      <c r="U451" s="320">
        <f t="shared" si="205"/>
        <v>7.270379772582368</v>
      </c>
      <c r="V451" s="320">
        <f t="shared" si="205"/>
        <v>32.762129135977283</v>
      </c>
      <c r="W451" s="320">
        <f t="shared" si="205"/>
        <v>14.785349673189831</v>
      </c>
      <c r="X451" s="320">
        <f t="shared" si="205"/>
        <v>37.291985621134906</v>
      </c>
      <c r="Y451" s="320">
        <f t="shared" si="205"/>
        <v>11.106368397789192</v>
      </c>
      <c r="Z451" s="320">
        <f t="shared" si="205"/>
        <v>24.717558956867318</v>
      </c>
      <c r="AA451" s="320">
        <f t="shared" si="205"/>
        <v>10.625875307545776</v>
      </c>
      <c r="AB451" s="320">
        <f t="shared" si="205"/>
        <v>47.657903486366287</v>
      </c>
      <c r="AC451" s="320">
        <f t="shared" si="205"/>
        <v>9.2044613597337044</v>
      </c>
      <c r="AD451" s="320">
        <f t="shared" si="205"/>
        <v>19.217189482619023</v>
      </c>
      <c r="AE451" s="320">
        <f t="shared" si="205"/>
        <v>0</v>
      </c>
      <c r="AF451" s="320">
        <f t="shared" si="205"/>
        <v>0</v>
      </c>
      <c r="AG451" s="320">
        <f t="shared" si="205"/>
        <v>0</v>
      </c>
      <c r="AH451" s="320">
        <f t="shared" si="205"/>
        <v>0</v>
      </c>
      <c r="AI451" s="320">
        <f t="shared" si="205"/>
        <v>0</v>
      </c>
      <c r="AJ451" s="320">
        <f t="shared" si="205"/>
        <v>0</v>
      </c>
      <c r="AK451" s="320">
        <f t="shared" si="205"/>
        <v>0</v>
      </c>
      <c r="AL451" s="320">
        <f t="shared" si="205"/>
        <v>0</v>
      </c>
      <c r="AM451" s="320">
        <f t="shared" si="205"/>
        <v>0</v>
      </c>
      <c r="AN451" s="320">
        <f t="shared" si="205"/>
        <v>0</v>
      </c>
      <c r="AO451" s="320">
        <f t="shared" si="205"/>
        <v>0</v>
      </c>
      <c r="AP451" s="320">
        <f t="shared" si="205"/>
        <v>0</v>
      </c>
      <c r="AQ451" s="320">
        <f t="shared" si="205"/>
        <v>0</v>
      </c>
      <c r="AR451" s="320">
        <f t="shared" si="205"/>
        <v>0</v>
      </c>
      <c r="AS451" s="320">
        <f t="shared" si="205"/>
        <v>0</v>
      </c>
      <c r="AT451" s="320">
        <f t="shared" si="205"/>
        <v>0</v>
      </c>
      <c r="AU451" s="320">
        <f t="shared" si="205"/>
        <v>0</v>
      </c>
      <c r="AV451" s="320">
        <f t="shared" si="205"/>
        <v>0</v>
      </c>
    </row>
    <row r="452" spans="1:48" s="324" customFormat="1" ht="15" customHeight="1">
      <c r="A452" s="352"/>
      <c r="B452" s="218"/>
      <c r="C452" s="331"/>
      <c r="D452" s="855"/>
      <c r="E452" s="324" t="s">
        <v>181</v>
      </c>
      <c r="G452" s="324" t="s">
        <v>29</v>
      </c>
      <c r="J452" s="324">
        <f xml:space="preserve"> SUM(L452:AV452)</f>
        <v>11409.450100214803</v>
      </c>
      <c r="L452" s="324">
        <f t="shared" ref="L452:AV452" si="206">SUM(L450:L451)</f>
        <v>0</v>
      </c>
      <c r="M452" s="324">
        <f t="shared" si="206"/>
        <v>0</v>
      </c>
      <c r="N452" s="324">
        <f t="shared" si="206"/>
        <v>0</v>
      </c>
      <c r="O452" s="324">
        <f t="shared" si="206"/>
        <v>0</v>
      </c>
      <c r="P452" s="324">
        <f t="shared" si="206"/>
        <v>1010.1999999999999</v>
      </c>
      <c r="Q452" s="324">
        <f t="shared" si="206"/>
        <v>175.6</v>
      </c>
      <c r="R452" s="324">
        <f t="shared" si="206"/>
        <v>486.63794048964814</v>
      </c>
      <c r="S452" s="324">
        <f t="shared" si="206"/>
        <v>551.71424078731718</v>
      </c>
      <c r="T452" s="324">
        <f t="shared" si="206"/>
        <v>727.20558726085744</v>
      </c>
      <c r="U452" s="324">
        <f t="shared" si="206"/>
        <v>731.56195105130121</v>
      </c>
      <c r="V452" s="324">
        <f t="shared" si="206"/>
        <v>793.32619530593968</v>
      </c>
      <c r="W452" s="324">
        <f t="shared" si="206"/>
        <v>800.23985651887074</v>
      </c>
      <c r="X452" s="324">
        <f t="shared" si="206"/>
        <v>838.21412539646929</v>
      </c>
      <c r="Y452" s="324">
        <f t="shared" si="206"/>
        <v>827.98020566444688</v>
      </c>
      <c r="Z452" s="324">
        <f t="shared" si="206"/>
        <v>862.55418587320833</v>
      </c>
      <c r="AA452" s="324">
        <f t="shared" si="206"/>
        <v>861.84632894788945</v>
      </c>
      <c r="AB452" s="324">
        <f t="shared" si="206"/>
        <v>914.28058374280329</v>
      </c>
      <c r="AC452" s="324">
        <f t="shared" si="206"/>
        <v>906.43011767266671</v>
      </c>
      <c r="AD452" s="324">
        <f t="shared" si="206"/>
        <v>921.65878150338483</v>
      </c>
      <c r="AE452" s="324">
        <f t="shared" si="206"/>
        <v>0</v>
      </c>
      <c r="AF452" s="324">
        <f t="shared" si="206"/>
        <v>0</v>
      </c>
      <c r="AG452" s="324">
        <f t="shared" si="206"/>
        <v>0</v>
      </c>
      <c r="AH452" s="324">
        <f t="shared" si="206"/>
        <v>0</v>
      </c>
      <c r="AI452" s="324">
        <f t="shared" si="206"/>
        <v>0</v>
      </c>
      <c r="AJ452" s="324">
        <f t="shared" si="206"/>
        <v>0</v>
      </c>
      <c r="AK452" s="324">
        <f t="shared" si="206"/>
        <v>0</v>
      </c>
      <c r="AL452" s="324">
        <f t="shared" si="206"/>
        <v>0</v>
      </c>
      <c r="AM452" s="324">
        <f t="shared" si="206"/>
        <v>0</v>
      </c>
      <c r="AN452" s="324">
        <f t="shared" si="206"/>
        <v>0</v>
      </c>
      <c r="AO452" s="324">
        <f t="shared" si="206"/>
        <v>0</v>
      </c>
      <c r="AP452" s="324">
        <f t="shared" si="206"/>
        <v>0</v>
      </c>
      <c r="AQ452" s="324">
        <f t="shared" si="206"/>
        <v>0</v>
      </c>
      <c r="AR452" s="324">
        <f t="shared" si="206"/>
        <v>0</v>
      </c>
      <c r="AS452" s="324">
        <f t="shared" si="206"/>
        <v>0</v>
      </c>
      <c r="AT452" s="324">
        <f t="shared" si="206"/>
        <v>0</v>
      </c>
      <c r="AU452" s="324">
        <f t="shared" si="206"/>
        <v>0</v>
      </c>
      <c r="AV452" s="324">
        <f t="shared" si="206"/>
        <v>0</v>
      </c>
    </row>
    <row r="453" spans="1:48" s="320" customFormat="1" ht="15" customHeight="1">
      <c r="A453" s="351"/>
      <c r="B453" s="134"/>
      <c r="C453" s="322"/>
      <c r="D453" s="724"/>
    </row>
    <row r="454" spans="1:48" s="320" customFormat="1" ht="15" customHeight="1">
      <c r="A454" s="351"/>
      <c r="B454" s="134"/>
      <c r="C454" s="322"/>
      <c r="D454" s="724"/>
      <c r="E454" s="320" t="s">
        <v>664</v>
      </c>
      <c r="G454" s="320" t="s">
        <v>29</v>
      </c>
      <c r="J454" s="320">
        <f xml:space="preserve"> SUM(L454:AV454)</f>
        <v>7602.4719981898188</v>
      </c>
      <c r="L454" s="320">
        <f t="shared" ref="L454:AV454" si="207" xml:space="preserve"> L444 - L448 - L452</f>
        <v>0</v>
      </c>
      <c r="M454" s="320">
        <f t="shared" si="207"/>
        <v>0</v>
      </c>
      <c r="N454" s="320">
        <f t="shared" si="207"/>
        <v>0</v>
      </c>
      <c r="O454" s="320">
        <f t="shared" si="207"/>
        <v>0</v>
      </c>
      <c r="P454" s="320">
        <f t="shared" si="207"/>
        <v>-943.06374607057251</v>
      </c>
      <c r="Q454" s="320">
        <f t="shared" si="207"/>
        <v>770.99558436977952</v>
      </c>
      <c r="R454" s="320">
        <f t="shared" si="207"/>
        <v>314.33493733000921</v>
      </c>
      <c r="S454" s="320">
        <f t="shared" si="207"/>
        <v>1003.2129916506368</v>
      </c>
      <c r="T454" s="320">
        <f t="shared" si="207"/>
        <v>1063.0484207248564</v>
      </c>
      <c r="U454" s="320">
        <f t="shared" si="207"/>
        <v>555.43352993011024</v>
      </c>
      <c r="V454" s="320">
        <f t="shared" si="207"/>
        <v>404.33052632425427</v>
      </c>
      <c r="W454" s="320">
        <f t="shared" si="207"/>
        <v>603.51914712237158</v>
      </c>
      <c r="X454" s="320">
        <f t="shared" si="207"/>
        <v>552.92060449538792</v>
      </c>
      <c r="Y454" s="320">
        <f t="shared" si="207"/>
        <v>541.23665696978128</v>
      </c>
      <c r="Z454" s="320">
        <f t="shared" si="207"/>
        <v>535.78080999474901</v>
      </c>
      <c r="AA454" s="320">
        <f t="shared" si="207"/>
        <v>531.50535740522753</v>
      </c>
      <c r="AB454" s="320">
        <f t="shared" si="207"/>
        <v>486.3857379523771</v>
      </c>
      <c r="AC454" s="320">
        <f t="shared" si="207"/>
        <v>584.03809811517249</v>
      </c>
      <c r="AD454" s="320">
        <f t="shared" si="207"/>
        <v>598.7933418756794</v>
      </c>
      <c r="AE454" s="320">
        <f t="shared" si="207"/>
        <v>0</v>
      </c>
      <c r="AF454" s="320">
        <f t="shared" si="207"/>
        <v>0</v>
      </c>
      <c r="AG454" s="320">
        <f t="shared" si="207"/>
        <v>0</v>
      </c>
      <c r="AH454" s="320">
        <f t="shared" si="207"/>
        <v>0</v>
      </c>
      <c r="AI454" s="320">
        <f t="shared" si="207"/>
        <v>0</v>
      </c>
      <c r="AJ454" s="320">
        <f t="shared" si="207"/>
        <v>0</v>
      </c>
      <c r="AK454" s="320">
        <f t="shared" si="207"/>
        <v>0</v>
      </c>
      <c r="AL454" s="320">
        <f t="shared" si="207"/>
        <v>0</v>
      </c>
      <c r="AM454" s="320">
        <f t="shared" si="207"/>
        <v>0</v>
      </c>
      <c r="AN454" s="320">
        <f t="shared" si="207"/>
        <v>0</v>
      </c>
      <c r="AO454" s="320">
        <f t="shared" si="207"/>
        <v>0</v>
      </c>
      <c r="AP454" s="320">
        <f t="shared" si="207"/>
        <v>0</v>
      </c>
      <c r="AQ454" s="320">
        <f t="shared" si="207"/>
        <v>0</v>
      </c>
      <c r="AR454" s="320">
        <f t="shared" si="207"/>
        <v>0</v>
      </c>
      <c r="AS454" s="320">
        <f t="shared" si="207"/>
        <v>0</v>
      </c>
      <c r="AT454" s="320">
        <f t="shared" si="207"/>
        <v>0</v>
      </c>
      <c r="AU454" s="320">
        <f t="shared" si="207"/>
        <v>0</v>
      </c>
      <c r="AV454" s="320">
        <f t="shared" si="207"/>
        <v>0</v>
      </c>
    </row>
    <row r="455" spans="1:48" s="320" customFormat="1" ht="15" customHeight="1">
      <c r="A455" s="351"/>
      <c r="B455" s="134"/>
      <c r="C455" s="322"/>
      <c r="D455" s="724"/>
    </row>
    <row r="456" spans="1:48" s="160" customFormat="1" ht="15" customHeight="1">
      <c r="A456" s="164" t="s">
        <v>935</v>
      </c>
      <c r="B456" s="162"/>
      <c r="C456" s="315"/>
      <c r="D456" s="386"/>
      <c r="E456" s="162"/>
      <c r="F456" s="162"/>
      <c r="G456" s="162"/>
      <c r="H456" s="162"/>
    </row>
    <row r="457" spans="1:48" s="320" customFormat="1" ht="15" customHeight="1">
      <c r="A457" s="351"/>
      <c r="B457" s="134"/>
      <c r="C457" s="322"/>
      <c r="D457" s="724"/>
    </row>
    <row r="458" spans="1:48" s="320" customFormat="1" ht="15" customHeight="1">
      <c r="A458" s="351"/>
      <c r="B458" s="134" t="s">
        <v>928</v>
      </c>
      <c r="C458" s="322"/>
      <c r="D458" s="724"/>
    </row>
    <row r="459" spans="1:48" s="320" customFormat="1" ht="15" customHeight="1">
      <c r="A459" s="351"/>
      <c r="B459" s="134"/>
      <c r="C459" s="322" t="s">
        <v>1239</v>
      </c>
      <c r="D459" s="724"/>
    </row>
    <row r="460" spans="1:48" s="170" customFormat="1" ht="15" customHeight="1">
      <c r="D460" s="522"/>
      <c r="E460" s="170" t="str">
        <f xml:space="preserve"> InputsTS!E$51</f>
        <v>Copper Price ($/TCu)</v>
      </c>
      <c r="F460" s="170">
        <f xml:space="preserve"> InputsTS!F$51</f>
        <v>0</v>
      </c>
      <c r="G460" s="170" t="str">
        <f xml:space="preserve"> InputsTS!G$51</f>
        <v>$ / tonne</v>
      </c>
      <c r="H460" s="170">
        <f xml:space="preserve"> InputsTS!H$51</f>
        <v>0</v>
      </c>
      <c r="I460" s="170">
        <f xml:space="preserve"> InputsTS!I$51</f>
        <v>0</v>
      </c>
      <c r="J460" s="170">
        <f xml:space="preserve"> InputsTS!J$51</f>
        <v>0</v>
      </c>
      <c r="K460" s="170">
        <f xml:space="preserve"> InputsTS!K$51</f>
        <v>0</v>
      </c>
      <c r="L460" s="170">
        <f xml:space="preserve"> InputsTS!L$51</f>
        <v>0</v>
      </c>
      <c r="M460" s="170">
        <f xml:space="preserve"> InputsTS!M$51</f>
        <v>0</v>
      </c>
      <c r="N460" s="170">
        <f xml:space="preserve"> InputsTS!N$51</f>
        <v>0</v>
      </c>
      <c r="O460" s="170">
        <f xml:space="preserve"> InputsTS!O$51</f>
        <v>0</v>
      </c>
      <c r="P460" s="170">
        <f xml:space="preserve"> InputsTS!P$51</f>
        <v>0</v>
      </c>
      <c r="Q460" s="170">
        <f xml:space="preserve"> InputsTS!Q$51</f>
        <v>0</v>
      </c>
      <c r="R460" s="170">
        <f xml:space="preserve"> InputsTS!R$51</f>
        <v>6169</v>
      </c>
      <c r="S460" s="170">
        <f xml:space="preserve"> InputsTS!S$51</f>
        <v>9315</v>
      </c>
      <c r="T460" s="170">
        <f xml:space="preserve"> InputsTS!T$51</f>
        <v>8803</v>
      </c>
      <c r="U460" s="170">
        <f xml:space="preserve"> InputsTS!U$51</f>
        <v>11155</v>
      </c>
      <c r="V460" s="170">
        <f xml:space="preserve"> InputsTS!V$51</f>
        <v>13228</v>
      </c>
      <c r="W460" s="170">
        <f xml:space="preserve"> InputsTS!W$51</f>
        <v>14330</v>
      </c>
      <c r="X460" s="170">
        <f xml:space="preserve"> InputsTS!X$51</f>
        <v>13228</v>
      </c>
      <c r="Y460" s="170">
        <f xml:space="preserve"> InputsTS!Y$51</f>
        <v>12125</v>
      </c>
      <c r="Z460" s="170">
        <f xml:space="preserve"> InputsTS!Z$51</f>
        <v>11023</v>
      </c>
      <c r="AA460" s="170">
        <f xml:space="preserve"> InputsTS!AA$51</f>
        <v>10472</v>
      </c>
      <c r="AB460" s="170">
        <f xml:space="preserve"> InputsTS!AB$51</f>
        <v>9921</v>
      </c>
      <c r="AC460" s="170">
        <f xml:space="preserve"> InputsTS!AC$51</f>
        <v>10119</v>
      </c>
      <c r="AD460" s="170">
        <f xml:space="preserve"> InputsTS!AD$51</f>
        <v>10322</v>
      </c>
      <c r="AE460" s="170">
        <f xml:space="preserve"> InputsTS!AE$51</f>
        <v>0</v>
      </c>
      <c r="AF460" s="170">
        <f xml:space="preserve"> InputsTS!AF$51</f>
        <v>0</v>
      </c>
      <c r="AG460" s="170">
        <f xml:space="preserve"> InputsTS!AG$51</f>
        <v>0</v>
      </c>
      <c r="AH460" s="170">
        <f xml:space="preserve"> InputsTS!AH$51</f>
        <v>0</v>
      </c>
      <c r="AI460" s="170">
        <f xml:space="preserve"> InputsTS!AI$51</f>
        <v>0</v>
      </c>
      <c r="AJ460" s="170">
        <f xml:space="preserve"> InputsTS!AJ$51</f>
        <v>0</v>
      </c>
      <c r="AK460" s="170">
        <f xml:space="preserve"> InputsTS!AK$51</f>
        <v>0</v>
      </c>
      <c r="AL460" s="170">
        <f xml:space="preserve"> InputsTS!AL$51</f>
        <v>0</v>
      </c>
      <c r="AM460" s="170">
        <f xml:space="preserve"> InputsTS!AM$51</f>
        <v>0</v>
      </c>
      <c r="AN460" s="170">
        <f xml:space="preserve"> InputsTS!AN$51</f>
        <v>0</v>
      </c>
      <c r="AO460" s="170">
        <f xml:space="preserve"> InputsTS!AO$51</f>
        <v>0</v>
      </c>
      <c r="AP460" s="170">
        <f xml:space="preserve"> InputsTS!AP$51</f>
        <v>0</v>
      </c>
      <c r="AQ460" s="170">
        <f xml:space="preserve"> InputsTS!AQ$51</f>
        <v>0</v>
      </c>
      <c r="AR460" s="170">
        <f xml:space="preserve"> InputsTS!AR$51</f>
        <v>0</v>
      </c>
      <c r="AS460" s="170">
        <f xml:space="preserve"> InputsTS!AS$51</f>
        <v>0</v>
      </c>
      <c r="AT460" s="170">
        <f xml:space="preserve"> InputsTS!AT$51</f>
        <v>0</v>
      </c>
      <c r="AU460" s="170">
        <f xml:space="preserve"> InputsTS!AU$51</f>
        <v>0</v>
      </c>
      <c r="AV460" s="170">
        <f xml:space="preserve"> InputsTS!AV$51</f>
        <v>0</v>
      </c>
    </row>
    <row r="461" spans="1:48" s="170" customFormat="1" ht="15" customHeight="1">
      <c r="D461" s="522"/>
      <c r="E461" s="170" t="str">
        <f xml:space="preserve"> InputsTS!E$52</f>
        <v>Cobalt Price ($/TCo)</v>
      </c>
      <c r="F461" s="170">
        <f xml:space="preserve"> InputsTS!F$52</f>
        <v>0</v>
      </c>
      <c r="G461" s="170" t="str">
        <f xml:space="preserve"> InputsTS!G$52</f>
        <v>$ / tonne</v>
      </c>
      <c r="H461" s="170">
        <f xml:space="preserve"> InputsTS!H$52</f>
        <v>0</v>
      </c>
      <c r="I461" s="170">
        <f xml:space="preserve"> InputsTS!I$52</f>
        <v>0</v>
      </c>
      <c r="J461" s="170">
        <f xml:space="preserve"> InputsTS!J$52</f>
        <v>0</v>
      </c>
      <c r="K461" s="170">
        <f xml:space="preserve"> InputsTS!K$52</f>
        <v>0</v>
      </c>
      <c r="L461" s="170">
        <f xml:space="preserve"> InputsTS!L$52</f>
        <v>0</v>
      </c>
      <c r="M461" s="170">
        <f xml:space="preserve"> InputsTS!M$52</f>
        <v>0</v>
      </c>
      <c r="N461" s="170">
        <f xml:space="preserve"> InputsTS!N$52</f>
        <v>0</v>
      </c>
      <c r="O461" s="170">
        <f xml:space="preserve"> InputsTS!O$52</f>
        <v>0</v>
      </c>
      <c r="P461" s="170">
        <f xml:space="preserve"> InputsTS!P$52</f>
        <v>0</v>
      </c>
      <c r="Q461" s="170">
        <f xml:space="preserve"> InputsTS!Q$52</f>
        <v>0</v>
      </c>
      <c r="R461" s="170">
        <f xml:space="preserve"> InputsTS!R$52</f>
        <v>33958</v>
      </c>
      <c r="S461" s="170">
        <f xml:space="preserve"> InputsTS!S$52</f>
        <v>52698</v>
      </c>
      <c r="T461" s="170">
        <f xml:space="preserve"> InputsTS!T$52</f>
        <v>67984</v>
      </c>
      <c r="U461" s="170">
        <f xml:space="preserve"> InputsTS!U$52</f>
        <v>60627</v>
      </c>
      <c r="V461" s="170">
        <f xml:space="preserve"> InputsTS!V$52</f>
        <v>82673</v>
      </c>
      <c r="W461" s="170">
        <f xml:space="preserve"> InputsTS!W$52</f>
        <v>110231</v>
      </c>
      <c r="X461" s="170">
        <f xml:space="preserve"> InputsTS!X$52</f>
        <v>121254</v>
      </c>
      <c r="Y461" s="170">
        <f xml:space="preserve"> InputsTS!Y$52</f>
        <v>77162</v>
      </c>
      <c r="Z461" s="170">
        <f xml:space="preserve"> InputsTS!Z$52</f>
        <v>78705</v>
      </c>
      <c r="AA461" s="170">
        <f xml:space="preserve"> InputsTS!AA$52</f>
        <v>80279</v>
      </c>
      <c r="AB461" s="170">
        <f xml:space="preserve"> InputsTS!AB$52</f>
        <v>81885</v>
      </c>
      <c r="AC461" s="170">
        <f xml:space="preserve"> InputsTS!AC$52</f>
        <v>83522</v>
      </c>
      <c r="AD461" s="170">
        <f xml:space="preserve"> InputsTS!AD$52</f>
        <v>85193</v>
      </c>
      <c r="AE461" s="170">
        <f xml:space="preserve"> InputsTS!AE$52</f>
        <v>0</v>
      </c>
      <c r="AF461" s="170">
        <f xml:space="preserve"> InputsTS!AF$52</f>
        <v>0</v>
      </c>
      <c r="AG461" s="170">
        <f xml:space="preserve"> InputsTS!AG$52</f>
        <v>0</v>
      </c>
      <c r="AH461" s="170">
        <f xml:space="preserve"> InputsTS!AH$52</f>
        <v>0</v>
      </c>
      <c r="AI461" s="170">
        <f xml:space="preserve"> InputsTS!AI$52</f>
        <v>0</v>
      </c>
      <c r="AJ461" s="170">
        <f xml:space="preserve"> InputsTS!AJ$52</f>
        <v>0</v>
      </c>
      <c r="AK461" s="170">
        <f xml:space="preserve"> InputsTS!AK$52</f>
        <v>0</v>
      </c>
      <c r="AL461" s="170">
        <f xml:space="preserve"> InputsTS!AL$52</f>
        <v>0</v>
      </c>
      <c r="AM461" s="170">
        <f xml:space="preserve"> InputsTS!AM$52</f>
        <v>0</v>
      </c>
      <c r="AN461" s="170">
        <f xml:space="preserve"> InputsTS!AN$52</f>
        <v>0</v>
      </c>
      <c r="AO461" s="170">
        <f xml:space="preserve"> InputsTS!AO$52</f>
        <v>0</v>
      </c>
      <c r="AP461" s="170">
        <f xml:space="preserve"> InputsTS!AP$52</f>
        <v>0</v>
      </c>
      <c r="AQ461" s="170">
        <f xml:space="preserve"> InputsTS!AQ$52</f>
        <v>0</v>
      </c>
      <c r="AR461" s="170">
        <f xml:space="preserve"> InputsTS!AR$52</f>
        <v>0</v>
      </c>
      <c r="AS461" s="170">
        <f xml:space="preserve"> InputsTS!AS$52</f>
        <v>0</v>
      </c>
      <c r="AT461" s="170">
        <f xml:space="preserve"> InputsTS!AT$52</f>
        <v>0</v>
      </c>
      <c r="AU461" s="170">
        <f xml:space="preserve"> InputsTS!AU$52</f>
        <v>0</v>
      </c>
      <c r="AV461" s="170">
        <f xml:space="preserve"> InputsTS!AV$52</f>
        <v>0</v>
      </c>
    </row>
    <row r="462" spans="1:48" s="320" customFormat="1" ht="15" customHeight="1">
      <c r="A462" s="351"/>
      <c r="B462" s="134"/>
      <c r="C462" s="322"/>
      <c r="D462" s="724"/>
    </row>
    <row r="463" spans="1:48" s="320" customFormat="1" ht="15" customHeight="1">
      <c r="A463" s="351"/>
      <c r="B463" s="134"/>
      <c r="C463" s="322"/>
      <c r="D463" s="724"/>
      <c r="E463" s="108" t="str">
        <f xml:space="preserve"> 'T&amp;E'!E$9</f>
        <v>Model calendar year</v>
      </c>
      <c r="F463" s="108">
        <f xml:space="preserve"> 'T&amp;E'!F$9</f>
        <v>0</v>
      </c>
      <c r="G463" s="108" t="str">
        <f xml:space="preserve"> 'T&amp;E'!G$9</f>
        <v>year</v>
      </c>
      <c r="H463" s="108">
        <f xml:space="preserve"> 'T&amp;E'!H$9</f>
        <v>0</v>
      </c>
      <c r="I463" s="108">
        <f xml:space="preserve"> 'T&amp;E'!I$9</f>
        <v>0</v>
      </c>
      <c r="J463" s="108">
        <f xml:space="preserve"> 'T&amp;E'!J$9</f>
        <v>0</v>
      </c>
      <c r="K463" s="108">
        <f xml:space="preserve"> 'T&amp;E'!K$9</f>
        <v>0</v>
      </c>
      <c r="L463" s="108">
        <f xml:space="preserve"> 'T&amp;E'!L$9</f>
        <v>2014</v>
      </c>
      <c r="M463" s="108">
        <f xml:space="preserve"> 'T&amp;E'!M$9</f>
        <v>2015</v>
      </c>
      <c r="N463" s="108">
        <f xml:space="preserve"> 'T&amp;E'!N$9</f>
        <v>2016</v>
      </c>
      <c r="O463" s="108">
        <f xml:space="preserve"> 'T&amp;E'!O$9</f>
        <v>2017</v>
      </c>
      <c r="P463" s="108">
        <f xml:space="preserve"> 'T&amp;E'!P$9</f>
        <v>2018</v>
      </c>
      <c r="Q463" s="108">
        <f xml:space="preserve"> 'T&amp;E'!Q$9</f>
        <v>2019</v>
      </c>
      <c r="R463" s="108">
        <f xml:space="preserve"> 'T&amp;E'!R$9</f>
        <v>2020</v>
      </c>
      <c r="S463" s="108">
        <f xml:space="preserve"> 'T&amp;E'!S$9</f>
        <v>2021</v>
      </c>
      <c r="T463" s="108">
        <f xml:space="preserve"> 'T&amp;E'!T$9</f>
        <v>2022</v>
      </c>
      <c r="U463" s="108">
        <f xml:space="preserve"> 'T&amp;E'!U$9</f>
        <v>2023</v>
      </c>
      <c r="V463" s="108">
        <f xml:space="preserve"> 'T&amp;E'!V$9</f>
        <v>2024</v>
      </c>
      <c r="W463" s="108">
        <f xml:space="preserve"> 'T&amp;E'!W$9</f>
        <v>2025</v>
      </c>
      <c r="X463" s="108">
        <f xml:space="preserve"> 'T&amp;E'!X$9</f>
        <v>2026</v>
      </c>
      <c r="Y463" s="108">
        <f xml:space="preserve"> 'T&amp;E'!Y$9</f>
        <v>2027</v>
      </c>
      <c r="Z463" s="108">
        <f xml:space="preserve"> 'T&amp;E'!Z$9</f>
        <v>2028</v>
      </c>
      <c r="AA463" s="108">
        <f xml:space="preserve"> 'T&amp;E'!AA$9</f>
        <v>2029</v>
      </c>
      <c r="AB463" s="108">
        <f xml:space="preserve"> 'T&amp;E'!AB$9</f>
        <v>2030</v>
      </c>
      <c r="AC463" s="108">
        <f xml:space="preserve"> 'T&amp;E'!AC$9</f>
        <v>2031</v>
      </c>
      <c r="AD463" s="108">
        <f xml:space="preserve"> 'T&amp;E'!AD$9</f>
        <v>2032</v>
      </c>
      <c r="AE463" s="108">
        <f xml:space="preserve"> 'T&amp;E'!AE$9</f>
        <v>2033</v>
      </c>
      <c r="AF463" s="108">
        <f xml:space="preserve"> 'T&amp;E'!AF$9</f>
        <v>2034</v>
      </c>
      <c r="AG463" s="108">
        <f xml:space="preserve"> 'T&amp;E'!AG$9</f>
        <v>2035</v>
      </c>
      <c r="AH463" s="108">
        <f xml:space="preserve"> 'T&amp;E'!AH$9</f>
        <v>2036</v>
      </c>
      <c r="AI463" s="108">
        <f xml:space="preserve"> 'T&amp;E'!AI$9</f>
        <v>2037</v>
      </c>
      <c r="AJ463" s="108">
        <f xml:space="preserve"> 'T&amp;E'!AJ$9</f>
        <v>2038</v>
      </c>
      <c r="AK463" s="108">
        <f xml:space="preserve"> 'T&amp;E'!AK$9</f>
        <v>2039</v>
      </c>
      <c r="AL463" s="108">
        <f xml:space="preserve"> 'T&amp;E'!AL$9</f>
        <v>2040</v>
      </c>
      <c r="AM463" s="108">
        <f xml:space="preserve"> 'T&amp;E'!AM$9</f>
        <v>2041</v>
      </c>
      <c r="AN463" s="108">
        <f xml:space="preserve"> 'T&amp;E'!AN$9</f>
        <v>2042</v>
      </c>
      <c r="AO463" s="108">
        <f xml:space="preserve"> 'T&amp;E'!AO$9</f>
        <v>2043</v>
      </c>
      <c r="AP463" s="108">
        <f xml:space="preserve"> 'T&amp;E'!AP$9</f>
        <v>2044</v>
      </c>
      <c r="AQ463" s="108">
        <f xml:space="preserve"> 'T&amp;E'!AQ$9</f>
        <v>2045</v>
      </c>
      <c r="AR463" s="108">
        <f xml:space="preserve"> 'T&amp;E'!AR$9</f>
        <v>2046</v>
      </c>
      <c r="AS463" s="108">
        <f xml:space="preserve"> 'T&amp;E'!AS$9</f>
        <v>2047</v>
      </c>
      <c r="AT463" s="108">
        <f xml:space="preserve"> 'T&amp;E'!AT$9</f>
        <v>2048</v>
      </c>
      <c r="AU463" s="108">
        <f xml:space="preserve"> 'T&amp;E'!AU$9</f>
        <v>2049</v>
      </c>
      <c r="AV463" s="108">
        <f xml:space="preserve"> 'T&amp;E'!AV$9</f>
        <v>2050</v>
      </c>
    </row>
    <row r="464" spans="1:48" s="320" customFormat="1" ht="15" customHeight="1">
      <c r="A464" s="351"/>
      <c r="B464" s="134"/>
      <c r="C464" s="322"/>
      <c r="D464" s="724"/>
      <c r="E464" s="132" t="str">
        <f xml:space="preserve"> 'T&amp;E'!E$28</f>
        <v>USD CPI Inflation (incl forecast)</v>
      </c>
      <c r="F464" s="132">
        <f xml:space="preserve"> 'T&amp;E'!F$28</f>
        <v>0</v>
      </c>
      <c r="G464" s="132" t="str">
        <f xml:space="preserve"> 'T&amp;E'!G$28</f>
        <v>Index</v>
      </c>
      <c r="H464" s="132">
        <f xml:space="preserve"> 'T&amp;E'!H$28</f>
        <v>0</v>
      </c>
      <c r="I464" s="132">
        <f xml:space="preserve"> 'T&amp;E'!I$28</f>
        <v>0</v>
      </c>
      <c r="J464" s="132">
        <f xml:space="preserve"> 'T&amp;E'!J$28</f>
        <v>0</v>
      </c>
      <c r="K464" s="132">
        <f xml:space="preserve"> 'T&amp;E'!K$28</f>
        <v>0</v>
      </c>
      <c r="L464" s="132">
        <f xml:space="preserve"> 'T&amp;E'!L$28</f>
        <v>236.715</v>
      </c>
      <c r="M464" s="132">
        <f xml:space="preserve"> 'T&amp;E'!M$28</f>
        <v>237.00200000000001</v>
      </c>
      <c r="N464" s="132">
        <f xml:space="preserve"> 'T&amp;E'!N$28</f>
        <v>240.005</v>
      </c>
      <c r="O464" s="132">
        <f xml:space="preserve"> 'T&amp;E'!O$28</f>
        <v>245.12100000000001</v>
      </c>
      <c r="P464" s="132">
        <f xml:space="preserve"> 'T&amp;E'!P$28</f>
        <v>251.1</v>
      </c>
      <c r="Q464" s="132">
        <f xml:space="preserve"> 'T&amp;E'!Q$28</f>
        <v>255.65299999999999</v>
      </c>
      <c r="R464" s="132">
        <f xml:space="preserve"> 'T&amp;E'!R$28</f>
        <v>258.85599999999999</v>
      </c>
      <c r="S464" s="132">
        <f xml:space="preserve"> 'T&amp;E'!S$28</f>
        <v>270.96800000000002</v>
      </c>
      <c r="T464" s="132">
        <f xml:space="preserve"> 'T&amp;E'!T$28</f>
        <v>292.625</v>
      </c>
      <c r="U464" s="132">
        <f xml:space="preserve"> 'T&amp;E'!U$28</f>
        <v>304.70400000000001</v>
      </c>
      <c r="V464" s="132">
        <f xml:space="preserve"> 'T&amp;E'!V$28</f>
        <v>313.69799999999998</v>
      </c>
      <c r="W464" s="132">
        <f xml:space="preserve"> 'T&amp;E'!W$28</f>
        <v>323.07</v>
      </c>
      <c r="X464" s="132">
        <f xml:space="preserve"> 'T&amp;E'!X$28</f>
        <v>331.03500000000003</v>
      </c>
      <c r="Y464" s="132">
        <f xml:space="preserve"> 'T&amp;E'!Y$28</f>
        <v>338.02100000000002</v>
      </c>
      <c r="Z464" s="132">
        <f xml:space="preserve"> 'T&amp;E'!Z$28</f>
        <v>345.30700000000002</v>
      </c>
      <c r="AA464" s="132">
        <f xml:space="preserve"> 'T&amp;E'!AA$28</f>
        <v>352.79700000000003</v>
      </c>
      <c r="AB464" s="132">
        <f xml:space="preserve"> 'T&amp;E'!AB$28</f>
        <v>360.47</v>
      </c>
      <c r="AC464" s="132">
        <f xml:space="preserve"> 'T&amp;E'!AC$28</f>
        <v>367.67940000000004</v>
      </c>
      <c r="AD464" s="132">
        <f xml:space="preserve"> 'T&amp;E'!AD$28</f>
        <v>375.03298800000005</v>
      </c>
      <c r="AE464" s="132">
        <f xml:space="preserve"> 'T&amp;E'!AE$28</f>
        <v>382.53364776000006</v>
      </c>
      <c r="AF464" s="132">
        <f xml:space="preserve"> 'T&amp;E'!AF$28</f>
        <v>390.18432071520004</v>
      </c>
      <c r="AG464" s="132">
        <f xml:space="preserve"> 'T&amp;E'!AG$28</f>
        <v>397.98800712950407</v>
      </c>
      <c r="AH464" s="132">
        <f xml:space="preserve"> 'T&amp;E'!AH$28</f>
        <v>405.94776727209415</v>
      </c>
      <c r="AI464" s="132">
        <f xml:space="preserve"> 'T&amp;E'!AI$28</f>
        <v>414.06672261753607</v>
      </c>
      <c r="AJ464" s="132">
        <f xml:space="preserve"> 'T&amp;E'!AJ$28</f>
        <v>422.34805706988681</v>
      </c>
      <c r="AK464" s="132">
        <f xml:space="preserve"> 'T&amp;E'!AK$28</f>
        <v>430.79501821128457</v>
      </c>
      <c r="AL464" s="132">
        <f xml:space="preserve"> 'T&amp;E'!AL$28</f>
        <v>439.41091857551027</v>
      </c>
      <c r="AM464" s="132">
        <f xml:space="preserve"> 'T&amp;E'!AM$28</f>
        <v>448.19913694702046</v>
      </c>
      <c r="AN464" s="132">
        <f xml:space="preserve"> 'T&amp;E'!AN$28</f>
        <v>457.16311968596091</v>
      </c>
      <c r="AO464" s="132">
        <f xml:space="preserve"> 'T&amp;E'!AO$28</f>
        <v>466.30638207968013</v>
      </c>
      <c r="AP464" s="132">
        <f xml:space="preserve"> 'T&amp;E'!AP$28</f>
        <v>475.63250972127372</v>
      </c>
      <c r="AQ464" s="132">
        <f xml:space="preserve"> 'T&amp;E'!AQ$28</f>
        <v>485.1451599156992</v>
      </c>
      <c r="AR464" s="132">
        <f xml:space="preserve"> 'T&amp;E'!AR$28</f>
        <v>494.8480631140132</v>
      </c>
      <c r="AS464" s="132">
        <f xml:space="preserve"> 'T&amp;E'!AS$28</f>
        <v>504.74502437629349</v>
      </c>
      <c r="AT464" s="132">
        <f xml:space="preserve"> 'T&amp;E'!AT$28</f>
        <v>514.83992486381942</v>
      </c>
      <c r="AU464" s="132">
        <f xml:space="preserve"> 'T&amp;E'!AU$28</f>
        <v>525.13672336109585</v>
      </c>
      <c r="AV464" s="132">
        <f xml:space="preserve"> 'T&amp;E'!AV$28</f>
        <v>535.63945782831775</v>
      </c>
    </row>
    <row r="465" spans="1:48" s="320" customFormat="1" ht="15" customHeight="1">
      <c r="A465" s="351"/>
      <c r="B465" s="134"/>
      <c r="C465" s="322"/>
      <c r="D465" s="724"/>
    </row>
    <row r="466" spans="1:48" s="320" customFormat="1" ht="15" customHeight="1">
      <c r="A466" s="351"/>
      <c r="B466" s="134"/>
      <c r="C466" s="322"/>
      <c r="D466" s="724"/>
      <c r="E466" s="132" t="str">
        <f xml:space="preserve"> InputsCon!E$116</f>
        <v>EPT: Apply inflation to FS prices and Operating Surplus</v>
      </c>
      <c r="F466" s="725" t="str">
        <f xml:space="preserve"> InputsCon!F$116</f>
        <v>no</v>
      </c>
      <c r="G466" s="132" t="str">
        <f xml:space="preserve"> InputsCon!G$116</f>
        <v>selected</v>
      </c>
    </row>
    <row r="467" spans="1:48" s="320" customFormat="1" ht="15" customHeight="1">
      <c r="A467" s="351"/>
      <c r="B467" s="134"/>
      <c r="C467" s="322"/>
      <c r="D467" s="724"/>
      <c r="F467" s="326" t="str">
        <f xml:space="preserve"> InputsCon!F56</f>
        <v>yes</v>
      </c>
      <c r="G467" s="320" t="s">
        <v>60</v>
      </c>
    </row>
    <row r="468" spans="1:48" s="320" customFormat="1" ht="15" customHeight="1">
      <c r="A468" s="351"/>
      <c r="B468" s="134"/>
      <c r="C468" s="322"/>
      <c r="D468" s="724"/>
      <c r="F468" s="326" t="str">
        <f xml:space="preserve"> InputsCon!F57</f>
        <v>no</v>
      </c>
      <c r="G468" s="320" t="s">
        <v>60</v>
      </c>
    </row>
    <row r="469" spans="1:48" s="320" customFormat="1" ht="15" customHeight="1">
      <c r="A469" s="351"/>
      <c r="B469" s="134"/>
      <c r="C469" s="322"/>
      <c r="D469" s="724"/>
      <c r="E469" s="108" t="str">
        <f xml:space="preserve"> InputsCon!E$117</f>
        <v>FS base year</v>
      </c>
      <c r="F469" s="108">
        <f xml:space="preserve"> InputsCon!F$117</f>
        <v>2019</v>
      </c>
      <c r="G469" s="108" t="str">
        <f xml:space="preserve"> InputsCon!G$117</f>
        <v>year</v>
      </c>
    </row>
    <row r="470" spans="1:48" s="320" customFormat="1" ht="15" customHeight="1">
      <c r="A470" s="351"/>
      <c r="B470" s="134"/>
      <c r="C470" s="322"/>
      <c r="D470" s="724"/>
      <c r="F470" s="320" cm="1">
        <f t="array" ref="F470" xml:space="preserve"> INDEX(L464:AV464,, MATCH(F469, L463:AV463, 0))</f>
        <v>255.65299999999999</v>
      </c>
      <c r="G470" s="320" t="s">
        <v>596</v>
      </c>
    </row>
    <row r="471" spans="1:48" s="320" customFormat="1" ht="15" customHeight="1">
      <c r="A471" s="351"/>
      <c r="B471" s="134"/>
      <c r="C471" s="322"/>
      <c r="D471" s="724"/>
    </row>
    <row r="472" spans="1:48" s="320" customFormat="1" ht="15" customHeight="1">
      <c r="A472" s="351"/>
      <c r="B472" s="134"/>
      <c r="C472" s="322" t="s">
        <v>970</v>
      </c>
      <c r="D472" s="724"/>
    </row>
    <row r="473" spans="1:48" s="150" customFormat="1" ht="15" customHeight="1">
      <c r="A473" s="189"/>
      <c r="B473" s="189"/>
      <c r="C473" s="151"/>
      <c r="D473" s="854"/>
      <c r="E473" s="150" t="str">
        <f xml:space="preserve"> E460 &amp; " (inflation adjustment = " &amp; F466 &amp; ")"</f>
        <v>Copper Price ($/TCu) (inflation adjustment = no)</v>
      </c>
      <c r="G473" s="150" t="s">
        <v>14</v>
      </c>
      <c r="K473" s="150">
        <f xml:space="preserve"> Kamoto_2019TR!K$13</f>
        <v>0</v>
      </c>
      <c r="L473" s="200">
        <f t="shared" ref="L473:AV473" si="208" xml:space="preserve"> L460 * IF($F466 = $F467, L464 / $F470, 1)</f>
        <v>0</v>
      </c>
      <c r="M473" s="200">
        <f t="shared" si="208"/>
        <v>0</v>
      </c>
      <c r="N473" s="200">
        <f t="shared" si="208"/>
        <v>0</v>
      </c>
      <c r="O473" s="200">
        <f t="shared" si="208"/>
        <v>0</v>
      </c>
      <c r="P473" s="200">
        <f t="shared" si="208"/>
        <v>0</v>
      </c>
      <c r="Q473" s="200">
        <f t="shared" si="208"/>
        <v>0</v>
      </c>
      <c r="R473" s="200">
        <f t="shared" si="208"/>
        <v>6169</v>
      </c>
      <c r="S473" s="200">
        <f t="shared" si="208"/>
        <v>9315</v>
      </c>
      <c r="T473" s="200">
        <f t="shared" si="208"/>
        <v>8803</v>
      </c>
      <c r="U473" s="200">
        <f t="shared" si="208"/>
        <v>11155</v>
      </c>
      <c r="V473" s="200">
        <f t="shared" si="208"/>
        <v>13228</v>
      </c>
      <c r="W473" s="200">
        <f t="shared" si="208"/>
        <v>14330</v>
      </c>
      <c r="X473" s="200">
        <f t="shared" si="208"/>
        <v>13228</v>
      </c>
      <c r="Y473" s="200">
        <f t="shared" si="208"/>
        <v>12125</v>
      </c>
      <c r="Z473" s="200">
        <f t="shared" si="208"/>
        <v>11023</v>
      </c>
      <c r="AA473" s="200">
        <f t="shared" si="208"/>
        <v>10472</v>
      </c>
      <c r="AB473" s="200">
        <f t="shared" si="208"/>
        <v>9921</v>
      </c>
      <c r="AC473" s="200">
        <f t="shared" si="208"/>
        <v>10119</v>
      </c>
      <c r="AD473" s="200">
        <f t="shared" si="208"/>
        <v>10322</v>
      </c>
      <c r="AE473" s="200">
        <f t="shared" si="208"/>
        <v>0</v>
      </c>
      <c r="AF473" s="200">
        <f t="shared" si="208"/>
        <v>0</v>
      </c>
      <c r="AG473" s="200">
        <f t="shared" si="208"/>
        <v>0</v>
      </c>
      <c r="AH473" s="200">
        <f t="shared" si="208"/>
        <v>0</v>
      </c>
      <c r="AI473" s="200">
        <f t="shared" si="208"/>
        <v>0</v>
      </c>
      <c r="AJ473" s="200">
        <f t="shared" si="208"/>
        <v>0</v>
      </c>
      <c r="AK473" s="200">
        <f t="shared" si="208"/>
        <v>0</v>
      </c>
      <c r="AL473" s="200">
        <f t="shared" si="208"/>
        <v>0</v>
      </c>
      <c r="AM473" s="200">
        <f t="shared" si="208"/>
        <v>0</v>
      </c>
      <c r="AN473" s="200">
        <f t="shared" si="208"/>
        <v>0</v>
      </c>
      <c r="AO473" s="200">
        <f t="shared" si="208"/>
        <v>0</v>
      </c>
      <c r="AP473" s="200">
        <f t="shared" si="208"/>
        <v>0</v>
      </c>
      <c r="AQ473" s="200">
        <f t="shared" si="208"/>
        <v>0</v>
      </c>
      <c r="AR473" s="200">
        <f t="shared" si="208"/>
        <v>0</v>
      </c>
      <c r="AS473" s="200">
        <f t="shared" si="208"/>
        <v>0</v>
      </c>
      <c r="AT473" s="200">
        <f t="shared" si="208"/>
        <v>0</v>
      </c>
      <c r="AU473" s="200">
        <f t="shared" si="208"/>
        <v>0</v>
      </c>
      <c r="AV473" s="200">
        <f t="shared" si="208"/>
        <v>0</v>
      </c>
    </row>
    <row r="474" spans="1:48" s="320" customFormat="1" ht="15" customHeight="1">
      <c r="A474" s="351"/>
      <c r="B474" s="134"/>
      <c r="C474" s="322"/>
      <c r="D474" s="724"/>
      <c r="E474" s="150" t="str">
        <f xml:space="preserve"> E461 &amp; " (inflation adjustment = " &amp; F466 &amp; ")"</f>
        <v>Cobalt Price ($/TCo) (inflation adjustment = no)</v>
      </c>
      <c r="F474" s="132"/>
      <c r="G474" s="150" t="s">
        <v>14</v>
      </c>
      <c r="H474" s="132"/>
      <c r="I474" s="132"/>
      <c r="J474" s="132"/>
      <c r="K474" s="132">
        <f xml:space="preserve"> Kamoto_2019TR!K$21</f>
        <v>0</v>
      </c>
      <c r="L474" s="150">
        <f t="shared" ref="L474:AV474" si="209" xml:space="preserve"> L461 * IF($F466 = $F467, L464 / $F470, 1)</f>
        <v>0</v>
      </c>
      <c r="M474" s="150">
        <f t="shared" si="209"/>
        <v>0</v>
      </c>
      <c r="N474" s="150">
        <f t="shared" si="209"/>
        <v>0</v>
      </c>
      <c r="O474" s="150">
        <f t="shared" si="209"/>
        <v>0</v>
      </c>
      <c r="P474" s="150">
        <f t="shared" si="209"/>
        <v>0</v>
      </c>
      <c r="Q474" s="150">
        <f t="shared" si="209"/>
        <v>0</v>
      </c>
      <c r="R474" s="150">
        <f t="shared" si="209"/>
        <v>33958</v>
      </c>
      <c r="S474" s="150">
        <f t="shared" si="209"/>
        <v>52698</v>
      </c>
      <c r="T474" s="150">
        <f t="shared" si="209"/>
        <v>67984</v>
      </c>
      <c r="U474" s="150">
        <f t="shared" si="209"/>
        <v>60627</v>
      </c>
      <c r="V474" s="150">
        <f t="shared" si="209"/>
        <v>82673</v>
      </c>
      <c r="W474" s="150">
        <f t="shared" si="209"/>
        <v>110231</v>
      </c>
      <c r="X474" s="150">
        <f t="shared" si="209"/>
        <v>121254</v>
      </c>
      <c r="Y474" s="150">
        <f t="shared" si="209"/>
        <v>77162</v>
      </c>
      <c r="Z474" s="150">
        <f t="shared" si="209"/>
        <v>78705</v>
      </c>
      <c r="AA474" s="150">
        <f t="shared" si="209"/>
        <v>80279</v>
      </c>
      <c r="AB474" s="150">
        <f t="shared" si="209"/>
        <v>81885</v>
      </c>
      <c r="AC474" s="150">
        <f t="shared" si="209"/>
        <v>83522</v>
      </c>
      <c r="AD474" s="150">
        <f t="shared" si="209"/>
        <v>85193</v>
      </c>
      <c r="AE474" s="150">
        <f t="shared" si="209"/>
        <v>0</v>
      </c>
      <c r="AF474" s="150">
        <f t="shared" si="209"/>
        <v>0</v>
      </c>
      <c r="AG474" s="150">
        <f t="shared" si="209"/>
        <v>0</v>
      </c>
      <c r="AH474" s="150">
        <f t="shared" si="209"/>
        <v>0</v>
      </c>
      <c r="AI474" s="150">
        <f t="shared" si="209"/>
        <v>0</v>
      </c>
      <c r="AJ474" s="150">
        <f t="shared" si="209"/>
        <v>0</v>
      </c>
      <c r="AK474" s="150">
        <f t="shared" si="209"/>
        <v>0</v>
      </c>
      <c r="AL474" s="150">
        <f t="shared" si="209"/>
        <v>0</v>
      </c>
      <c r="AM474" s="150">
        <f t="shared" si="209"/>
        <v>0</v>
      </c>
      <c r="AN474" s="150">
        <f t="shared" si="209"/>
        <v>0</v>
      </c>
      <c r="AO474" s="150">
        <f t="shared" si="209"/>
        <v>0</v>
      </c>
      <c r="AP474" s="150">
        <f t="shared" si="209"/>
        <v>0</v>
      </c>
      <c r="AQ474" s="150">
        <f t="shared" si="209"/>
        <v>0</v>
      </c>
      <c r="AR474" s="150">
        <f t="shared" si="209"/>
        <v>0</v>
      </c>
      <c r="AS474" s="150">
        <f t="shared" si="209"/>
        <v>0</v>
      </c>
      <c r="AT474" s="150">
        <f t="shared" si="209"/>
        <v>0</v>
      </c>
      <c r="AU474" s="150">
        <f t="shared" si="209"/>
        <v>0</v>
      </c>
      <c r="AV474" s="150">
        <f t="shared" si="209"/>
        <v>0</v>
      </c>
    </row>
    <row r="475" spans="1:48" s="320" customFormat="1" ht="15" customHeight="1">
      <c r="A475" s="351"/>
      <c r="B475" s="134"/>
      <c r="C475" s="322"/>
      <c r="D475" s="724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</row>
    <row r="476" spans="1:48" s="320" customFormat="1" ht="15" customHeight="1">
      <c r="A476" s="351"/>
      <c r="B476" s="134"/>
      <c r="C476" s="322" t="s">
        <v>930</v>
      </c>
      <c r="D476" s="724"/>
    </row>
    <row r="477" spans="1:48" s="132" customFormat="1" ht="15" customHeight="1">
      <c r="A477" s="133"/>
      <c r="B477" s="133"/>
      <c r="C477" s="217"/>
      <c r="D477" s="725"/>
      <c r="E477" s="132" t="str">
        <f xml:space="preserve"> Kamoto_2019TR!E$260</f>
        <v>2019 FS Gross operating surplus: Cu</v>
      </c>
      <c r="F477" s="132">
        <f xml:space="preserve"> Kamoto_2019TR!F$260</f>
        <v>0</v>
      </c>
      <c r="G477" s="132" t="str">
        <f xml:space="preserve"> Kamoto_2019TR!G$260</f>
        <v>$ mn</v>
      </c>
      <c r="H477" s="132">
        <f xml:space="preserve"> Kamoto_2019TR!H$260</f>
        <v>0</v>
      </c>
      <c r="I477" s="132">
        <f xml:space="preserve"> Kamoto_2019TR!I$260</f>
        <v>0</v>
      </c>
      <c r="J477" s="132">
        <f xml:space="preserve"> Kamoto_2019TR!J$260</f>
        <v>11397.289112193013</v>
      </c>
      <c r="K477" s="132">
        <f xml:space="preserve"> Kamoto_2019TR!K$260</f>
        <v>0</v>
      </c>
      <c r="L477" s="132">
        <f xml:space="preserve"> Kamoto_2019TR!L$260</f>
        <v>0</v>
      </c>
      <c r="M477" s="132">
        <f xml:space="preserve"> Kamoto_2019TR!M$260</f>
        <v>0</v>
      </c>
      <c r="N477" s="132">
        <f xml:space="preserve"> Kamoto_2019TR!N$260</f>
        <v>-16.373642470251838</v>
      </c>
      <c r="O477" s="132">
        <f xml:space="preserve"> Kamoto_2019TR!O$260</f>
        <v>166.8570379829581</v>
      </c>
      <c r="P477" s="132">
        <f xml:space="preserve"> Kamoto_2019TR!P$260</f>
        <v>312.74464513767526</v>
      </c>
      <c r="Q477" s="132">
        <f xml:space="preserve"> Kamoto_2019TR!Q$260</f>
        <v>410.52293279181049</v>
      </c>
      <c r="R477" s="132">
        <f xml:space="preserve"> Kamoto_2019TR!R$260</f>
        <v>389.91717058203847</v>
      </c>
      <c r="S477" s="132">
        <f xml:space="preserve"> Kamoto_2019TR!S$260</f>
        <v>507.99077133512918</v>
      </c>
      <c r="T477" s="132">
        <f xml:space="preserve"> Kamoto_2019TR!T$260</f>
        <v>839.03152042819795</v>
      </c>
      <c r="U477" s="132">
        <f xml:space="preserve"> Kamoto_2019TR!U$260</f>
        <v>443.16960267580907</v>
      </c>
      <c r="V477" s="132">
        <f xml:space="preserve"> Kamoto_2019TR!V$260</f>
        <v>0</v>
      </c>
      <c r="W477" s="132">
        <f xml:space="preserve"> Kamoto_2019TR!W$260</f>
        <v>10.517934052872473</v>
      </c>
      <c r="X477" s="132">
        <f xml:space="preserve"> Kamoto_2019TR!X$260</f>
        <v>789.16745111716568</v>
      </c>
      <c r="Y477" s="132">
        <f xml:space="preserve"> Kamoto_2019TR!Y$260</f>
        <v>260.73273411171516</v>
      </c>
      <c r="Z477" s="132">
        <f xml:space="preserve"> Kamoto_2019TR!Z$260</f>
        <v>687.9049615188668</v>
      </c>
      <c r="AA477" s="132">
        <f xml:space="preserve"> Kamoto_2019TR!AA$260</f>
        <v>910.6056424057283</v>
      </c>
      <c r="AB477" s="132">
        <f xml:space="preserve"> Kamoto_2019TR!AB$260</f>
        <v>919.8424690443411</v>
      </c>
      <c r="AC477" s="132">
        <f xml:space="preserve"> Kamoto_2019TR!AC$260</f>
        <v>931.08209126635495</v>
      </c>
      <c r="AD477" s="132">
        <f xml:space="preserve"> Kamoto_2019TR!AD$260</f>
        <v>965.18737664330149</v>
      </c>
      <c r="AE477" s="132">
        <f xml:space="preserve"> Kamoto_2019TR!AE$260</f>
        <v>944.77850850948789</v>
      </c>
      <c r="AF477" s="132">
        <f xml:space="preserve"> Kamoto_2019TR!AF$260</f>
        <v>912.85750027463439</v>
      </c>
      <c r="AG477" s="132">
        <f xml:space="preserve"> Kamoto_2019TR!AG$260</f>
        <v>898.76086433166938</v>
      </c>
      <c r="AH477" s="132">
        <f xml:space="preserve"> Kamoto_2019TR!AH$260</f>
        <v>854.95042386957766</v>
      </c>
      <c r="AI477" s="132">
        <f xml:space="preserve"> Kamoto_2019TR!AI$260</f>
        <v>259.83040217565139</v>
      </c>
      <c r="AJ477" s="132">
        <f xml:space="preserve"> Kamoto_2019TR!AJ$260</f>
        <v>-96.980915204490955</v>
      </c>
      <c r="AK477" s="132">
        <f xml:space="preserve"> Kamoto_2019TR!AK$260</f>
        <v>-38.010961679576148</v>
      </c>
      <c r="AL477" s="132">
        <f xml:space="preserve"> Kamoto_2019TR!AL$260</f>
        <v>-43.155005530166243</v>
      </c>
      <c r="AM477" s="132">
        <f xml:space="preserve"> Kamoto_2019TR!AM$260</f>
        <v>-273.68142286841152</v>
      </c>
      <c r="AN477" s="132">
        <f xml:space="preserve"> Kamoto_2019TR!AN$260</f>
        <v>-550.96098030907581</v>
      </c>
      <c r="AO477" s="132">
        <f xml:space="preserve"> Kamoto_2019TR!AO$260</f>
        <v>0</v>
      </c>
      <c r="AP477" s="132">
        <f xml:space="preserve"> Kamoto_2019TR!AP$260</f>
        <v>0</v>
      </c>
      <c r="AQ477" s="132">
        <f xml:space="preserve"> Kamoto_2019TR!AQ$260</f>
        <v>0</v>
      </c>
      <c r="AR477" s="132">
        <f xml:space="preserve"> Kamoto_2019TR!AR$260</f>
        <v>0</v>
      </c>
      <c r="AS477" s="132">
        <f xml:space="preserve"> Kamoto_2019TR!AS$260</f>
        <v>0</v>
      </c>
      <c r="AT477" s="132">
        <f xml:space="preserve"> Kamoto_2019TR!AT$260</f>
        <v>0</v>
      </c>
      <c r="AU477" s="132">
        <f xml:space="preserve"> Kamoto_2019TR!AU$260</f>
        <v>0</v>
      </c>
      <c r="AV477" s="132">
        <f xml:space="preserve"> Kamoto_2019TR!AV$260</f>
        <v>0</v>
      </c>
    </row>
    <row r="478" spans="1:48" s="132" customFormat="1" ht="15" customHeight="1">
      <c r="A478" s="133"/>
      <c r="B478" s="133"/>
      <c r="C478" s="217"/>
      <c r="D478" s="725"/>
      <c r="E478" s="132" t="str">
        <f xml:space="preserve"> Kamoto_2019TR!E$261</f>
        <v>2019 FS Gross operating surplus: Co</v>
      </c>
      <c r="F478" s="132">
        <f xml:space="preserve"> Kamoto_2019TR!F$261</f>
        <v>0</v>
      </c>
      <c r="G478" s="132" t="str">
        <f xml:space="preserve"> Kamoto_2019TR!G$261</f>
        <v>$ mn</v>
      </c>
      <c r="H478" s="132">
        <f xml:space="preserve"> Kamoto_2019TR!H$261</f>
        <v>0</v>
      </c>
      <c r="I478" s="132">
        <f xml:space="preserve"> Kamoto_2019TR!I$261</f>
        <v>0</v>
      </c>
      <c r="J478" s="132">
        <f xml:space="preserve"> Kamoto_2019TR!J$261</f>
        <v>8034.027735573125</v>
      </c>
      <c r="K478" s="132">
        <f xml:space="preserve"> Kamoto_2019TR!K$261</f>
        <v>0</v>
      </c>
      <c r="L478" s="132">
        <f xml:space="preserve"> Kamoto_2019TR!L$261</f>
        <v>0</v>
      </c>
      <c r="M478" s="132">
        <f xml:space="preserve"> Kamoto_2019TR!M$261</f>
        <v>0</v>
      </c>
      <c r="N478" s="132">
        <f xml:space="preserve"> Kamoto_2019TR!N$261</f>
        <v>-0.55516418863873762</v>
      </c>
      <c r="O478" s="132">
        <f xml:space="preserve"> Kamoto_2019TR!O$261</f>
        <v>61.607359124492</v>
      </c>
      <c r="P478" s="132">
        <f xml:space="preserve"> Kamoto_2019TR!P$261</f>
        <v>90.7185976554006</v>
      </c>
      <c r="Q478" s="132">
        <f xml:space="preserve"> Kamoto_2019TR!Q$261</f>
        <v>46.012196686809148</v>
      </c>
      <c r="R478" s="132">
        <f xml:space="preserve"> Kamoto_2019TR!R$261</f>
        <v>38.62355170232653</v>
      </c>
      <c r="S478" s="132">
        <f xml:space="preserve"> Kamoto_2019TR!S$261</f>
        <v>39.058738839366669</v>
      </c>
      <c r="T478" s="132">
        <f xml:space="preserve"> Kamoto_2019TR!T$261</f>
        <v>54.210254689538857</v>
      </c>
      <c r="U478" s="132">
        <f xml:space="preserve"> Kamoto_2019TR!U$261</f>
        <v>53.44246255833189</v>
      </c>
      <c r="V478" s="132">
        <f xml:space="preserve"> Kamoto_2019TR!V$261</f>
        <v>0</v>
      </c>
      <c r="W478" s="132">
        <f xml:space="preserve"> Kamoto_2019TR!W$261</f>
        <v>0</v>
      </c>
      <c r="X478" s="132">
        <f xml:space="preserve"> Kamoto_2019TR!X$261</f>
        <v>438.45091846700598</v>
      </c>
      <c r="Y478" s="132">
        <f xml:space="preserve"> Kamoto_2019TR!Y$261</f>
        <v>111.94503499896798</v>
      </c>
      <c r="Z478" s="132">
        <f xml:space="preserve"> Kamoto_2019TR!Z$261</f>
        <v>436.488810668849</v>
      </c>
      <c r="AA478" s="132">
        <f xml:space="preserve"> Kamoto_2019TR!AA$261</f>
        <v>906.49738252952523</v>
      </c>
      <c r="AB478" s="132">
        <f xml:space="preserve"> Kamoto_2019TR!AB$261</f>
        <v>947.36915313371958</v>
      </c>
      <c r="AC478" s="132">
        <f xml:space="preserve"> Kamoto_2019TR!AC$261</f>
        <v>992.89629888289983</v>
      </c>
      <c r="AD478" s="132">
        <f xml:space="preserve"> Kamoto_2019TR!AD$261</f>
        <v>1103.521731419811</v>
      </c>
      <c r="AE478" s="132">
        <f xml:space="preserve"> Kamoto_2019TR!AE$261</f>
        <v>1007.3983116503216</v>
      </c>
      <c r="AF478" s="132">
        <f xml:space="preserve"> Kamoto_2019TR!AF$261</f>
        <v>870.94099710172577</v>
      </c>
      <c r="AG478" s="132">
        <f xml:space="preserve"> Kamoto_2019TR!AG$261</f>
        <v>823.80653157856136</v>
      </c>
      <c r="AH478" s="132">
        <f xml:space="preserve"> Kamoto_2019TR!AH$261</f>
        <v>646.56458280179561</v>
      </c>
      <c r="AI478" s="132">
        <f xml:space="preserve"> Kamoto_2019TR!AI$261</f>
        <v>209.24707485098591</v>
      </c>
      <c r="AJ478" s="132">
        <f xml:space="preserve"> Kamoto_2019TR!AJ$261</f>
        <v>-96.535149590620847</v>
      </c>
      <c r="AK478" s="132">
        <f xml:space="preserve"> Kamoto_2019TR!AK$261</f>
        <v>-44.507586063745812</v>
      </c>
      <c r="AL478" s="132">
        <f xml:space="preserve"> Kamoto_2019TR!AL$261</f>
        <v>-46.640693964001798</v>
      </c>
      <c r="AM478" s="132">
        <f xml:space="preserve"> Kamoto_2019TR!AM$261</f>
        <v>-236.90864503780912</v>
      </c>
      <c r="AN478" s="132">
        <f xml:space="preserve"> Kamoto_2019TR!AN$261</f>
        <v>-419.62501492249208</v>
      </c>
      <c r="AO478" s="132">
        <f xml:space="preserve"> Kamoto_2019TR!AO$261</f>
        <v>0</v>
      </c>
      <c r="AP478" s="132">
        <f xml:space="preserve"> Kamoto_2019TR!AP$261</f>
        <v>0</v>
      </c>
      <c r="AQ478" s="132">
        <f xml:space="preserve"> Kamoto_2019TR!AQ$261</f>
        <v>0</v>
      </c>
      <c r="AR478" s="132">
        <f xml:space="preserve"> Kamoto_2019TR!AR$261</f>
        <v>0</v>
      </c>
      <c r="AS478" s="132">
        <f xml:space="preserve"> Kamoto_2019TR!AS$261</f>
        <v>0</v>
      </c>
      <c r="AT478" s="132">
        <f xml:space="preserve"> Kamoto_2019TR!AT$261</f>
        <v>0</v>
      </c>
      <c r="AU478" s="132">
        <f xml:space="preserve"> Kamoto_2019TR!AU$261</f>
        <v>0</v>
      </c>
      <c r="AV478" s="132">
        <f xml:space="preserve"> Kamoto_2019TR!AV$261</f>
        <v>0</v>
      </c>
    </row>
    <row r="479" spans="1:48" s="320" customFormat="1" ht="15" customHeight="1">
      <c r="A479" s="351"/>
      <c r="B479" s="134"/>
      <c r="C479" s="322"/>
      <c r="D479" s="724"/>
    </row>
    <row r="480" spans="1:48" s="320" customFormat="1" ht="15" customHeight="1">
      <c r="A480" s="351"/>
      <c r="B480" s="134"/>
      <c r="C480" s="322" t="s">
        <v>970</v>
      </c>
      <c r="D480" s="724"/>
    </row>
    <row r="481" spans="1:48" s="150" customFormat="1" ht="15" customHeight="1">
      <c r="A481" s="189"/>
      <c r="B481" s="189"/>
      <c r="C481" s="151"/>
      <c r="D481" s="854"/>
      <c r="E481" s="150" t="str">
        <f xml:space="preserve"> E477 &amp; " (inflation adjustment = " &amp; F466 &amp; ")"</f>
        <v>2019 FS Gross operating surplus: Cu (inflation adjustment = no)</v>
      </c>
      <c r="G481" s="150" t="str">
        <f xml:space="preserve"> Kamoto_2019TR!G260</f>
        <v>$ mn</v>
      </c>
      <c r="K481" s="150">
        <f xml:space="preserve"> Kamoto_2019TR!K260</f>
        <v>0</v>
      </c>
      <c r="L481" s="150">
        <f t="shared" ref="L481:AV481" si="210" xml:space="preserve"> L477 * IF($F466 = $F467, L464 / $F470, 1)</f>
        <v>0</v>
      </c>
      <c r="M481" s="150">
        <f t="shared" si="210"/>
        <v>0</v>
      </c>
      <c r="N481" s="150">
        <f t="shared" si="210"/>
        <v>-16.373642470251838</v>
      </c>
      <c r="O481" s="150">
        <f t="shared" si="210"/>
        <v>166.8570379829581</v>
      </c>
      <c r="P481" s="150">
        <f t="shared" si="210"/>
        <v>312.74464513767526</v>
      </c>
      <c r="Q481" s="150">
        <f t="shared" si="210"/>
        <v>410.52293279181049</v>
      </c>
      <c r="R481" s="150">
        <f t="shared" si="210"/>
        <v>389.91717058203847</v>
      </c>
      <c r="S481" s="150">
        <f t="shared" si="210"/>
        <v>507.99077133512918</v>
      </c>
      <c r="T481" s="150">
        <f t="shared" si="210"/>
        <v>839.03152042819795</v>
      </c>
      <c r="U481" s="150">
        <f t="shared" si="210"/>
        <v>443.16960267580907</v>
      </c>
      <c r="V481" s="150">
        <f t="shared" si="210"/>
        <v>0</v>
      </c>
      <c r="W481" s="150">
        <f t="shared" si="210"/>
        <v>10.517934052872473</v>
      </c>
      <c r="X481" s="150">
        <f t="shared" si="210"/>
        <v>789.16745111716568</v>
      </c>
      <c r="Y481" s="150">
        <f t="shared" si="210"/>
        <v>260.73273411171516</v>
      </c>
      <c r="Z481" s="150">
        <f t="shared" si="210"/>
        <v>687.9049615188668</v>
      </c>
      <c r="AA481" s="150">
        <f t="shared" si="210"/>
        <v>910.6056424057283</v>
      </c>
      <c r="AB481" s="150">
        <f t="shared" si="210"/>
        <v>919.8424690443411</v>
      </c>
      <c r="AC481" s="150">
        <f t="shared" si="210"/>
        <v>931.08209126635495</v>
      </c>
      <c r="AD481" s="150">
        <f t="shared" si="210"/>
        <v>965.18737664330149</v>
      </c>
      <c r="AE481" s="150">
        <f t="shared" si="210"/>
        <v>944.77850850948789</v>
      </c>
      <c r="AF481" s="150">
        <f t="shared" si="210"/>
        <v>912.85750027463439</v>
      </c>
      <c r="AG481" s="150">
        <f t="shared" si="210"/>
        <v>898.76086433166938</v>
      </c>
      <c r="AH481" s="150">
        <f t="shared" si="210"/>
        <v>854.95042386957766</v>
      </c>
      <c r="AI481" s="150">
        <f t="shared" si="210"/>
        <v>259.83040217565139</v>
      </c>
      <c r="AJ481" s="150">
        <f t="shared" si="210"/>
        <v>-96.980915204490955</v>
      </c>
      <c r="AK481" s="150">
        <f t="shared" si="210"/>
        <v>-38.010961679576148</v>
      </c>
      <c r="AL481" s="150">
        <f t="shared" si="210"/>
        <v>-43.155005530166243</v>
      </c>
      <c r="AM481" s="150">
        <f t="shared" si="210"/>
        <v>-273.68142286841152</v>
      </c>
      <c r="AN481" s="150">
        <f t="shared" si="210"/>
        <v>-550.96098030907581</v>
      </c>
      <c r="AO481" s="150">
        <f t="shared" si="210"/>
        <v>0</v>
      </c>
      <c r="AP481" s="150">
        <f t="shared" si="210"/>
        <v>0</v>
      </c>
      <c r="AQ481" s="150">
        <f t="shared" si="210"/>
        <v>0</v>
      </c>
      <c r="AR481" s="150">
        <f t="shared" si="210"/>
        <v>0</v>
      </c>
      <c r="AS481" s="150">
        <f t="shared" si="210"/>
        <v>0</v>
      </c>
      <c r="AT481" s="150">
        <f t="shared" si="210"/>
        <v>0</v>
      </c>
      <c r="AU481" s="150">
        <f t="shared" si="210"/>
        <v>0</v>
      </c>
      <c r="AV481" s="150">
        <f t="shared" si="210"/>
        <v>0</v>
      </c>
    </row>
    <row r="482" spans="1:48" s="150" customFormat="1" ht="15" customHeight="1">
      <c r="A482" s="189"/>
      <c r="B482" s="189"/>
      <c r="C482" s="151"/>
      <c r="D482" s="854"/>
      <c r="E482" s="150" t="str">
        <f xml:space="preserve"> Kamoto_2019TR!E261</f>
        <v>2019 FS Gross operating surplus: Co</v>
      </c>
      <c r="F482" s="150">
        <f xml:space="preserve"> Kamoto_2019TR!F261</f>
        <v>0</v>
      </c>
      <c r="G482" s="150" t="str">
        <f xml:space="preserve"> Kamoto_2019TR!G261</f>
        <v>$ mn</v>
      </c>
      <c r="K482" s="150">
        <f xml:space="preserve"> Kamoto_2019TR!K261</f>
        <v>0</v>
      </c>
      <c r="L482" s="150">
        <f t="shared" ref="L482:AV482" si="211" xml:space="preserve"> L478 * IF($F466 = $F467, L464 / $F470, 1)</f>
        <v>0</v>
      </c>
      <c r="M482" s="150">
        <f t="shared" si="211"/>
        <v>0</v>
      </c>
      <c r="N482" s="150">
        <f t="shared" si="211"/>
        <v>-0.55516418863873762</v>
      </c>
      <c r="O482" s="150">
        <f t="shared" si="211"/>
        <v>61.607359124492</v>
      </c>
      <c r="P482" s="150">
        <f t="shared" si="211"/>
        <v>90.7185976554006</v>
      </c>
      <c r="Q482" s="150">
        <f t="shared" si="211"/>
        <v>46.012196686809148</v>
      </c>
      <c r="R482" s="150">
        <f t="shared" si="211"/>
        <v>38.62355170232653</v>
      </c>
      <c r="S482" s="150">
        <f t="shared" si="211"/>
        <v>39.058738839366669</v>
      </c>
      <c r="T482" s="150">
        <f t="shared" si="211"/>
        <v>54.210254689538857</v>
      </c>
      <c r="U482" s="150">
        <f t="shared" si="211"/>
        <v>53.44246255833189</v>
      </c>
      <c r="V482" s="150">
        <f t="shared" si="211"/>
        <v>0</v>
      </c>
      <c r="W482" s="150">
        <f t="shared" si="211"/>
        <v>0</v>
      </c>
      <c r="X482" s="150">
        <f t="shared" si="211"/>
        <v>438.45091846700598</v>
      </c>
      <c r="Y482" s="150">
        <f t="shared" si="211"/>
        <v>111.94503499896798</v>
      </c>
      <c r="Z482" s="150">
        <f t="shared" si="211"/>
        <v>436.488810668849</v>
      </c>
      <c r="AA482" s="150">
        <f t="shared" si="211"/>
        <v>906.49738252952523</v>
      </c>
      <c r="AB482" s="150">
        <f t="shared" si="211"/>
        <v>947.36915313371958</v>
      </c>
      <c r="AC482" s="150">
        <f t="shared" si="211"/>
        <v>992.89629888289983</v>
      </c>
      <c r="AD482" s="150">
        <f t="shared" si="211"/>
        <v>1103.521731419811</v>
      </c>
      <c r="AE482" s="150">
        <f t="shared" si="211"/>
        <v>1007.3983116503216</v>
      </c>
      <c r="AF482" s="150">
        <f t="shared" si="211"/>
        <v>870.94099710172577</v>
      </c>
      <c r="AG482" s="150">
        <f t="shared" si="211"/>
        <v>823.80653157856136</v>
      </c>
      <c r="AH482" s="150">
        <f t="shared" si="211"/>
        <v>646.56458280179561</v>
      </c>
      <c r="AI482" s="150">
        <f t="shared" si="211"/>
        <v>209.24707485098591</v>
      </c>
      <c r="AJ482" s="150">
        <f t="shared" si="211"/>
        <v>-96.535149590620847</v>
      </c>
      <c r="AK482" s="150">
        <f t="shared" si="211"/>
        <v>-44.507586063745812</v>
      </c>
      <c r="AL482" s="150">
        <f t="shared" si="211"/>
        <v>-46.640693964001798</v>
      </c>
      <c r="AM482" s="150">
        <f t="shared" si="211"/>
        <v>-236.90864503780912</v>
      </c>
      <c r="AN482" s="150">
        <f t="shared" si="211"/>
        <v>-419.62501492249208</v>
      </c>
      <c r="AO482" s="150">
        <f t="shared" si="211"/>
        <v>0</v>
      </c>
      <c r="AP482" s="150">
        <f t="shared" si="211"/>
        <v>0</v>
      </c>
      <c r="AQ482" s="150">
        <f t="shared" si="211"/>
        <v>0</v>
      </c>
      <c r="AR482" s="150">
        <f t="shared" si="211"/>
        <v>0</v>
      </c>
      <c r="AS482" s="150">
        <f t="shared" si="211"/>
        <v>0</v>
      </c>
      <c r="AT482" s="150">
        <f t="shared" si="211"/>
        <v>0</v>
      </c>
      <c r="AU482" s="150">
        <f t="shared" si="211"/>
        <v>0</v>
      </c>
      <c r="AV482" s="150">
        <f t="shared" si="211"/>
        <v>0</v>
      </c>
    </row>
    <row r="483" spans="1:48" s="320" customFormat="1" ht="15" customHeight="1">
      <c r="A483" s="351"/>
      <c r="B483" s="134"/>
      <c r="C483" s="322"/>
      <c r="D483" s="724"/>
    </row>
    <row r="484" spans="1:48" s="136" customFormat="1" ht="15" customHeight="1">
      <c r="A484" s="574"/>
      <c r="B484" s="574" t="s">
        <v>929</v>
      </c>
      <c r="C484" s="575"/>
      <c r="D484" s="576"/>
    </row>
    <row r="485" spans="1:48" s="320" customFormat="1" ht="15" customHeight="1">
      <c r="A485" s="351"/>
      <c r="B485" s="134"/>
      <c r="C485" s="322" t="s">
        <v>923</v>
      </c>
      <c r="D485" s="724"/>
    </row>
    <row r="486" spans="1:48" s="267" customFormat="1" ht="15" customHeight="1">
      <c r="B486" s="359"/>
      <c r="C486" s="360"/>
      <c r="D486" s="525"/>
      <c r="E486" s="76" t="str">
        <f xml:space="preserve"> InputsTS!E$231</f>
        <v>Cu forecast: IMF_WEO</v>
      </c>
      <c r="F486" s="300" t="str">
        <f xml:space="preserve"> InputsTS!F$231</f>
        <v>IMF_WEO</v>
      </c>
      <c r="G486" s="76" t="str">
        <f xml:space="preserve"> InputsTS!G$231</f>
        <v>$ / tonne</v>
      </c>
      <c r="H486" s="76">
        <f xml:space="preserve"> InputsTS!H$231</f>
        <v>0</v>
      </c>
      <c r="I486" s="76">
        <f xml:space="preserve"> InputsTS!I$231</f>
        <v>0</v>
      </c>
      <c r="J486" s="76">
        <f xml:space="preserve"> InputsTS!J$231</f>
        <v>0</v>
      </c>
      <c r="K486" s="76">
        <f xml:space="preserve"> InputsTS!K$231</f>
        <v>0</v>
      </c>
      <c r="L486" s="76">
        <f xml:space="preserve"> InputsTS!L$231</f>
        <v>6863.3969999999999</v>
      </c>
      <c r="M486" s="76">
        <f xml:space="preserve"> InputsTS!M$231</f>
        <v>5510.4570000000003</v>
      </c>
      <c r="N486" s="76">
        <f xml:space="preserve"> InputsTS!N$231</f>
        <v>4867.8969999999999</v>
      </c>
      <c r="O486" s="76">
        <f xml:space="preserve"> InputsTS!O$231</f>
        <v>6169.94</v>
      </c>
      <c r="P486" s="76">
        <f xml:space="preserve"> InputsTS!P$231</f>
        <v>6529.7979999999998</v>
      </c>
      <c r="Q486" s="76">
        <f xml:space="preserve"> InputsTS!Q$231</f>
        <v>6010.1450000000004</v>
      </c>
      <c r="R486" s="76">
        <f xml:space="preserve"> InputsTS!R$231</f>
        <v>6174.558</v>
      </c>
      <c r="S486" s="76">
        <f xml:space="preserve"> InputsTS!S$231</f>
        <v>9317.4089999999997</v>
      </c>
      <c r="T486" s="76">
        <f xml:space="preserve"> InputsTS!T$231</f>
        <v>8828.9169999999995</v>
      </c>
      <c r="U486" s="76">
        <f xml:space="preserve"> InputsTS!U$231</f>
        <v>8490.7620000000006</v>
      </c>
      <c r="V486" s="76">
        <f xml:space="preserve"> InputsTS!V$231</f>
        <v>8550.723</v>
      </c>
      <c r="W486" s="76">
        <f xml:space="preserve"> InputsTS!W$231</f>
        <v>8661.2289999999994</v>
      </c>
      <c r="X486" s="76">
        <f xml:space="preserve"> InputsTS!X$231</f>
        <v>8676.2919999999995</v>
      </c>
      <c r="Y486" s="76">
        <f xml:space="preserve"> InputsTS!Y$231</f>
        <v>8667.75</v>
      </c>
      <c r="Z486" s="76">
        <f xml:space="preserve"> InputsTS!Z$231</f>
        <v>8655.625</v>
      </c>
      <c r="AA486" s="76">
        <f xml:space="preserve"> InputsTS!AA$231</f>
        <v>8668.5</v>
      </c>
      <c r="AB486" s="76">
        <f xml:space="preserve"> InputsTS!AB$231</f>
        <v>8857.0316499289966</v>
      </c>
      <c r="AC486" s="76">
        <f xml:space="preserve"> InputsTS!AC$231</f>
        <v>9034.1722829275768</v>
      </c>
      <c r="AD486" s="76">
        <f xml:space="preserve"> InputsTS!AD$231</f>
        <v>9214.855728586128</v>
      </c>
      <c r="AE486" s="76">
        <f xml:space="preserve"> InputsTS!AE$231</f>
        <v>9399.1528431578517</v>
      </c>
      <c r="AF486" s="76">
        <f xml:space="preserve"> InputsTS!AF$231</f>
        <v>9587.1359000210068</v>
      </c>
      <c r="AG486" s="76">
        <f xml:space="preserve"> InputsTS!AG$231</f>
        <v>9778.8786180214283</v>
      </c>
      <c r="AH486" s="76">
        <f xml:space="preserve"> InputsTS!AH$231</f>
        <v>9974.4561903818576</v>
      </c>
      <c r="AI486" s="76">
        <f xml:space="preserve"> InputsTS!AI$231</f>
        <v>10173.945314189496</v>
      </c>
      <c r="AJ486" s="76">
        <f xml:space="preserve"> InputsTS!AJ$231</f>
        <v>10377.424220473287</v>
      </c>
      <c r="AK486" s="76">
        <f xml:space="preserve"> InputsTS!AK$231</f>
        <v>10584.972704882754</v>
      </c>
      <c r="AL486" s="76">
        <f xml:space="preserve"> InputsTS!AL$231</f>
        <v>10796.672158980407</v>
      </c>
      <c r="AM486" s="76">
        <f xml:space="preserve"> InputsTS!AM$231</f>
        <v>11012.605602160016</v>
      </c>
      <c r="AN486" s="76">
        <f xml:space="preserve"> InputsTS!AN$231</f>
        <v>11232.857714203217</v>
      </c>
      <c r="AO486" s="76">
        <f xml:space="preserve"> InputsTS!AO$231</f>
        <v>11457.514868487282</v>
      </c>
      <c r="AP486" s="76">
        <f xml:space="preserve"> InputsTS!AP$231</f>
        <v>11686.665165857026</v>
      </c>
      <c r="AQ486" s="76">
        <f xml:space="preserve"> InputsTS!AQ$231</f>
        <v>11920.398469174168</v>
      </c>
      <c r="AR486" s="76">
        <f xml:space="preserve"> InputsTS!AR$231</f>
        <v>12158.806438557651</v>
      </c>
      <c r="AS486" s="76">
        <f xml:space="preserve"> InputsTS!AS$231</f>
        <v>12401.982567328805</v>
      </c>
      <c r="AT486" s="76">
        <f xml:space="preserve"> InputsTS!AT$231</f>
        <v>12650.022218675384</v>
      </c>
      <c r="AU486" s="76">
        <f xml:space="preserve"> InputsTS!AU$231</f>
        <v>12903.022663048891</v>
      </c>
      <c r="AV486" s="76">
        <f xml:space="preserve"> InputsTS!AV$231</f>
        <v>13161.083116309868</v>
      </c>
    </row>
    <row r="487" spans="1:48" s="320" customFormat="1" ht="15" customHeight="1">
      <c r="A487" s="351"/>
      <c r="B487" s="134"/>
      <c r="C487" s="322"/>
      <c r="D487" s="724"/>
      <c r="E487" s="320" t="str">
        <f t="shared" ref="E487:AV487" si="212" xml:space="preserve"> E$103</f>
        <v>Cobalt LME actual &amp; forecast price: IMF_WEO</v>
      </c>
      <c r="F487" s="320">
        <f t="shared" si="212"/>
        <v>0</v>
      </c>
      <c r="G487" s="320" t="str">
        <f t="shared" si="212"/>
        <v>$ / tonne</v>
      </c>
      <c r="H487" s="320">
        <f t="shared" si="212"/>
        <v>0</v>
      </c>
      <c r="I487" s="320">
        <f t="shared" si="212"/>
        <v>0</v>
      </c>
      <c r="J487" s="320">
        <f t="shared" si="212"/>
        <v>0</v>
      </c>
      <c r="K487" s="320" t="e">
        <f t="shared" si="212"/>
        <v>#REF!</v>
      </c>
      <c r="L487" s="320">
        <f t="shared" si="212"/>
        <v>30780.7319565531</v>
      </c>
      <c r="M487" s="320">
        <f t="shared" si="212"/>
        <v>28451.660698559601</v>
      </c>
      <c r="N487" s="320">
        <f t="shared" si="212"/>
        <v>25463.3685425685</v>
      </c>
      <c r="O487" s="320">
        <f t="shared" si="212"/>
        <v>55832.1709807429</v>
      </c>
      <c r="P487" s="320">
        <f t="shared" si="212"/>
        <v>72911.236898013303</v>
      </c>
      <c r="Q487" s="320">
        <f t="shared" si="212"/>
        <v>33177.6323053909</v>
      </c>
      <c r="R487" s="320">
        <f t="shared" si="212"/>
        <v>31444.926902256499</v>
      </c>
      <c r="S487" s="320">
        <f t="shared" si="212"/>
        <v>51235.518379838803</v>
      </c>
      <c r="T487" s="320">
        <f t="shared" si="212"/>
        <v>63764.719304065497</v>
      </c>
      <c r="U487" s="320">
        <f t="shared" si="212"/>
        <v>34275.041504525099</v>
      </c>
      <c r="V487" s="320">
        <f t="shared" si="212"/>
        <v>26326.827560543301</v>
      </c>
      <c r="W487" s="320">
        <f t="shared" si="212"/>
        <v>40000</v>
      </c>
      <c r="X487" s="320">
        <f t="shared" si="212"/>
        <v>40000</v>
      </c>
      <c r="Y487" s="320">
        <f t="shared" si="212"/>
        <v>40000</v>
      </c>
      <c r="Z487" s="320">
        <f t="shared" si="212"/>
        <v>40000</v>
      </c>
      <c r="AA487" s="320">
        <f t="shared" si="212"/>
        <v>40000</v>
      </c>
      <c r="AB487" s="320">
        <f t="shared" si="212"/>
        <v>40869.962046162531</v>
      </c>
      <c r="AC487" s="320">
        <f t="shared" si="212"/>
        <v>41687.361287085783</v>
      </c>
      <c r="AD487" s="320">
        <f t="shared" si="212"/>
        <v>42521.108512827494</v>
      </c>
      <c r="AE487" s="320">
        <f t="shared" si="212"/>
        <v>43371.530683084049</v>
      </c>
      <c r="AF487" s="320">
        <f t="shared" si="212"/>
        <v>44238.961296745721</v>
      </c>
      <c r="AG487" s="320">
        <f t="shared" si="212"/>
        <v>45123.740522680637</v>
      </c>
      <c r="AH487" s="320">
        <f t="shared" si="212"/>
        <v>46026.215333134256</v>
      </c>
      <c r="AI487" s="320">
        <f t="shared" si="212"/>
        <v>46946.739639796942</v>
      </c>
      <c r="AJ487" s="320">
        <f t="shared" si="212"/>
        <v>47885.674432592888</v>
      </c>
      <c r="AK487" s="320">
        <f t="shared" si="212"/>
        <v>48843.38792124475</v>
      </c>
      <c r="AL487" s="320">
        <f t="shared" si="212"/>
        <v>49820.255679669637</v>
      </c>
      <c r="AM487" s="320">
        <f t="shared" si="212"/>
        <v>50816.660793263036</v>
      </c>
      <c r="AN487" s="320">
        <f t="shared" si="212"/>
        <v>51832.994009128306</v>
      </c>
      <c r="AO487" s="320">
        <f t="shared" si="212"/>
        <v>52869.653889310874</v>
      </c>
      <c r="AP487" s="320">
        <f t="shared" si="212"/>
        <v>53927.046967097092</v>
      </c>
      <c r="AQ487" s="320">
        <f t="shared" si="212"/>
        <v>55005.587906439039</v>
      </c>
      <c r="AR487" s="320">
        <f t="shared" si="212"/>
        <v>56105.699664567815</v>
      </c>
      <c r="AS487" s="320">
        <f t="shared" si="212"/>
        <v>57227.813657859173</v>
      </c>
      <c r="AT487" s="320">
        <f t="shared" si="212"/>
        <v>58372.369931016365</v>
      </c>
      <c r="AU487" s="320">
        <f t="shared" si="212"/>
        <v>59539.817329636688</v>
      </c>
      <c r="AV487" s="320">
        <f t="shared" si="212"/>
        <v>60730.613676229419</v>
      </c>
    </row>
    <row r="489" spans="1:48" ht="15" customHeight="1">
      <c r="C489" s="303" t="s">
        <v>922</v>
      </c>
    </row>
    <row r="490" spans="1:48" ht="15" customHeight="1">
      <c r="E490" s="320" t="str">
        <f t="shared" ref="E490:AV490" si="213" xml:space="preserve"> E$257</f>
        <v>Copper net revenue after royalty</v>
      </c>
      <c r="F490" s="320">
        <f t="shared" si="213"/>
        <v>0</v>
      </c>
      <c r="G490" s="320" t="str">
        <f t="shared" si="213"/>
        <v>$ mn</v>
      </c>
      <c r="H490" s="320">
        <f t="shared" si="213"/>
        <v>0</v>
      </c>
      <c r="I490" s="320">
        <f t="shared" si="213"/>
        <v>0</v>
      </c>
      <c r="J490" s="320">
        <f t="shared" si="213"/>
        <v>10313.576276602535</v>
      </c>
      <c r="K490" s="320">
        <f t="shared" si="213"/>
        <v>0</v>
      </c>
      <c r="L490" s="320">
        <f t="shared" si="213"/>
        <v>0</v>
      </c>
      <c r="M490" s="320">
        <f t="shared" si="213"/>
        <v>0</v>
      </c>
      <c r="N490" s="320">
        <f t="shared" si="213"/>
        <v>0</v>
      </c>
      <c r="O490" s="320">
        <f t="shared" si="213"/>
        <v>0</v>
      </c>
      <c r="P490" s="320">
        <f t="shared" si="213"/>
        <v>55.540100790992568</v>
      </c>
      <c r="Q490" s="320">
        <f t="shared" si="213"/>
        <v>478.20437010849867</v>
      </c>
      <c r="R490" s="320">
        <f t="shared" si="213"/>
        <v>417.11051021940204</v>
      </c>
      <c r="S490" s="320">
        <f t="shared" si="213"/>
        <v>746.50009756035649</v>
      </c>
      <c r="T490" s="320">
        <f t="shared" si="213"/>
        <v>702.18891371877385</v>
      </c>
      <c r="U490" s="320">
        <f t="shared" si="213"/>
        <v>752.62712703042882</v>
      </c>
      <c r="V490" s="320">
        <f t="shared" si="213"/>
        <v>791.20506499086764</v>
      </c>
      <c r="W490" s="320">
        <f t="shared" si="213"/>
        <v>786.63484479149975</v>
      </c>
      <c r="X490" s="320">
        <f t="shared" si="213"/>
        <v>788.69639740228013</v>
      </c>
      <c r="Y490" s="320">
        <f t="shared" si="213"/>
        <v>798.36087297908534</v>
      </c>
      <c r="Z490" s="320">
        <f t="shared" si="213"/>
        <v>785.69069391858181</v>
      </c>
      <c r="AA490" s="320">
        <f t="shared" si="213"/>
        <v>781.69494064343235</v>
      </c>
      <c r="AB490" s="320">
        <f t="shared" si="213"/>
        <v>807.80931105714512</v>
      </c>
      <c r="AC490" s="320">
        <f t="shared" si="213"/>
        <v>813.90679632138301</v>
      </c>
      <c r="AD490" s="320">
        <f t="shared" si="213"/>
        <v>807.40623506980614</v>
      </c>
      <c r="AE490" s="320">
        <f t="shared" si="213"/>
        <v>0</v>
      </c>
      <c r="AF490" s="320">
        <f t="shared" si="213"/>
        <v>0</v>
      </c>
      <c r="AG490" s="320">
        <f t="shared" si="213"/>
        <v>0</v>
      </c>
      <c r="AH490" s="320">
        <f t="shared" si="213"/>
        <v>0</v>
      </c>
      <c r="AI490" s="320">
        <f t="shared" si="213"/>
        <v>0</v>
      </c>
      <c r="AJ490" s="320">
        <f t="shared" si="213"/>
        <v>0</v>
      </c>
      <c r="AK490" s="320">
        <f t="shared" si="213"/>
        <v>0</v>
      </c>
      <c r="AL490" s="320">
        <f t="shared" si="213"/>
        <v>0</v>
      </c>
      <c r="AM490" s="320">
        <f t="shared" si="213"/>
        <v>0</v>
      </c>
      <c r="AN490" s="320">
        <f t="shared" si="213"/>
        <v>0</v>
      </c>
      <c r="AO490" s="320">
        <f t="shared" si="213"/>
        <v>0</v>
      </c>
      <c r="AP490" s="320">
        <f t="shared" si="213"/>
        <v>0</v>
      </c>
      <c r="AQ490" s="320">
        <f t="shared" si="213"/>
        <v>0</v>
      </c>
      <c r="AR490" s="320">
        <f t="shared" si="213"/>
        <v>0</v>
      </c>
      <c r="AS490" s="320">
        <f t="shared" si="213"/>
        <v>0</v>
      </c>
      <c r="AT490" s="320">
        <f t="shared" si="213"/>
        <v>0</v>
      </c>
      <c r="AU490" s="320">
        <f t="shared" si="213"/>
        <v>0</v>
      </c>
      <c r="AV490" s="320">
        <f t="shared" si="213"/>
        <v>0</v>
      </c>
    </row>
    <row r="491" spans="1:48" ht="15" customHeight="1">
      <c r="E491" s="320" t="str">
        <f t="shared" ref="E491:AV491" si="214" xml:space="preserve"> E$258</f>
        <v>Cobalt net revenue after royalty</v>
      </c>
      <c r="F491" s="320">
        <f t="shared" si="214"/>
        <v>0</v>
      </c>
      <c r="G491" s="320" t="str">
        <f t="shared" si="214"/>
        <v>$ mn</v>
      </c>
      <c r="H491" s="320">
        <f t="shared" si="214"/>
        <v>0</v>
      </c>
      <c r="I491" s="320">
        <f t="shared" si="214"/>
        <v>0</v>
      </c>
      <c r="J491" s="320">
        <f t="shared" si="214"/>
        <v>7068.9292386110192</v>
      </c>
      <c r="K491" s="320">
        <f t="shared" si="214"/>
        <v>0</v>
      </c>
      <c r="L491" s="320">
        <f t="shared" si="214"/>
        <v>0</v>
      </c>
      <c r="M491" s="320">
        <f t="shared" si="214"/>
        <v>0</v>
      </c>
      <c r="N491" s="320">
        <f t="shared" si="214"/>
        <v>0</v>
      </c>
      <c r="O491" s="320">
        <f t="shared" si="214"/>
        <v>0</v>
      </c>
      <c r="P491" s="320">
        <f t="shared" si="214"/>
        <v>8.5750217116106597</v>
      </c>
      <c r="Q491" s="320">
        <f t="shared" si="214"/>
        <v>385.03029237041613</v>
      </c>
      <c r="R491" s="320">
        <f t="shared" si="214"/>
        <v>314.08677371325723</v>
      </c>
      <c r="S491" s="320">
        <f t="shared" si="214"/>
        <v>669.11243584845863</v>
      </c>
      <c r="T491" s="320">
        <f t="shared" si="214"/>
        <v>918.06637654912731</v>
      </c>
      <c r="U491" s="320">
        <f t="shared" si="214"/>
        <v>427.28380979859446</v>
      </c>
      <c r="V491" s="320">
        <f t="shared" si="214"/>
        <v>312.34371940738555</v>
      </c>
      <c r="W491" s="320">
        <f t="shared" si="214"/>
        <v>498.23240399093999</v>
      </c>
      <c r="X491" s="320">
        <f t="shared" si="214"/>
        <v>485.17338475116554</v>
      </c>
      <c r="Y491" s="320">
        <f t="shared" si="214"/>
        <v>456.78685492517246</v>
      </c>
      <c r="Z491" s="320">
        <f t="shared" si="214"/>
        <v>494.33981955775846</v>
      </c>
      <c r="AA491" s="320">
        <f t="shared" si="214"/>
        <v>493.70089017668897</v>
      </c>
      <c r="AB491" s="320">
        <f t="shared" si="214"/>
        <v>475.62530381555848</v>
      </c>
      <c r="AC491" s="320">
        <f t="shared" si="214"/>
        <v>549.02470954791625</v>
      </c>
      <c r="AD491" s="320">
        <f t="shared" si="214"/>
        <v>581.54744244697008</v>
      </c>
      <c r="AE491" s="320">
        <f t="shared" si="214"/>
        <v>0</v>
      </c>
      <c r="AF491" s="320">
        <f t="shared" si="214"/>
        <v>0</v>
      </c>
      <c r="AG491" s="320">
        <f t="shared" si="214"/>
        <v>0</v>
      </c>
      <c r="AH491" s="320">
        <f t="shared" si="214"/>
        <v>0</v>
      </c>
      <c r="AI491" s="320">
        <f t="shared" si="214"/>
        <v>0</v>
      </c>
      <c r="AJ491" s="320">
        <f t="shared" si="214"/>
        <v>0</v>
      </c>
      <c r="AK491" s="320">
        <f t="shared" si="214"/>
        <v>0</v>
      </c>
      <c r="AL491" s="320">
        <f t="shared" si="214"/>
        <v>0</v>
      </c>
      <c r="AM491" s="320">
        <f t="shared" si="214"/>
        <v>0</v>
      </c>
      <c r="AN491" s="320">
        <f t="shared" si="214"/>
        <v>0</v>
      </c>
      <c r="AO491" s="320">
        <f t="shared" si="214"/>
        <v>0</v>
      </c>
      <c r="AP491" s="320">
        <f t="shared" si="214"/>
        <v>0</v>
      </c>
      <c r="AQ491" s="320">
        <f t="shared" si="214"/>
        <v>0</v>
      </c>
      <c r="AR491" s="320">
        <f t="shared" si="214"/>
        <v>0</v>
      </c>
      <c r="AS491" s="320">
        <f t="shared" si="214"/>
        <v>0</v>
      </c>
      <c r="AT491" s="320">
        <f t="shared" si="214"/>
        <v>0</v>
      </c>
      <c r="AU491" s="320">
        <f t="shared" si="214"/>
        <v>0</v>
      </c>
      <c r="AV491" s="320">
        <f t="shared" si="214"/>
        <v>0</v>
      </c>
    </row>
    <row r="492" spans="1:48" ht="15" customHeight="1">
      <c r="E492" s="324" t="str">
        <f t="shared" ref="E492:AV492" si="215" xml:space="preserve"> E$259</f>
        <v>Copper plus cobalt revenue net or realization costs and royalty</v>
      </c>
      <c r="F492" s="324">
        <f t="shared" si="215"/>
        <v>0</v>
      </c>
      <c r="G492" s="324" t="str">
        <f t="shared" si="215"/>
        <v>$ mn</v>
      </c>
      <c r="H492" s="324">
        <f t="shared" si="215"/>
        <v>0</v>
      </c>
      <c r="I492" s="324">
        <f t="shared" si="215"/>
        <v>0</v>
      </c>
      <c r="J492" s="324">
        <f t="shared" si="215"/>
        <v>17382.505515213554</v>
      </c>
      <c r="K492" s="324">
        <f t="shared" si="215"/>
        <v>0</v>
      </c>
      <c r="L492" s="324">
        <f t="shared" si="215"/>
        <v>0</v>
      </c>
      <c r="M492" s="324">
        <f t="shared" si="215"/>
        <v>0</v>
      </c>
      <c r="N492" s="324">
        <f t="shared" si="215"/>
        <v>0</v>
      </c>
      <c r="O492" s="324">
        <f t="shared" si="215"/>
        <v>0</v>
      </c>
      <c r="P492" s="324">
        <f t="shared" si="215"/>
        <v>64.115122502603228</v>
      </c>
      <c r="Q492" s="324">
        <f t="shared" si="215"/>
        <v>863.23466247891474</v>
      </c>
      <c r="R492" s="324">
        <f t="shared" si="215"/>
        <v>731.19728393265927</v>
      </c>
      <c r="S492" s="324">
        <f t="shared" si="215"/>
        <v>1415.6125334088151</v>
      </c>
      <c r="T492" s="324">
        <f t="shared" si="215"/>
        <v>1620.2552902679013</v>
      </c>
      <c r="U492" s="324">
        <f t="shared" si="215"/>
        <v>1179.9109368290233</v>
      </c>
      <c r="V492" s="324">
        <f t="shared" si="215"/>
        <v>1103.5487843982532</v>
      </c>
      <c r="W492" s="324">
        <f t="shared" si="215"/>
        <v>1284.8672487824397</v>
      </c>
      <c r="X492" s="324">
        <f t="shared" si="215"/>
        <v>1273.8697821534456</v>
      </c>
      <c r="Y492" s="324">
        <f t="shared" si="215"/>
        <v>1255.1477279042579</v>
      </c>
      <c r="Z492" s="324">
        <f t="shared" si="215"/>
        <v>1280.0305134763403</v>
      </c>
      <c r="AA492" s="324">
        <f t="shared" si="215"/>
        <v>1275.3958308201213</v>
      </c>
      <c r="AB492" s="324">
        <f t="shared" si="215"/>
        <v>1283.4346148727036</v>
      </c>
      <c r="AC492" s="324">
        <f t="shared" si="215"/>
        <v>1362.9315058692991</v>
      </c>
      <c r="AD492" s="324">
        <f t="shared" si="215"/>
        <v>1388.9536775167762</v>
      </c>
      <c r="AE492" s="324">
        <f t="shared" si="215"/>
        <v>0</v>
      </c>
      <c r="AF492" s="324">
        <f t="shared" si="215"/>
        <v>0</v>
      </c>
      <c r="AG492" s="324">
        <f t="shared" si="215"/>
        <v>0</v>
      </c>
      <c r="AH492" s="324">
        <f t="shared" si="215"/>
        <v>0</v>
      </c>
      <c r="AI492" s="324">
        <f t="shared" si="215"/>
        <v>0</v>
      </c>
      <c r="AJ492" s="324">
        <f t="shared" si="215"/>
        <v>0</v>
      </c>
      <c r="AK492" s="324">
        <f t="shared" si="215"/>
        <v>0</v>
      </c>
      <c r="AL492" s="324">
        <f t="shared" si="215"/>
        <v>0</v>
      </c>
      <c r="AM492" s="324">
        <f t="shared" si="215"/>
        <v>0</v>
      </c>
      <c r="AN492" s="324">
        <f t="shared" si="215"/>
        <v>0</v>
      </c>
      <c r="AO492" s="324">
        <f t="shared" si="215"/>
        <v>0</v>
      </c>
      <c r="AP492" s="324">
        <f t="shared" si="215"/>
        <v>0</v>
      </c>
      <c r="AQ492" s="324">
        <f t="shared" si="215"/>
        <v>0</v>
      </c>
      <c r="AR492" s="324">
        <f t="shared" si="215"/>
        <v>0</v>
      </c>
      <c r="AS492" s="324">
        <f t="shared" si="215"/>
        <v>0</v>
      </c>
      <c r="AT492" s="324">
        <f t="shared" si="215"/>
        <v>0</v>
      </c>
      <c r="AU492" s="324">
        <f t="shared" si="215"/>
        <v>0</v>
      </c>
      <c r="AV492" s="324">
        <f t="shared" si="215"/>
        <v>0</v>
      </c>
    </row>
    <row r="494" spans="1:48" ht="15" customHeight="1">
      <c r="E494" s="6" t="str">
        <f t="shared" ref="E494:AV494" si="216" xml:space="preserve"> E$307</f>
        <v>Turnover tax (Chiffre d'Affaires 0.3PC)</v>
      </c>
      <c r="F494" s="6">
        <f t="shared" si="216"/>
        <v>0</v>
      </c>
      <c r="G494" s="6" t="str">
        <f t="shared" si="216"/>
        <v>$ mn</v>
      </c>
      <c r="H494" s="6">
        <f t="shared" si="216"/>
        <v>0</v>
      </c>
      <c r="I494" s="6">
        <f t="shared" si="216"/>
        <v>0</v>
      </c>
      <c r="J494" s="6">
        <f t="shared" si="216"/>
        <v>57.035766295213875</v>
      </c>
      <c r="K494" s="6">
        <f t="shared" si="216"/>
        <v>0</v>
      </c>
      <c r="L494" s="6">
        <f t="shared" si="216"/>
        <v>0</v>
      </c>
      <c r="M494" s="6">
        <f t="shared" si="216"/>
        <v>0</v>
      </c>
      <c r="N494" s="6">
        <f t="shared" si="216"/>
        <v>0</v>
      </c>
      <c r="O494" s="6">
        <f t="shared" si="216"/>
        <v>0</v>
      </c>
      <c r="P494" s="6">
        <f t="shared" si="216"/>
        <v>0.2014087617882824</v>
      </c>
      <c r="Q494" s="6">
        <f t="shared" si="216"/>
        <v>2.8397867531093386</v>
      </c>
      <c r="R494" s="6">
        <f t="shared" si="216"/>
        <v>2.4029186334589721</v>
      </c>
      <c r="S494" s="6">
        <f t="shared" si="216"/>
        <v>4.6647816973138623</v>
      </c>
      <c r="T494" s="6">
        <f t="shared" si="216"/>
        <v>5.3707620239571421</v>
      </c>
      <c r="U494" s="6">
        <f t="shared" si="216"/>
        <v>3.8609864429442342</v>
      </c>
      <c r="V494" s="6">
        <f t="shared" si="216"/>
        <v>3.5929701648905819</v>
      </c>
      <c r="W494" s="6">
        <f t="shared" si="216"/>
        <v>4.2112770109237267</v>
      </c>
      <c r="X494" s="6">
        <f t="shared" si="216"/>
        <v>4.1734041896755718</v>
      </c>
      <c r="Y494" s="6">
        <f t="shared" si="216"/>
        <v>4.1076505879026843</v>
      </c>
      <c r="Z494" s="6">
        <f t="shared" si="216"/>
        <v>4.1950049876038724</v>
      </c>
      <c r="AA494" s="6">
        <f t="shared" si="216"/>
        <v>4.1800550590593506</v>
      </c>
      <c r="AB494" s="6">
        <f t="shared" si="216"/>
        <v>4.2019989650855409</v>
      </c>
      <c r="AC494" s="6">
        <f t="shared" si="216"/>
        <v>4.4714046473635181</v>
      </c>
      <c r="AD494" s="6">
        <f t="shared" si="216"/>
        <v>4.5613563701371929</v>
      </c>
      <c r="AE494" s="6">
        <f t="shared" si="216"/>
        <v>0</v>
      </c>
      <c r="AF494" s="6">
        <f t="shared" si="216"/>
        <v>0</v>
      </c>
      <c r="AG494" s="6">
        <f t="shared" si="216"/>
        <v>0</v>
      </c>
      <c r="AH494" s="6">
        <f t="shared" si="216"/>
        <v>0</v>
      </c>
      <c r="AI494" s="6">
        <f t="shared" si="216"/>
        <v>0</v>
      </c>
      <c r="AJ494" s="6">
        <f t="shared" si="216"/>
        <v>0</v>
      </c>
      <c r="AK494" s="6">
        <f t="shared" si="216"/>
        <v>0</v>
      </c>
      <c r="AL494" s="6">
        <f t="shared" si="216"/>
        <v>0</v>
      </c>
      <c r="AM494" s="6">
        <f t="shared" si="216"/>
        <v>0</v>
      </c>
      <c r="AN494" s="6">
        <f t="shared" si="216"/>
        <v>0</v>
      </c>
      <c r="AO494" s="6">
        <f t="shared" si="216"/>
        <v>0</v>
      </c>
      <c r="AP494" s="6">
        <f t="shared" si="216"/>
        <v>0</v>
      </c>
      <c r="AQ494" s="6">
        <f t="shared" si="216"/>
        <v>0</v>
      </c>
      <c r="AR494" s="6">
        <f t="shared" si="216"/>
        <v>0</v>
      </c>
      <c r="AS494" s="6">
        <f t="shared" si="216"/>
        <v>0</v>
      </c>
      <c r="AT494" s="6">
        <f t="shared" si="216"/>
        <v>0</v>
      </c>
      <c r="AU494" s="6">
        <f t="shared" si="216"/>
        <v>0</v>
      </c>
      <c r="AV494" s="6">
        <f t="shared" si="216"/>
        <v>0</v>
      </c>
    </row>
    <row r="495" spans="1:48" ht="15" customHeight="1">
      <c r="E495" s="320" t="str">
        <f t="shared" ref="E495:K495" si="217" xml:space="preserve"> E$365</f>
        <v>Operating costs, including Sens.</v>
      </c>
      <c r="F495" s="320">
        <f t="shared" si="217"/>
        <v>0</v>
      </c>
      <c r="G495" s="320" t="str">
        <f t="shared" si="217"/>
        <v>$ mn</v>
      </c>
      <c r="H495" s="320">
        <f t="shared" si="217"/>
        <v>0</v>
      </c>
      <c r="I495" s="320">
        <f t="shared" si="217"/>
        <v>0</v>
      </c>
      <c r="J495" s="320">
        <f t="shared" si="217"/>
        <v>14098.626908392755</v>
      </c>
      <c r="K495" s="320">
        <f t="shared" si="217"/>
        <v>0</v>
      </c>
      <c r="L495" s="320">
        <f t="shared" ref="L495:AV495" si="218" xml:space="preserve"> L$365</f>
        <v>0</v>
      </c>
      <c r="M495" s="320">
        <f t="shared" si="218"/>
        <v>0</v>
      </c>
      <c r="N495" s="320">
        <f t="shared" si="218"/>
        <v>0</v>
      </c>
      <c r="O495" s="320">
        <f t="shared" si="218"/>
        <v>0</v>
      </c>
      <c r="P495" s="320">
        <f t="shared" si="218"/>
        <v>46.775406120166977</v>
      </c>
      <c r="Q495" s="320">
        <f t="shared" si="218"/>
        <v>565.92033188147025</v>
      </c>
      <c r="R495" s="320">
        <f t="shared" si="218"/>
        <v>432.34975533242329</v>
      </c>
      <c r="S495" s="320">
        <f t="shared" si="218"/>
        <v>563.86968273401851</v>
      </c>
      <c r="T495" s="320">
        <f t="shared" si="218"/>
        <v>806.95561953116135</v>
      </c>
      <c r="U495" s="320">
        <f t="shared" si="218"/>
        <v>980.90533653037528</v>
      </c>
      <c r="V495" s="320">
        <f t="shared" si="218"/>
        <v>1045.4432218671402</v>
      </c>
      <c r="W495" s="320">
        <f t="shared" si="218"/>
        <v>1199.2561401587307</v>
      </c>
      <c r="X495" s="320">
        <f t="shared" si="218"/>
        <v>1235.2970237000936</v>
      </c>
      <c r="Y495" s="320">
        <f t="shared" si="218"/>
        <v>1125.1808936331668</v>
      </c>
      <c r="Z495" s="320">
        <f t="shared" si="218"/>
        <v>1134.5764767086639</v>
      </c>
      <c r="AA495" s="320">
        <f t="shared" si="218"/>
        <v>1178.5061704732586</v>
      </c>
      <c r="AB495" s="320">
        <f t="shared" si="218"/>
        <v>1177.3476157134869</v>
      </c>
      <c r="AC495" s="320">
        <f t="shared" si="218"/>
        <v>1274.2426194881346</v>
      </c>
      <c r="AD495" s="320">
        <f t="shared" si="218"/>
        <v>1332.0006145204636</v>
      </c>
      <c r="AE495" s="320">
        <f t="shared" si="218"/>
        <v>0</v>
      </c>
      <c r="AF495" s="320">
        <f t="shared" si="218"/>
        <v>0</v>
      </c>
      <c r="AG495" s="320">
        <f t="shared" si="218"/>
        <v>0</v>
      </c>
      <c r="AH495" s="320">
        <f t="shared" si="218"/>
        <v>0</v>
      </c>
      <c r="AI495" s="320">
        <f t="shared" si="218"/>
        <v>0</v>
      </c>
      <c r="AJ495" s="320">
        <f t="shared" si="218"/>
        <v>0</v>
      </c>
      <c r="AK495" s="320">
        <f t="shared" si="218"/>
        <v>0</v>
      </c>
      <c r="AL495" s="320">
        <f t="shared" si="218"/>
        <v>0</v>
      </c>
      <c r="AM495" s="320">
        <f t="shared" si="218"/>
        <v>0</v>
      </c>
      <c r="AN495" s="320">
        <f t="shared" si="218"/>
        <v>0</v>
      </c>
      <c r="AO495" s="320">
        <f t="shared" si="218"/>
        <v>0</v>
      </c>
      <c r="AP495" s="320">
        <f t="shared" si="218"/>
        <v>0</v>
      </c>
      <c r="AQ495" s="320">
        <f t="shared" si="218"/>
        <v>0</v>
      </c>
      <c r="AR495" s="320">
        <f t="shared" si="218"/>
        <v>0</v>
      </c>
      <c r="AS495" s="320">
        <f t="shared" si="218"/>
        <v>0</v>
      </c>
      <c r="AT495" s="320">
        <f t="shared" si="218"/>
        <v>0</v>
      </c>
      <c r="AU495" s="320">
        <f t="shared" si="218"/>
        <v>0</v>
      </c>
      <c r="AV495" s="320">
        <f t="shared" si="218"/>
        <v>0</v>
      </c>
    </row>
    <row r="496" spans="1:48" s="320" customFormat="1" ht="15" customHeight="1">
      <c r="A496" s="351"/>
      <c r="B496" s="134"/>
      <c r="C496" s="322"/>
      <c r="D496" s="724"/>
    </row>
    <row r="497" spans="1:48" s="320" customFormat="1" ht="15" customHeight="1">
      <c r="A497" s="351"/>
      <c r="B497" s="134"/>
      <c r="C497" s="322"/>
      <c r="D497" s="724"/>
      <c r="E497" s="320" t="s">
        <v>931</v>
      </c>
      <c r="G497" s="320" t="s">
        <v>29</v>
      </c>
      <c r="J497" s="320">
        <f xml:space="preserve"> SUM(L497:AV497)</f>
        <v>3226.8428405255854</v>
      </c>
      <c r="L497" s="320">
        <f t="shared" ref="L497:AV497" si="219" xml:space="preserve"> L492 - L494 - L495</f>
        <v>0</v>
      </c>
      <c r="M497" s="320">
        <f t="shared" si="219"/>
        <v>0</v>
      </c>
      <c r="N497" s="320">
        <f t="shared" si="219"/>
        <v>0</v>
      </c>
      <c r="O497" s="320">
        <f t="shared" si="219"/>
        <v>0</v>
      </c>
      <c r="P497" s="320">
        <f t="shared" si="219"/>
        <v>17.138307620647971</v>
      </c>
      <c r="Q497" s="320">
        <f t="shared" si="219"/>
        <v>294.47454384433513</v>
      </c>
      <c r="R497" s="320">
        <f t="shared" si="219"/>
        <v>296.44460996677702</v>
      </c>
      <c r="S497" s="320">
        <f t="shared" si="219"/>
        <v>847.07806897748276</v>
      </c>
      <c r="T497" s="320">
        <f t="shared" si="219"/>
        <v>807.92890871278269</v>
      </c>
      <c r="U497" s="320">
        <f t="shared" si="219"/>
        <v>195.14461385570371</v>
      </c>
      <c r="V497" s="320">
        <f t="shared" si="219"/>
        <v>54.512592366222407</v>
      </c>
      <c r="W497" s="320">
        <f t="shared" si="219"/>
        <v>81.399831612785192</v>
      </c>
      <c r="X497" s="320">
        <f t="shared" si="219"/>
        <v>34.399354263676514</v>
      </c>
      <c r="Y497" s="320">
        <f t="shared" si="219"/>
        <v>125.85918368318835</v>
      </c>
      <c r="Z497" s="320">
        <f t="shared" si="219"/>
        <v>141.25903178007252</v>
      </c>
      <c r="AA497" s="320">
        <f t="shared" si="219"/>
        <v>92.709605287803242</v>
      </c>
      <c r="AB497" s="320">
        <f t="shared" si="219"/>
        <v>101.88500019413118</v>
      </c>
      <c r="AC497" s="320">
        <f t="shared" si="219"/>
        <v>84.217481733801151</v>
      </c>
      <c r="AD497" s="320">
        <f t="shared" si="219"/>
        <v>52.391706626175392</v>
      </c>
      <c r="AE497" s="320">
        <f t="shared" si="219"/>
        <v>0</v>
      </c>
      <c r="AF497" s="320">
        <f t="shared" si="219"/>
        <v>0</v>
      </c>
      <c r="AG497" s="320">
        <f t="shared" si="219"/>
        <v>0</v>
      </c>
      <c r="AH497" s="320">
        <f t="shared" si="219"/>
        <v>0</v>
      </c>
      <c r="AI497" s="320">
        <f t="shared" si="219"/>
        <v>0</v>
      </c>
      <c r="AJ497" s="320">
        <f t="shared" si="219"/>
        <v>0</v>
      </c>
      <c r="AK497" s="320">
        <f t="shared" si="219"/>
        <v>0</v>
      </c>
      <c r="AL497" s="320">
        <f t="shared" si="219"/>
        <v>0</v>
      </c>
      <c r="AM497" s="320">
        <f t="shared" si="219"/>
        <v>0</v>
      </c>
      <c r="AN497" s="320">
        <f t="shared" si="219"/>
        <v>0</v>
      </c>
      <c r="AO497" s="320">
        <f t="shared" si="219"/>
        <v>0</v>
      </c>
      <c r="AP497" s="320">
        <f t="shared" si="219"/>
        <v>0</v>
      </c>
      <c r="AQ497" s="320">
        <f t="shared" si="219"/>
        <v>0</v>
      </c>
      <c r="AR497" s="320">
        <f t="shared" si="219"/>
        <v>0</v>
      </c>
      <c r="AS497" s="320">
        <f t="shared" si="219"/>
        <v>0</v>
      </c>
      <c r="AT497" s="320">
        <f t="shared" si="219"/>
        <v>0</v>
      </c>
      <c r="AU497" s="320">
        <f t="shared" si="219"/>
        <v>0</v>
      </c>
      <c r="AV497" s="320">
        <f t="shared" si="219"/>
        <v>0</v>
      </c>
    </row>
    <row r="498" spans="1:48" s="320" customFormat="1" ht="15" customHeight="1">
      <c r="A498" s="351"/>
      <c r="B498" s="134"/>
      <c r="C498" s="322"/>
      <c r="D498" s="724"/>
      <c r="E498" s="320" t="s">
        <v>932</v>
      </c>
      <c r="G498" s="320" t="s">
        <v>29</v>
      </c>
      <c r="I498" s="320" t="s">
        <v>934</v>
      </c>
      <c r="J498" s="320">
        <f xml:space="preserve"> SUM(L498:AV498)</f>
        <v>1747.0682836021267</v>
      </c>
      <c r="L498" s="320">
        <f t="shared" ref="L498:AV498" si="220" xml:space="preserve"> IFERROR(L497 * L490 / L492, 0)</f>
        <v>0</v>
      </c>
      <c r="M498" s="320">
        <f t="shared" si="220"/>
        <v>0</v>
      </c>
      <c r="N498" s="320">
        <f t="shared" si="220"/>
        <v>0</v>
      </c>
      <c r="O498" s="320">
        <f t="shared" si="220"/>
        <v>0</v>
      </c>
      <c r="P498" s="320">
        <f t="shared" si="220"/>
        <v>14.846159462600674</v>
      </c>
      <c r="Q498" s="320">
        <f t="shared" si="220"/>
        <v>163.1294708992381</v>
      </c>
      <c r="R498" s="320">
        <f t="shared" si="220"/>
        <v>169.10643027829101</v>
      </c>
      <c r="S498" s="320">
        <f t="shared" si="220"/>
        <v>446.69275399126076</v>
      </c>
      <c r="T498" s="320">
        <f t="shared" si="220"/>
        <v>350.1415648377361</v>
      </c>
      <c r="U498" s="320">
        <f t="shared" si="220"/>
        <v>124.47645453341812</v>
      </c>
      <c r="V498" s="320">
        <f t="shared" si="220"/>
        <v>39.08358180055999</v>
      </c>
      <c r="W498" s="320">
        <f t="shared" si="220"/>
        <v>49.83545496039001</v>
      </c>
      <c r="X498" s="320">
        <f t="shared" si="220"/>
        <v>21.297818003707363</v>
      </c>
      <c r="Y498" s="320">
        <f t="shared" si="220"/>
        <v>80.055156475899665</v>
      </c>
      <c r="Z498" s="320">
        <f t="shared" si="220"/>
        <v>86.705672664109969</v>
      </c>
      <c r="AA498" s="320">
        <f t="shared" si="220"/>
        <v>56.822068609025024</v>
      </c>
      <c r="AB498" s="320">
        <f t="shared" si="220"/>
        <v>64.127654701008225</v>
      </c>
      <c r="AC498" s="320">
        <f t="shared" si="220"/>
        <v>50.292461842015676</v>
      </c>
      <c r="AD498" s="320">
        <f t="shared" si="220"/>
        <v>30.455580542865984</v>
      </c>
      <c r="AE498" s="320">
        <f t="shared" si="220"/>
        <v>0</v>
      </c>
      <c r="AF498" s="320">
        <f t="shared" si="220"/>
        <v>0</v>
      </c>
      <c r="AG498" s="320">
        <f t="shared" si="220"/>
        <v>0</v>
      </c>
      <c r="AH498" s="320">
        <f t="shared" si="220"/>
        <v>0</v>
      </c>
      <c r="AI498" s="320">
        <f t="shared" si="220"/>
        <v>0</v>
      </c>
      <c r="AJ498" s="320">
        <f t="shared" si="220"/>
        <v>0</v>
      </c>
      <c r="AK498" s="320">
        <f t="shared" si="220"/>
        <v>0</v>
      </c>
      <c r="AL498" s="320">
        <f t="shared" si="220"/>
        <v>0</v>
      </c>
      <c r="AM498" s="320">
        <f t="shared" si="220"/>
        <v>0</v>
      </c>
      <c r="AN498" s="320">
        <f t="shared" si="220"/>
        <v>0</v>
      </c>
      <c r="AO498" s="320">
        <f t="shared" si="220"/>
        <v>0</v>
      </c>
      <c r="AP498" s="320">
        <f t="shared" si="220"/>
        <v>0</v>
      </c>
      <c r="AQ498" s="320">
        <f t="shared" si="220"/>
        <v>0</v>
      </c>
      <c r="AR498" s="320">
        <f t="shared" si="220"/>
        <v>0</v>
      </c>
      <c r="AS498" s="320">
        <f t="shared" si="220"/>
        <v>0</v>
      </c>
      <c r="AT498" s="320">
        <f t="shared" si="220"/>
        <v>0</v>
      </c>
      <c r="AU498" s="320">
        <f t="shared" si="220"/>
        <v>0</v>
      </c>
      <c r="AV498" s="320">
        <f t="shared" si="220"/>
        <v>0</v>
      </c>
    </row>
    <row r="499" spans="1:48" s="320" customFormat="1" ht="15" customHeight="1">
      <c r="A499" s="351"/>
      <c r="B499" s="134"/>
      <c r="C499" s="303"/>
      <c r="D499" s="724"/>
      <c r="E499" s="320" t="s">
        <v>933</v>
      </c>
      <c r="G499" s="320" t="s">
        <v>29</v>
      </c>
      <c r="I499" s="320" t="s">
        <v>934</v>
      </c>
      <c r="J499" s="320">
        <f xml:space="preserve"> SUM(L499:AV499)</f>
        <v>1479.7745569234587</v>
      </c>
      <c r="L499" s="320">
        <f t="shared" ref="L499:AV499" si="221" xml:space="preserve"> IFERROR(L497 * L491 / L492, 0)</f>
        <v>0</v>
      </c>
      <c r="M499" s="320">
        <f t="shared" si="221"/>
        <v>0</v>
      </c>
      <c r="N499" s="320">
        <f t="shared" si="221"/>
        <v>0</v>
      </c>
      <c r="O499" s="320">
        <f t="shared" si="221"/>
        <v>0</v>
      </c>
      <c r="P499" s="320">
        <f t="shared" si="221"/>
        <v>2.2921481580472967</v>
      </c>
      <c r="Q499" s="320">
        <f t="shared" si="221"/>
        <v>131.34507294509703</v>
      </c>
      <c r="R499" s="320">
        <f t="shared" si="221"/>
        <v>127.33817968848602</v>
      </c>
      <c r="S499" s="320">
        <f t="shared" si="221"/>
        <v>400.385314986222</v>
      </c>
      <c r="T499" s="320">
        <f t="shared" si="221"/>
        <v>457.78734387504653</v>
      </c>
      <c r="U499" s="320">
        <f t="shared" si="221"/>
        <v>70.668159322285589</v>
      </c>
      <c r="V499" s="320">
        <f t="shared" si="221"/>
        <v>15.429010565662411</v>
      </c>
      <c r="W499" s="320">
        <f t="shared" si="221"/>
        <v>31.56437665239519</v>
      </c>
      <c r="X499" s="320">
        <f t="shared" si="221"/>
        <v>13.101536259969153</v>
      </c>
      <c r="Y499" s="320">
        <f t="shared" si="221"/>
        <v>45.804027207288669</v>
      </c>
      <c r="Z499" s="320">
        <f t="shared" si="221"/>
        <v>54.553359115962543</v>
      </c>
      <c r="AA499" s="320">
        <f t="shared" si="221"/>
        <v>35.887536678778226</v>
      </c>
      <c r="AB499" s="320">
        <f t="shared" si="221"/>
        <v>37.757345493122955</v>
      </c>
      <c r="AC499" s="320">
        <f t="shared" si="221"/>
        <v>33.925019891785482</v>
      </c>
      <c r="AD499" s="320">
        <f t="shared" si="221"/>
        <v>21.936126083309404</v>
      </c>
      <c r="AE499" s="320">
        <f t="shared" si="221"/>
        <v>0</v>
      </c>
      <c r="AF499" s="320">
        <f t="shared" si="221"/>
        <v>0</v>
      </c>
      <c r="AG499" s="320">
        <f t="shared" si="221"/>
        <v>0</v>
      </c>
      <c r="AH499" s="320">
        <f t="shared" si="221"/>
        <v>0</v>
      </c>
      <c r="AI499" s="320">
        <f t="shared" si="221"/>
        <v>0</v>
      </c>
      <c r="AJ499" s="320">
        <f t="shared" si="221"/>
        <v>0</v>
      </c>
      <c r="AK499" s="320">
        <f t="shared" si="221"/>
        <v>0</v>
      </c>
      <c r="AL499" s="320">
        <f t="shared" si="221"/>
        <v>0</v>
      </c>
      <c r="AM499" s="320">
        <f t="shared" si="221"/>
        <v>0</v>
      </c>
      <c r="AN499" s="320">
        <f t="shared" si="221"/>
        <v>0</v>
      </c>
      <c r="AO499" s="320">
        <f t="shared" si="221"/>
        <v>0</v>
      </c>
      <c r="AP499" s="320">
        <f t="shared" si="221"/>
        <v>0</v>
      </c>
      <c r="AQ499" s="320">
        <f t="shared" si="221"/>
        <v>0</v>
      </c>
      <c r="AR499" s="320">
        <f t="shared" si="221"/>
        <v>0</v>
      </c>
      <c r="AS499" s="320">
        <f t="shared" si="221"/>
        <v>0</v>
      </c>
      <c r="AT499" s="320">
        <f t="shared" si="221"/>
        <v>0</v>
      </c>
      <c r="AU499" s="320">
        <f t="shared" si="221"/>
        <v>0</v>
      </c>
      <c r="AV499" s="320">
        <f t="shared" si="221"/>
        <v>0</v>
      </c>
    </row>
    <row r="500" spans="1:48" s="320" customFormat="1" ht="15" customHeight="1">
      <c r="A500" s="351"/>
      <c r="B500" s="134"/>
      <c r="C500" s="322"/>
      <c r="D500" s="724"/>
    </row>
    <row r="501" spans="1:48" s="320" customFormat="1" ht="15" customHeight="1">
      <c r="A501" s="351"/>
      <c r="B501" s="134" t="s">
        <v>936</v>
      </c>
      <c r="C501" s="322"/>
      <c r="D501" s="724"/>
    </row>
    <row r="502" spans="1:48" s="320" customFormat="1" ht="15" customHeight="1">
      <c r="A502" s="351"/>
      <c r="B502" s="134"/>
      <c r="C502" s="322" t="s">
        <v>937</v>
      </c>
      <c r="D502" s="724"/>
    </row>
    <row r="503" spans="1:48" s="320" customFormat="1" ht="15" customHeight="1">
      <c r="A503" s="351"/>
      <c r="B503" s="134"/>
      <c r="C503" s="322"/>
      <c r="D503" s="724"/>
      <c r="E503" s="320" t="s">
        <v>926</v>
      </c>
      <c r="G503" s="320" t="s">
        <v>790</v>
      </c>
      <c r="L503" s="608">
        <f t="shared" ref="L503:AV503" si="222" xml:space="preserve"> IF( L460 &lt;&gt; 0, L486 / L460, 0)</f>
        <v>0</v>
      </c>
      <c r="M503" s="608">
        <f t="shared" si="222"/>
        <v>0</v>
      </c>
      <c r="N503" s="608">
        <f t="shared" si="222"/>
        <v>0</v>
      </c>
      <c r="O503" s="608">
        <f t="shared" si="222"/>
        <v>0</v>
      </c>
      <c r="P503" s="608">
        <f t="shared" si="222"/>
        <v>0</v>
      </c>
      <c r="Q503" s="608">
        <f t="shared" si="222"/>
        <v>0</v>
      </c>
      <c r="R503" s="608">
        <f t="shared" si="222"/>
        <v>1.0009009563948776</v>
      </c>
      <c r="S503" s="608">
        <f t="shared" si="222"/>
        <v>1.000258615136876</v>
      </c>
      <c r="T503" s="608">
        <f t="shared" si="222"/>
        <v>1.0029441099625127</v>
      </c>
      <c r="U503" s="608">
        <f t="shared" si="222"/>
        <v>0.76116199013895125</v>
      </c>
      <c r="V503" s="608">
        <f t="shared" si="222"/>
        <v>0.64641087087995164</v>
      </c>
      <c r="W503" s="608">
        <f t="shared" si="222"/>
        <v>0.60441235170969987</v>
      </c>
      <c r="X503" s="608">
        <f t="shared" si="222"/>
        <v>0.65590353794980338</v>
      </c>
      <c r="Y503" s="608">
        <f t="shared" si="222"/>
        <v>0.71486597938144325</v>
      </c>
      <c r="Z503" s="608">
        <f t="shared" si="222"/>
        <v>0.78523314887054341</v>
      </c>
      <c r="AA503" s="608">
        <f t="shared" si="222"/>
        <v>0.82777883880825054</v>
      </c>
      <c r="AB503" s="608">
        <f t="shared" si="222"/>
        <v>0.89275593689436517</v>
      </c>
      <c r="AC503" s="608">
        <f t="shared" si="222"/>
        <v>0.89279299169162729</v>
      </c>
      <c r="AD503" s="608">
        <f t="shared" si="222"/>
        <v>0.892739365296079</v>
      </c>
      <c r="AE503" s="608">
        <f t="shared" si="222"/>
        <v>0</v>
      </c>
      <c r="AF503" s="608">
        <f t="shared" si="222"/>
        <v>0</v>
      </c>
      <c r="AG503" s="608">
        <f t="shared" si="222"/>
        <v>0</v>
      </c>
      <c r="AH503" s="608">
        <f t="shared" si="222"/>
        <v>0</v>
      </c>
      <c r="AI503" s="608">
        <f t="shared" si="222"/>
        <v>0</v>
      </c>
      <c r="AJ503" s="608">
        <f t="shared" si="222"/>
        <v>0</v>
      </c>
      <c r="AK503" s="608">
        <f t="shared" si="222"/>
        <v>0</v>
      </c>
      <c r="AL503" s="608">
        <f t="shared" si="222"/>
        <v>0</v>
      </c>
      <c r="AM503" s="608">
        <f t="shared" si="222"/>
        <v>0</v>
      </c>
      <c r="AN503" s="608">
        <f t="shared" si="222"/>
        <v>0</v>
      </c>
      <c r="AO503" s="608">
        <f t="shared" si="222"/>
        <v>0</v>
      </c>
      <c r="AP503" s="608">
        <f t="shared" si="222"/>
        <v>0</v>
      </c>
      <c r="AQ503" s="608">
        <f t="shared" si="222"/>
        <v>0</v>
      </c>
      <c r="AR503" s="608">
        <f t="shared" si="222"/>
        <v>0</v>
      </c>
      <c r="AS503" s="608">
        <f t="shared" si="222"/>
        <v>0</v>
      </c>
      <c r="AT503" s="608">
        <f t="shared" si="222"/>
        <v>0</v>
      </c>
      <c r="AU503" s="608">
        <f t="shared" si="222"/>
        <v>0</v>
      </c>
      <c r="AV503" s="608">
        <f t="shared" si="222"/>
        <v>0</v>
      </c>
    </row>
    <row r="504" spans="1:48" s="320" customFormat="1" ht="15" customHeight="1">
      <c r="A504" s="351"/>
      <c r="B504" s="134"/>
      <c r="C504" s="322"/>
      <c r="D504" s="724"/>
      <c r="E504" s="320" t="s">
        <v>927</v>
      </c>
      <c r="G504" s="320" t="s">
        <v>790</v>
      </c>
      <c r="L504" s="608">
        <f t="shared" ref="L504:AV504" si="223" xml:space="preserve"> IF( L461 &lt;&gt; 0, L487 / L461, 0)</f>
        <v>0</v>
      </c>
      <c r="M504" s="608">
        <f t="shared" si="223"/>
        <v>0</v>
      </c>
      <c r="N504" s="608">
        <f t="shared" si="223"/>
        <v>0</v>
      </c>
      <c r="O504" s="608">
        <f t="shared" si="223"/>
        <v>0</v>
      </c>
      <c r="P504" s="608">
        <f t="shared" si="223"/>
        <v>0</v>
      </c>
      <c r="Q504" s="608">
        <f t="shared" si="223"/>
        <v>0</v>
      </c>
      <c r="R504" s="608">
        <f t="shared" si="223"/>
        <v>0.92599466700796573</v>
      </c>
      <c r="S504" s="608">
        <f t="shared" si="223"/>
        <v>0.97224787240196597</v>
      </c>
      <c r="T504" s="608">
        <f t="shared" si="223"/>
        <v>0.93793715144836276</v>
      </c>
      <c r="U504" s="608">
        <f t="shared" si="223"/>
        <v>0.56534285886692559</v>
      </c>
      <c r="V504" s="608">
        <f t="shared" si="223"/>
        <v>0.31844529121410015</v>
      </c>
      <c r="W504" s="608">
        <f t="shared" si="223"/>
        <v>0.36287432754851179</v>
      </c>
      <c r="X504" s="608">
        <f t="shared" si="223"/>
        <v>0.32988602437857723</v>
      </c>
      <c r="Y504" s="608">
        <f t="shared" si="223"/>
        <v>0.51838988102952233</v>
      </c>
      <c r="Z504" s="608">
        <f t="shared" si="223"/>
        <v>0.50822692332126296</v>
      </c>
      <c r="AA504" s="608">
        <f t="shared" si="223"/>
        <v>0.49826231019320122</v>
      </c>
      <c r="AB504" s="608">
        <f t="shared" si="223"/>
        <v>0.49911414845408231</v>
      </c>
      <c r="AC504" s="608">
        <f t="shared" si="223"/>
        <v>0.49911833154241736</v>
      </c>
      <c r="AD504" s="608">
        <f t="shared" si="223"/>
        <v>0.49911505068289053</v>
      </c>
      <c r="AE504" s="608">
        <f t="shared" si="223"/>
        <v>0</v>
      </c>
      <c r="AF504" s="608">
        <f t="shared" si="223"/>
        <v>0</v>
      </c>
      <c r="AG504" s="608">
        <f t="shared" si="223"/>
        <v>0</v>
      </c>
      <c r="AH504" s="608">
        <f t="shared" si="223"/>
        <v>0</v>
      </c>
      <c r="AI504" s="608">
        <f t="shared" si="223"/>
        <v>0</v>
      </c>
      <c r="AJ504" s="608">
        <f t="shared" si="223"/>
        <v>0</v>
      </c>
      <c r="AK504" s="608">
        <f t="shared" si="223"/>
        <v>0</v>
      </c>
      <c r="AL504" s="608">
        <f t="shared" si="223"/>
        <v>0</v>
      </c>
      <c r="AM504" s="608">
        <f t="shared" si="223"/>
        <v>0</v>
      </c>
      <c r="AN504" s="608">
        <f t="shared" si="223"/>
        <v>0</v>
      </c>
      <c r="AO504" s="608">
        <f t="shared" si="223"/>
        <v>0</v>
      </c>
      <c r="AP504" s="608">
        <f t="shared" si="223"/>
        <v>0</v>
      </c>
      <c r="AQ504" s="608">
        <f t="shared" si="223"/>
        <v>0</v>
      </c>
      <c r="AR504" s="608">
        <f t="shared" si="223"/>
        <v>0</v>
      </c>
      <c r="AS504" s="608">
        <f t="shared" si="223"/>
        <v>0</v>
      </c>
      <c r="AT504" s="608">
        <f t="shared" si="223"/>
        <v>0</v>
      </c>
      <c r="AU504" s="608">
        <f t="shared" si="223"/>
        <v>0</v>
      </c>
      <c r="AV504" s="608">
        <f t="shared" si="223"/>
        <v>0</v>
      </c>
    </row>
    <row r="505" spans="1:48" s="320" customFormat="1" ht="15" customHeight="1">
      <c r="A505" s="351"/>
      <c r="B505" s="134"/>
      <c r="C505" s="322"/>
      <c r="D505" s="724"/>
    </row>
    <row r="506" spans="1:48" s="320" customFormat="1" ht="15" customHeight="1">
      <c r="A506" s="351"/>
      <c r="B506" s="134"/>
      <c r="C506" s="322"/>
      <c r="D506" s="724"/>
      <c r="E506" s="610" t="str">
        <f xml:space="preserve"> InputsCon!E$113</f>
        <v>EPT price and operating surplus trigger</v>
      </c>
      <c r="F506" s="610">
        <f xml:space="preserve"> InputsCon!F$113</f>
        <v>1.25</v>
      </c>
      <c r="G506" s="610" t="str">
        <f xml:space="preserve"> InputsCon!G$113</f>
        <v>ratio</v>
      </c>
    </row>
    <row r="507" spans="1:48" s="320" customFormat="1" ht="15" customHeight="1">
      <c r="A507" s="351"/>
      <c r="B507" s="134"/>
      <c r="C507" s="322"/>
      <c r="D507" s="724"/>
    </row>
    <row r="508" spans="1:48" s="320" customFormat="1" ht="15" customHeight="1">
      <c r="A508" s="351"/>
      <c r="B508" s="134"/>
      <c r="C508" s="322"/>
      <c r="D508" s="724"/>
      <c r="E508" s="320" t="s">
        <v>938</v>
      </c>
      <c r="G508" s="320" t="s">
        <v>23</v>
      </c>
      <c r="L508" s="320">
        <f t="shared" ref="L508:AV508" si="224" xml:space="preserve"> IF(L503 &gt; $F506, 1, 0)</f>
        <v>0</v>
      </c>
      <c r="M508" s="320">
        <f t="shared" si="224"/>
        <v>0</v>
      </c>
      <c r="N508" s="320">
        <f t="shared" si="224"/>
        <v>0</v>
      </c>
      <c r="O508" s="320">
        <f t="shared" si="224"/>
        <v>0</v>
      </c>
      <c r="P508" s="320">
        <f t="shared" si="224"/>
        <v>0</v>
      </c>
      <c r="Q508" s="320">
        <f t="shared" si="224"/>
        <v>0</v>
      </c>
      <c r="R508" s="320">
        <f t="shared" si="224"/>
        <v>0</v>
      </c>
      <c r="S508" s="320">
        <f t="shared" si="224"/>
        <v>0</v>
      </c>
      <c r="T508" s="320">
        <f t="shared" si="224"/>
        <v>0</v>
      </c>
      <c r="U508" s="320">
        <f t="shared" si="224"/>
        <v>0</v>
      </c>
      <c r="V508" s="320">
        <f t="shared" si="224"/>
        <v>0</v>
      </c>
      <c r="W508" s="320">
        <f t="shared" si="224"/>
        <v>0</v>
      </c>
      <c r="X508" s="320">
        <f t="shared" si="224"/>
        <v>0</v>
      </c>
      <c r="Y508" s="320">
        <f t="shared" si="224"/>
        <v>0</v>
      </c>
      <c r="Z508" s="320">
        <f t="shared" si="224"/>
        <v>0</v>
      </c>
      <c r="AA508" s="320">
        <f t="shared" si="224"/>
        <v>0</v>
      </c>
      <c r="AB508" s="320">
        <f t="shared" si="224"/>
        <v>0</v>
      </c>
      <c r="AC508" s="320">
        <f t="shared" si="224"/>
        <v>0</v>
      </c>
      <c r="AD508" s="320">
        <f t="shared" si="224"/>
        <v>0</v>
      </c>
      <c r="AE508" s="320">
        <f t="shared" si="224"/>
        <v>0</v>
      </c>
      <c r="AF508" s="320">
        <f t="shared" si="224"/>
        <v>0</v>
      </c>
      <c r="AG508" s="320">
        <f t="shared" si="224"/>
        <v>0</v>
      </c>
      <c r="AH508" s="320">
        <f t="shared" si="224"/>
        <v>0</v>
      </c>
      <c r="AI508" s="320">
        <f t="shared" si="224"/>
        <v>0</v>
      </c>
      <c r="AJ508" s="320">
        <f t="shared" si="224"/>
        <v>0</v>
      </c>
      <c r="AK508" s="320">
        <f t="shared" si="224"/>
        <v>0</v>
      </c>
      <c r="AL508" s="320">
        <f t="shared" si="224"/>
        <v>0</v>
      </c>
      <c r="AM508" s="320">
        <f t="shared" si="224"/>
        <v>0</v>
      </c>
      <c r="AN508" s="320">
        <f t="shared" si="224"/>
        <v>0</v>
      </c>
      <c r="AO508" s="320">
        <f t="shared" si="224"/>
        <v>0</v>
      </c>
      <c r="AP508" s="320">
        <f t="shared" si="224"/>
        <v>0</v>
      </c>
      <c r="AQ508" s="320">
        <f t="shared" si="224"/>
        <v>0</v>
      </c>
      <c r="AR508" s="320">
        <f t="shared" si="224"/>
        <v>0</v>
      </c>
      <c r="AS508" s="320">
        <f t="shared" si="224"/>
        <v>0</v>
      </c>
      <c r="AT508" s="320">
        <f t="shared" si="224"/>
        <v>0</v>
      </c>
      <c r="AU508" s="320">
        <f t="shared" si="224"/>
        <v>0</v>
      </c>
      <c r="AV508" s="320">
        <f t="shared" si="224"/>
        <v>0</v>
      </c>
    </row>
    <row r="509" spans="1:48" s="320" customFormat="1" ht="15" customHeight="1">
      <c r="A509" s="351"/>
      <c r="B509" s="134"/>
      <c r="C509" s="322"/>
      <c r="D509" s="724"/>
      <c r="E509" s="320" t="s">
        <v>939</v>
      </c>
      <c r="G509" s="320" t="s">
        <v>23</v>
      </c>
      <c r="L509" s="320">
        <f t="shared" ref="L509:AV509" si="225" xml:space="preserve"> IF(L504 &gt; $F506, 1, 0)</f>
        <v>0</v>
      </c>
      <c r="M509" s="320">
        <f t="shared" si="225"/>
        <v>0</v>
      </c>
      <c r="N509" s="320">
        <f t="shared" si="225"/>
        <v>0</v>
      </c>
      <c r="O509" s="320">
        <f t="shared" si="225"/>
        <v>0</v>
      </c>
      <c r="P509" s="320">
        <f t="shared" si="225"/>
        <v>0</v>
      </c>
      <c r="Q509" s="320">
        <f t="shared" si="225"/>
        <v>0</v>
      </c>
      <c r="R509" s="320">
        <f t="shared" si="225"/>
        <v>0</v>
      </c>
      <c r="S509" s="320">
        <f t="shared" si="225"/>
        <v>0</v>
      </c>
      <c r="T509" s="320">
        <f t="shared" si="225"/>
        <v>0</v>
      </c>
      <c r="U509" s="320">
        <f t="shared" si="225"/>
        <v>0</v>
      </c>
      <c r="V509" s="320">
        <f t="shared" si="225"/>
        <v>0</v>
      </c>
      <c r="W509" s="320">
        <f t="shared" si="225"/>
        <v>0</v>
      </c>
      <c r="X509" s="320">
        <f t="shared" si="225"/>
        <v>0</v>
      </c>
      <c r="Y509" s="320">
        <f t="shared" si="225"/>
        <v>0</v>
      </c>
      <c r="Z509" s="320">
        <f t="shared" si="225"/>
        <v>0</v>
      </c>
      <c r="AA509" s="320">
        <f t="shared" si="225"/>
        <v>0</v>
      </c>
      <c r="AB509" s="320">
        <f t="shared" si="225"/>
        <v>0</v>
      </c>
      <c r="AC509" s="320">
        <f t="shared" si="225"/>
        <v>0</v>
      </c>
      <c r="AD509" s="320">
        <f t="shared" si="225"/>
        <v>0</v>
      </c>
      <c r="AE509" s="320">
        <f t="shared" si="225"/>
        <v>0</v>
      </c>
      <c r="AF509" s="320">
        <f t="shared" si="225"/>
        <v>0</v>
      </c>
      <c r="AG509" s="320">
        <f t="shared" si="225"/>
        <v>0</v>
      </c>
      <c r="AH509" s="320">
        <f t="shared" si="225"/>
        <v>0</v>
      </c>
      <c r="AI509" s="320">
        <f t="shared" si="225"/>
        <v>0</v>
      </c>
      <c r="AJ509" s="320">
        <f t="shared" si="225"/>
        <v>0</v>
      </c>
      <c r="AK509" s="320">
        <f t="shared" si="225"/>
        <v>0</v>
      </c>
      <c r="AL509" s="320">
        <f t="shared" si="225"/>
        <v>0</v>
      </c>
      <c r="AM509" s="320">
        <f t="shared" si="225"/>
        <v>0</v>
      </c>
      <c r="AN509" s="320">
        <f t="shared" si="225"/>
        <v>0</v>
      </c>
      <c r="AO509" s="320">
        <f t="shared" si="225"/>
        <v>0</v>
      </c>
      <c r="AP509" s="320">
        <f t="shared" si="225"/>
        <v>0</v>
      </c>
      <c r="AQ509" s="320">
        <f t="shared" si="225"/>
        <v>0</v>
      </c>
      <c r="AR509" s="320">
        <f t="shared" si="225"/>
        <v>0</v>
      </c>
      <c r="AS509" s="320">
        <f t="shared" si="225"/>
        <v>0</v>
      </c>
      <c r="AT509" s="320">
        <f t="shared" si="225"/>
        <v>0</v>
      </c>
      <c r="AU509" s="320">
        <f t="shared" si="225"/>
        <v>0</v>
      </c>
      <c r="AV509" s="320">
        <f t="shared" si="225"/>
        <v>0</v>
      </c>
    </row>
    <row r="510" spans="1:48" s="320" customFormat="1" ht="15" customHeight="1">
      <c r="A510" s="351"/>
      <c r="B510" s="134"/>
      <c r="C510" s="322"/>
      <c r="D510" s="724"/>
    </row>
    <row r="511" spans="1:48" s="320" customFormat="1" ht="15" customHeight="1">
      <c r="A511" s="351"/>
      <c r="B511" s="134"/>
      <c r="C511" s="322" t="s">
        <v>951</v>
      </c>
      <c r="D511" s="724"/>
    </row>
    <row r="512" spans="1:48" s="320" customFormat="1" ht="15" customHeight="1">
      <c r="A512" s="351"/>
      <c r="B512" s="134"/>
      <c r="C512" s="322"/>
      <c r="D512" s="724"/>
      <c r="E512" s="320" t="str">
        <f xml:space="preserve"> E481 &amp; ": scaled by " &amp; F506</f>
        <v>2019 FS Gross operating surplus: Cu (inflation adjustment = no): scaled by 1,25</v>
      </c>
      <c r="G512" s="320" t="s">
        <v>29</v>
      </c>
      <c r="J512" s="320">
        <f xml:space="preserve"> SUM(L512:AV512)</f>
        <v>0</v>
      </c>
      <c r="L512" s="320">
        <f t="shared" ref="L512:AV512" si="226">L481 * $F506 * L508</f>
        <v>0</v>
      </c>
      <c r="M512" s="320">
        <f t="shared" si="226"/>
        <v>0</v>
      </c>
      <c r="N512" s="320">
        <f t="shared" si="226"/>
        <v>0</v>
      </c>
      <c r="O512" s="320">
        <f t="shared" si="226"/>
        <v>0</v>
      </c>
      <c r="P512" s="320">
        <f t="shared" si="226"/>
        <v>0</v>
      </c>
      <c r="Q512" s="320">
        <f t="shared" si="226"/>
        <v>0</v>
      </c>
      <c r="R512" s="320">
        <f t="shared" si="226"/>
        <v>0</v>
      </c>
      <c r="S512" s="320">
        <f t="shared" si="226"/>
        <v>0</v>
      </c>
      <c r="T512" s="320">
        <f t="shared" si="226"/>
        <v>0</v>
      </c>
      <c r="U512" s="320">
        <f t="shared" si="226"/>
        <v>0</v>
      </c>
      <c r="V512" s="320">
        <f t="shared" si="226"/>
        <v>0</v>
      </c>
      <c r="W512" s="320">
        <f t="shared" si="226"/>
        <v>0</v>
      </c>
      <c r="X512" s="320">
        <f t="shared" si="226"/>
        <v>0</v>
      </c>
      <c r="Y512" s="320">
        <f t="shared" si="226"/>
        <v>0</v>
      </c>
      <c r="Z512" s="320">
        <f t="shared" si="226"/>
        <v>0</v>
      </c>
      <c r="AA512" s="320">
        <f t="shared" si="226"/>
        <v>0</v>
      </c>
      <c r="AB512" s="320">
        <f t="shared" si="226"/>
        <v>0</v>
      </c>
      <c r="AC512" s="320">
        <f t="shared" si="226"/>
        <v>0</v>
      </c>
      <c r="AD512" s="320">
        <f t="shared" si="226"/>
        <v>0</v>
      </c>
      <c r="AE512" s="320">
        <f t="shared" si="226"/>
        <v>0</v>
      </c>
      <c r="AF512" s="320">
        <f t="shared" si="226"/>
        <v>0</v>
      </c>
      <c r="AG512" s="320">
        <f t="shared" si="226"/>
        <v>0</v>
      </c>
      <c r="AH512" s="320">
        <f t="shared" si="226"/>
        <v>0</v>
      </c>
      <c r="AI512" s="320">
        <f t="shared" si="226"/>
        <v>0</v>
      </c>
      <c r="AJ512" s="320">
        <f t="shared" si="226"/>
        <v>0</v>
      </c>
      <c r="AK512" s="320">
        <f t="shared" si="226"/>
        <v>0</v>
      </c>
      <c r="AL512" s="320">
        <f t="shared" si="226"/>
        <v>0</v>
      </c>
      <c r="AM512" s="320">
        <f t="shared" si="226"/>
        <v>0</v>
      </c>
      <c r="AN512" s="320">
        <f t="shared" si="226"/>
        <v>0</v>
      </c>
      <c r="AO512" s="320">
        <f t="shared" si="226"/>
        <v>0</v>
      </c>
      <c r="AP512" s="320">
        <f t="shared" si="226"/>
        <v>0</v>
      </c>
      <c r="AQ512" s="320">
        <f t="shared" si="226"/>
        <v>0</v>
      </c>
      <c r="AR512" s="320">
        <f t="shared" si="226"/>
        <v>0</v>
      </c>
      <c r="AS512" s="320">
        <f t="shared" si="226"/>
        <v>0</v>
      </c>
      <c r="AT512" s="320">
        <f t="shared" si="226"/>
        <v>0</v>
      </c>
      <c r="AU512" s="320">
        <f t="shared" si="226"/>
        <v>0</v>
      </c>
      <c r="AV512" s="320">
        <f t="shared" si="226"/>
        <v>0</v>
      </c>
    </row>
    <row r="513" spans="1:48" s="320" customFormat="1" ht="15" customHeight="1">
      <c r="A513" s="351"/>
      <c r="B513" s="134"/>
      <c r="C513" s="322"/>
      <c r="D513" s="724"/>
      <c r="E513" s="320" t="str">
        <f xml:space="preserve"> E482 &amp; ": scaled by " &amp; F506</f>
        <v>2019 FS Gross operating surplus: Co: scaled by 1.25</v>
      </c>
      <c r="G513" s="320" t="s">
        <v>29</v>
      </c>
      <c r="J513" s="320">
        <f xml:space="preserve"> SUM(L513:AV513)</f>
        <v>0</v>
      </c>
      <c r="L513" s="320">
        <f t="shared" ref="L513:AV513" si="227" xml:space="preserve"> L482 * $F506 * L509</f>
        <v>0</v>
      </c>
      <c r="M513" s="320">
        <f t="shared" si="227"/>
        <v>0</v>
      </c>
      <c r="N513" s="320">
        <f t="shared" si="227"/>
        <v>0</v>
      </c>
      <c r="O513" s="320">
        <f t="shared" si="227"/>
        <v>0</v>
      </c>
      <c r="P513" s="320">
        <f t="shared" si="227"/>
        <v>0</v>
      </c>
      <c r="Q513" s="320">
        <f t="shared" si="227"/>
        <v>0</v>
      </c>
      <c r="R513" s="320">
        <f t="shared" si="227"/>
        <v>0</v>
      </c>
      <c r="S513" s="320">
        <f t="shared" si="227"/>
        <v>0</v>
      </c>
      <c r="T513" s="320">
        <f t="shared" si="227"/>
        <v>0</v>
      </c>
      <c r="U513" s="320">
        <f t="shared" si="227"/>
        <v>0</v>
      </c>
      <c r="V513" s="320">
        <f t="shared" si="227"/>
        <v>0</v>
      </c>
      <c r="W513" s="320">
        <f t="shared" si="227"/>
        <v>0</v>
      </c>
      <c r="X513" s="320">
        <f t="shared" si="227"/>
        <v>0</v>
      </c>
      <c r="Y513" s="320">
        <f t="shared" si="227"/>
        <v>0</v>
      </c>
      <c r="Z513" s="320">
        <f t="shared" si="227"/>
        <v>0</v>
      </c>
      <c r="AA513" s="320">
        <f t="shared" si="227"/>
        <v>0</v>
      </c>
      <c r="AB513" s="320">
        <f t="shared" si="227"/>
        <v>0</v>
      </c>
      <c r="AC513" s="320">
        <f t="shared" si="227"/>
        <v>0</v>
      </c>
      <c r="AD513" s="320">
        <f t="shared" si="227"/>
        <v>0</v>
      </c>
      <c r="AE513" s="320">
        <f t="shared" si="227"/>
        <v>0</v>
      </c>
      <c r="AF513" s="320">
        <f t="shared" si="227"/>
        <v>0</v>
      </c>
      <c r="AG513" s="320">
        <f t="shared" si="227"/>
        <v>0</v>
      </c>
      <c r="AH513" s="320">
        <f t="shared" si="227"/>
        <v>0</v>
      </c>
      <c r="AI513" s="320">
        <f t="shared" si="227"/>
        <v>0</v>
      </c>
      <c r="AJ513" s="320">
        <f t="shared" si="227"/>
        <v>0</v>
      </c>
      <c r="AK513" s="320">
        <f t="shared" si="227"/>
        <v>0</v>
      </c>
      <c r="AL513" s="320">
        <f t="shared" si="227"/>
        <v>0</v>
      </c>
      <c r="AM513" s="320">
        <f t="shared" si="227"/>
        <v>0</v>
      </c>
      <c r="AN513" s="320">
        <f t="shared" si="227"/>
        <v>0</v>
      </c>
      <c r="AO513" s="320">
        <f t="shared" si="227"/>
        <v>0</v>
      </c>
      <c r="AP513" s="320">
        <f t="shared" si="227"/>
        <v>0</v>
      </c>
      <c r="AQ513" s="320">
        <f t="shared" si="227"/>
        <v>0</v>
      </c>
      <c r="AR513" s="320">
        <f t="shared" si="227"/>
        <v>0</v>
      </c>
      <c r="AS513" s="320">
        <f t="shared" si="227"/>
        <v>0</v>
      </c>
      <c r="AT513" s="320">
        <f t="shared" si="227"/>
        <v>0</v>
      </c>
      <c r="AU513" s="320">
        <f t="shared" si="227"/>
        <v>0</v>
      </c>
      <c r="AV513" s="320">
        <f t="shared" si="227"/>
        <v>0</v>
      </c>
    </row>
    <row r="514" spans="1:48" s="320" customFormat="1" ht="15" customHeight="1">
      <c r="A514" s="351"/>
      <c r="B514" s="134"/>
      <c r="C514" s="322"/>
      <c r="D514" s="724"/>
    </row>
    <row r="515" spans="1:48" s="320" customFormat="1" ht="15" customHeight="1">
      <c r="A515" s="351"/>
      <c r="B515" s="134"/>
      <c r="C515" s="322" t="s">
        <v>952</v>
      </c>
      <c r="D515" s="724"/>
    </row>
    <row r="516" spans="1:48" s="320" customFormat="1" ht="15" customHeight="1">
      <c r="A516" s="351"/>
      <c r="B516" s="134"/>
      <c r="C516" s="322"/>
      <c r="D516" s="724"/>
      <c r="E516" s="320" t="s">
        <v>953</v>
      </c>
      <c r="G516" s="320" t="s">
        <v>29</v>
      </c>
      <c r="L516" s="320">
        <f t="shared" ref="L516:AV516" si="228" xml:space="preserve"> IF(L508 = 1, L498 - L512, 0)</f>
        <v>0</v>
      </c>
      <c r="M516" s="320">
        <f t="shared" si="228"/>
        <v>0</v>
      </c>
      <c r="N516" s="320">
        <f t="shared" si="228"/>
        <v>0</v>
      </c>
      <c r="O516" s="320">
        <f t="shared" si="228"/>
        <v>0</v>
      </c>
      <c r="P516" s="320">
        <f t="shared" si="228"/>
        <v>0</v>
      </c>
      <c r="Q516" s="320">
        <f t="shared" si="228"/>
        <v>0</v>
      </c>
      <c r="R516" s="320">
        <f t="shared" si="228"/>
        <v>0</v>
      </c>
      <c r="S516" s="320">
        <f t="shared" si="228"/>
        <v>0</v>
      </c>
      <c r="T516" s="320">
        <f t="shared" si="228"/>
        <v>0</v>
      </c>
      <c r="U516" s="320">
        <f t="shared" si="228"/>
        <v>0</v>
      </c>
      <c r="V516" s="320">
        <f t="shared" si="228"/>
        <v>0</v>
      </c>
      <c r="W516" s="320">
        <f t="shared" si="228"/>
        <v>0</v>
      </c>
      <c r="X516" s="320">
        <f t="shared" si="228"/>
        <v>0</v>
      </c>
      <c r="Y516" s="320">
        <f t="shared" si="228"/>
        <v>0</v>
      </c>
      <c r="Z516" s="320">
        <f t="shared" si="228"/>
        <v>0</v>
      </c>
      <c r="AA516" s="320">
        <f xml:space="preserve"> IF(AA508 = 1, AA498 - AA512, 0)</f>
        <v>0</v>
      </c>
      <c r="AB516" s="320">
        <f t="shared" si="228"/>
        <v>0</v>
      </c>
      <c r="AC516" s="320">
        <f t="shared" si="228"/>
        <v>0</v>
      </c>
      <c r="AD516" s="320">
        <f t="shared" si="228"/>
        <v>0</v>
      </c>
      <c r="AE516" s="320">
        <f t="shared" si="228"/>
        <v>0</v>
      </c>
      <c r="AF516" s="320">
        <f t="shared" si="228"/>
        <v>0</v>
      </c>
      <c r="AG516" s="320">
        <f t="shared" si="228"/>
        <v>0</v>
      </c>
      <c r="AH516" s="320">
        <f t="shared" si="228"/>
        <v>0</v>
      </c>
      <c r="AI516" s="320">
        <f t="shared" si="228"/>
        <v>0</v>
      </c>
      <c r="AJ516" s="320">
        <f t="shared" si="228"/>
        <v>0</v>
      </c>
      <c r="AK516" s="320">
        <f t="shared" si="228"/>
        <v>0</v>
      </c>
      <c r="AL516" s="320">
        <f t="shared" si="228"/>
        <v>0</v>
      </c>
      <c r="AM516" s="320">
        <f t="shared" si="228"/>
        <v>0</v>
      </c>
      <c r="AN516" s="320">
        <f t="shared" si="228"/>
        <v>0</v>
      </c>
      <c r="AO516" s="320">
        <f t="shared" si="228"/>
        <v>0</v>
      </c>
      <c r="AP516" s="320">
        <f t="shared" si="228"/>
        <v>0</v>
      </c>
      <c r="AQ516" s="320">
        <f t="shared" si="228"/>
        <v>0</v>
      </c>
      <c r="AR516" s="320">
        <f t="shared" si="228"/>
        <v>0</v>
      </c>
      <c r="AS516" s="320">
        <f t="shared" si="228"/>
        <v>0</v>
      </c>
      <c r="AT516" s="320">
        <f t="shared" si="228"/>
        <v>0</v>
      </c>
      <c r="AU516" s="320">
        <f t="shared" si="228"/>
        <v>0</v>
      </c>
      <c r="AV516" s="320">
        <f t="shared" si="228"/>
        <v>0</v>
      </c>
    </row>
    <row r="517" spans="1:48" s="320" customFormat="1" ht="15" customHeight="1">
      <c r="A517" s="351"/>
      <c r="B517" s="134"/>
      <c r="C517" s="322"/>
      <c r="D517" s="724"/>
      <c r="E517" s="320" t="s">
        <v>954</v>
      </c>
      <c r="G517" s="320" t="s">
        <v>29</v>
      </c>
      <c r="L517" s="320">
        <f t="shared" ref="L517:AV517" si="229" xml:space="preserve"> IF(L509 = 1, L499 - L513, 0)</f>
        <v>0</v>
      </c>
      <c r="M517" s="320">
        <f t="shared" si="229"/>
        <v>0</v>
      </c>
      <c r="N517" s="320">
        <f t="shared" si="229"/>
        <v>0</v>
      </c>
      <c r="O517" s="320">
        <f t="shared" si="229"/>
        <v>0</v>
      </c>
      <c r="P517" s="320">
        <f t="shared" si="229"/>
        <v>0</v>
      </c>
      <c r="Q517" s="320">
        <f t="shared" si="229"/>
        <v>0</v>
      </c>
      <c r="R517" s="320">
        <f t="shared" si="229"/>
        <v>0</v>
      </c>
      <c r="S517" s="320">
        <f t="shared" si="229"/>
        <v>0</v>
      </c>
      <c r="T517" s="320">
        <f t="shared" si="229"/>
        <v>0</v>
      </c>
      <c r="U517" s="320">
        <f t="shared" si="229"/>
        <v>0</v>
      </c>
      <c r="V517" s="320">
        <f t="shared" si="229"/>
        <v>0</v>
      </c>
      <c r="W517" s="320">
        <f t="shared" si="229"/>
        <v>0</v>
      </c>
      <c r="X517" s="320">
        <f t="shared" si="229"/>
        <v>0</v>
      </c>
      <c r="Y517" s="320">
        <f t="shared" si="229"/>
        <v>0</v>
      </c>
      <c r="Z517" s="320">
        <f t="shared" si="229"/>
        <v>0</v>
      </c>
      <c r="AA517" s="320">
        <f t="shared" si="229"/>
        <v>0</v>
      </c>
      <c r="AB517" s="320">
        <f t="shared" si="229"/>
        <v>0</v>
      </c>
      <c r="AC517" s="320">
        <f t="shared" si="229"/>
        <v>0</v>
      </c>
      <c r="AD517" s="320">
        <f t="shared" si="229"/>
        <v>0</v>
      </c>
      <c r="AE517" s="320">
        <f t="shared" si="229"/>
        <v>0</v>
      </c>
      <c r="AF517" s="320">
        <f t="shared" si="229"/>
        <v>0</v>
      </c>
      <c r="AG517" s="320">
        <f t="shared" si="229"/>
        <v>0</v>
      </c>
      <c r="AH517" s="320">
        <f t="shared" si="229"/>
        <v>0</v>
      </c>
      <c r="AI517" s="320">
        <f t="shared" si="229"/>
        <v>0</v>
      </c>
      <c r="AJ517" s="320">
        <f t="shared" si="229"/>
        <v>0</v>
      </c>
      <c r="AK517" s="320">
        <f t="shared" si="229"/>
        <v>0</v>
      </c>
      <c r="AL517" s="320">
        <f t="shared" si="229"/>
        <v>0</v>
      </c>
      <c r="AM517" s="320">
        <f t="shared" si="229"/>
        <v>0</v>
      </c>
      <c r="AN517" s="320">
        <f t="shared" si="229"/>
        <v>0</v>
      </c>
      <c r="AO517" s="320">
        <f t="shared" si="229"/>
        <v>0</v>
      </c>
      <c r="AP517" s="320">
        <f t="shared" si="229"/>
        <v>0</v>
      </c>
      <c r="AQ517" s="320">
        <f t="shared" si="229"/>
        <v>0</v>
      </c>
      <c r="AR517" s="320">
        <f t="shared" si="229"/>
        <v>0</v>
      </c>
      <c r="AS517" s="320">
        <f t="shared" si="229"/>
        <v>0</v>
      </c>
      <c r="AT517" s="320">
        <f t="shared" si="229"/>
        <v>0</v>
      </c>
      <c r="AU517" s="320">
        <f t="shared" si="229"/>
        <v>0</v>
      </c>
      <c r="AV517" s="320">
        <f t="shared" si="229"/>
        <v>0</v>
      </c>
    </row>
    <row r="518" spans="1:48" s="320" customFormat="1" ht="15" customHeight="1">
      <c r="A518" s="351"/>
      <c r="B518" s="134"/>
      <c r="C518" s="322"/>
      <c r="D518" s="724"/>
    </row>
    <row r="519" spans="1:48" s="320" customFormat="1" ht="15" customHeight="1">
      <c r="A519" s="351"/>
      <c r="B519" s="134"/>
      <c r="C519" s="322" t="s">
        <v>955</v>
      </c>
      <c r="D519" s="724"/>
    </row>
    <row r="520" spans="1:48" s="320" customFormat="1" ht="15" customHeight="1">
      <c r="A520" s="351"/>
      <c r="B520" s="134"/>
      <c r="C520" s="322"/>
      <c r="D520" s="724"/>
      <c r="E520" s="132" t="str">
        <f xml:space="preserve"> InputsCon!E$115</f>
        <v>Excess Profits Tax applied (1 = yes)</v>
      </c>
      <c r="F520" s="132">
        <f xml:space="preserve"> InputsCon!F$115</f>
        <v>1</v>
      </c>
      <c r="G520" s="132" t="str">
        <f xml:space="preserve"> InputsCon!G$115</f>
        <v>flag</v>
      </c>
    </row>
    <row r="521" spans="1:48" s="320" customFormat="1" ht="15" customHeight="1">
      <c r="A521" s="351"/>
      <c r="B521" s="134"/>
      <c r="C521" s="322"/>
      <c r="D521" s="724"/>
      <c r="E521" s="320" t="str">
        <f xml:space="preserve"> E516 &amp; ": base for EPT"</f>
        <v>Act minus scaled OS: Cu: base for EPT</v>
      </c>
      <c r="G521" s="320" t="str">
        <f xml:space="preserve"> G516</f>
        <v>$ mn</v>
      </c>
      <c r="J521" s="320">
        <f xml:space="preserve"> SUM(L521:AV521)</f>
        <v>0</v>
      </c>
      <c r="L521" s="320">
        <f>L516 * ( L516 &gt; 0) * $F520</f>
        <v>0</v>
      </c>
      <c r="M521" s="320">
        <f t="shared" ref="M521:AV521" si="230">M516 * ( M516 &gt; 0) * $F520</f>
        <v>0</v>
      </c>
      <c r="N521" s="320">
        <f t="shared" si="230"/>
        <v>0</v>
      </c>
      <c r="O521" s="320">
        <f t="shared" si="230"/>
        <v>0</v>
      </c>
      <c r="P521" s="320">
        <f t="shared" si="230"/>
        <v>0</v>
      </c>
      <c r="Q521" s="320">
        <f t="shared" si="230"/>
        <v>0</v>
      </c>
      <c r="R521" s="320">
        <f t="shared" si="230"/>
        <v>0</v>
      </c>
      <c r="S521" s="320">
        <f t="shared" si="230"/>
        <v>0</v>
      </c>
      <c r="T521" s="320">
        <f t="shared" si="230"/>
        <v>0</v>
      </c>
      <c r="U521" s="320">
        <f t="shared" si="230"/>
        <v>0</v>
      </c>
      <c r="V521" s="320">
        <f t="shared" si="230"/>
        <v>0</v>
      </c>
      <c r="W521" s="320">
        <f t="shared" si="230"/>
        <v>0</v>
      </c>
      <c r="X521" s="320">
        <f t="shared" si="230"/>
        <v>0</v>
      </c>
      <c r="Y521" s="320">
        <f t="shared" si="230"/>
        <v>0</v>
      </c>
      <c r="Z521" s="320">
        <f t="shared" si="230"/>
        <v>0</v>
      </c>
      <c r="AA521" s="320">
        <f t="shared" si="230"/>
        <v>0</v>
      </c>
      <c r="AB521" s="320">
        <f t="shared" si="230"/>
        <v>0</v>
      </c>
      <c r="AC521" s="320">
        <f t="shared" si="230"/>
        <v>0</v>
      </c>
      <c r="AD521" s="320">
        <f t="shared" si="230"/>
        <v>0</v>
      </c>
      <c r="AE521" s="320">
        <f t="shared" si="230"/>
        <v>0</v>
      </c>
      <c r="AF521" s="320">
        <f t="shared" si="230"/>
        <v>0</v>
      </c>
      <c r="AG521" s="320">
        <f t="shared" si="230"/>
        <v>0</v>
      </c>
      <c r="AH521" s="320">
        <f t="shared" si="230"/>
        <v>0</v>
      </c>
      <c r="AI521" s="320">
        <f t="shared" si="230"/>
        <v>0</v>
      </c>
      <c r="AJ521" s="320">
        <f t="shared" si="230"/>
        <v>0</v>
      </c>
      <c r="AK521" s="320">
        <f t="shared" si="230"/>
        <v>0</v>
      </c>
      <c r="AL521" s="320">
        <f t="shared" si="230"/>
        <v>0</v>
      </c>
      <c r="AM521" s="320">
        <f t="shared" si="230"/>
        <v>0</v>
      </c>
      <c r="AN521" s="320">
        <f t="shared" si="230"/>
        <v>0</v>
      </c>
      <c r="AO521" s="320">
        <f t="shared" si="230"/>
        <v>0</v>
      </c>
      <c r="AP521" s="320">
        <f t="shared" si="230"/>
        <v>0</v>
      </c>
      <c r="AQ521" s="320">
        <f t="shared" si="230"/>
        <v>0</v>
      </c>
      <c r="AR521" s="320">
        <f t="shared" si="230"/>
        <v>0</v>
      </c>
      <c r="AS521" s="320">
        <f t="shared" si="230"/>
        <v>0</v>
      </c>
      <c r="AT521" s="320">
        <f t="shared" si="230"/>
        <v>0</v>
      </c>
      <c r="AU521" s="320">
        <f t="shared" si="230"/>
        <v>0</v>
      </c>
      <c r="AV521" s="320">
        <f t="shared" si="230"/>
        <v>0</v>
      </c>
    </row>
    <row r="522" spans="1:48" s="320" customFormat="1" ht="15" customHeight="1">
      <c r="A522" s="351"/>
      <c r="B522" s="134"/>
      <c r="C522" s="322"/>
      <c r="D522" s="724"/>
      <c r="E522" s="320" t="str">
        <f xml:space="preserve"> E517 &amp; ": base for EPT"</f>
        <v>Act minus scaled OS: Co: base for EPT</v>
      </c>
      <c r="G522" s="320" t="str">
        <f xml:space="preserve"> G517</f>
        <v>$ mn</v>
      </c>
      <c r="J522" s="320">
        <f xml:space="preserve"> SUM(L522:AV522)</f>
        <v>0</v>
      </c>
      <c r="L522" s="320">
        <f t="shared" ref="L522:AV522" si="231">L517 * ( L517 &gt; 0) * $F520</f>
        <v>0</v>
      </c>
      <c r="M522" s="320">
        <f t="shared" si="231"/>
        <v>0</v>
      </c>
      <c r="N522" s="320">
        <f t="shared" si="231"/>
        <v>0</v>
      </c>
      <c r="O522" s="320">
        <f t="shared" si="231"/>
        <v>0</v>
      </c>
      <c r="P522" s="320">
        <f t="shared" si="231"/>
        <v>0</v>
      </c>
      <c r="Q522" s="320">
        <f t="shared" si="231"/>
        <v>0</v>
      </c>
      <c r="R522" s="320">
        <f t="shared" si="231"/>
        <v>0</v>
      </c>
      <c r="S522" s="320">
        <f t="shared" si="231"/>
        <v>0</v>
      </c>
      <c r="T522" s="320">
        <f t="shared" si="231"/>
        <v>0</v>
      </c>
      <c r="U522" s="320">
        <f t="shared" si="231"/>
        <v>0</v>
      </c>
      <c r="V522" s="320">
        <f t="shared" si="231"/>
        <v>0</v>
      </c>
      <c r="W522" s="320">
        <f t="shared" si="231"/>
        <v>0</v>
      </c>
      <c r="X522" s="320">
        <f t="shared" si="231"/>
        <v>0</v>
      </c>
      <c r="Y522" s="320">
        <f t="shared" si="231"/>
        <v>0</v>
      </c>
      <c r="Z522" s="320">
        <f t="shared" si="231"/>
        <v>0</v>
      </c>
      <c r="AA522" s="320">
        <f t="shared" si="231"/>
        <v>0</v>
      </c>
      <c r="AB522" s="320">
        <f t="shared" si="231"/>
        <v>0</v>
      </c>
      <c r="AC522" s="320">
        <f t="shared" si="231"/>
        <v>0</v>
      </c>
      <c r="AD522" s="320">
        <f t="shared" si="231"/>
        <v>0</v>
      </c>
      <c r="AE522" s="320">
        <f t="shared" si="231"/>
        <v>0</v>
      </c>
      <c r="AF522" s="320">
        <f t="shared" si="231"/>
        <v>0</v>
      </c>
      <c r="AG522" s="320">
        <f t="shared" si="231"/>
        <v>0</v>
      </c>
      <c r="AH522" s="320">
        <f t="shared" si="231"/>
        <v>0</v>
      </c>
      <c r="AI522" s="320">
        <f t="shared" si="231"/>
        <v>0</v>
      </c>
      <c r="AJ522" s="320">
        <f t="shared" si="231"/>
        <v>0</v>
      </c>
      <c r="AK522" s="320">
        <f t="shared" si="231"/>
        <v>0</v>
      </c>
      <c r="AL522" s="320">
        <f t="shared" si="231"/>
        <v>0</v>
      </c>
      <c r="AM522" s="320">
        <f t="shared" si="231"/>
        <v>0</v>
      </c>
      <c r="AN522" s="320">
        <f t="shared" si="231"/>
        <v>0</v>
      </c>
      <c r="AO522" s="320">
        <f t="shared" si="231"/>
        <v>0</v>
      </c>
      <c r="AP522" s="320">
        <f t="shared" si="231"/>
        <v>0</v>
      </c>
      <c r="AQ522" s="320">
        <f t="shared" si="231"/>
        <v>0</v>
      </c>
      <c r="AR522" s="320">
        <f t="shared" si="231"/>
        <v>0</v>
      </c>
      <c r="AS522" s="320">
        <f t="shared" si="231"/>
        <v>0</v>
      </c>
      <c r="AT522" s="320">
        <f t="shared" si="231"/>
        <v>0</v>
      </c>
      <c r="AU522" s="320">
        <f t="shared" si="231"/>
        <v>0</v>
      </c>
      <c r="AV522" s="320">
        <f t="shared" si="231"/>
        <v>0</v>
      </c>
    </row>
    <row r="523" spans="1:48" s="320" customFormat="1" ht="15" customHeight="1">
      <c r="A523" s="351"/>
      <c r="B523" s="134"/>
      <c r="C523" s="322"/>
      <c r="D523" s="724"/>
      <c r="E523" s="324" t="s">
        <v>961</v>
      </c>
      <c r="F523" s="324"/>
      <c r="G523" s="324" t="s">
        <v>29</v>
      </c>
      <c r="H523" s="324"/>
      <c r="I523" s="324"/>
      <c r="J523" s="324">
        <f xml:space="preserve"> SUM(L523:AV523)</f>
        <v>0</v>
      </c>
      <c r="K523" s="324"/>
      <c r="L523" s="324">
        <f t="shared" ref="L523:AV523" si="232" xml:space="preserve"> SUM(L521:L522)</f>
        <v>0</v>
      </c>
      <c r="M523" s="324">
        <f t="shared" si="232"/>
        <v>0</v>
      </c>
      <c r="N523" s="324">
        <f t="shared" si="232"/>
        <v>0</v>
      </c>
      <c r="O523" s="324">
        <f t="shared" si="232"/>
        <v>0</v>
      </c>
      <c r="P523" s="324">
        <f t="shared" si="232"/>
        <v>0</v>
      </c>
      <c r="Q523" s="324">
        <f t="shared" si="232"/>
        <v>0</v>
      </c>
      <c r="R523" s="324">
        <f t="shared" si="232"/>
        <v>0</v>
      </c>
      <c r="S523" s="324">
        <f t="shared" si="232"/>
        <v>0</v>
      </c>
      <c r="T523" s="324">
        <f t="shared" si="232"/>
        <v>0</v>
      </c>
      <c r="U523" s="324">
        <f t="shared" si="232"/>
        <v>0</v>
      </c>
      <c r="V523" s="324">
        <f t="shared" si="232"/>
        <v>0</v>
      </c>
      <c r="W523" s="324">
        <f t="shared" si="232"/>
        <v>0</v>
      </c>
      <c r="X523" s="324">
        <f t="shared" si="232"/>
        <v>0</v>
      </c>
      <c r="Y523" s="324">
        <f t="shared" si="232"/>
        <v>0</v>
      </c>
      <c r="Z523" s="324">
        <f t="shared" si="232"/>
        <v>0</v>
      </c>
      <c r="AA523" s="324">
        <f t="shared" si="232"/>
        <v>0</v>
      </c>
      <c r="AB523" s="324">
        <f t="shared" si="232"/>
        <v>0</v>
      </c>
      <c r="AC523" s="324">
        <f t="shared" si="232"/>
        <v>0</v>
      </c>
      <c r="AD523" s="324">
        <f t="shared" si="232"/>
        <v>0</v>
      </c>
      <c r="AE523" s="324">
        <f t="shared" si="232"/>
        <v>0</v>
      </c>
      <c r="AF523" s="324">
        <f t="shared" si="232"/>
        <v>0</v>
      </c>
      <c r="AG523" s="324">
        <f t="shared" si="232"/>
        <v>0</v>
      </c>
      <c r="AH523" s="324">
        <f t="shared" si="232"/>
        <v>0</v>
      </c>
      <c r="AI523" s="324">
        <f t="shared" si="232"/>
        <v>0</v>
      </c>
      <c r="AJ523" s="324">
        <f t="shared" si="232"/>
        <v>0</v>
      </c>
      <c r="AK523" s="324">
        <f t="shared" si="232"/>
        <v>0</v>
      </c>
      <c r="AL523" s="324">
        <f t="shared" si="232"/>
        <v>0</v>
      </c>
      <c r="AM523" s="324">
        <f t="shared" si="232"/>
        <v>0</v>
      </c>
      <c r="AN523" s="324">
        <f t="shared" si="232"/>
        <v>0</v>
      </c>
      <c r="AO523" s="324">
        <f t="shared" si="232"/>
        <v>0</v>
      </c>
      <c r="AP523" s="324">
        <f t="shared" si="232"/>
        <v>0</v>
      </c>
      <c r="AQ523" s="324">
        <f t="shared" si="232"/>
        <v>0</v>
      </c>
      <c r="AR523" s="324">
        <f t="shared" si="232"/>
        <v>0</v>
      </c>
      <c r="AS523" s="324">
        <f t="shared" si="232"/>
        <v>0</v>
      </c>
      <c r="AT523" s="324">
        <f t="shared" si="232"/>
        <v>0</v>
      </c>
      <c r="AU523" s="324">
        <f t="shared" si="232"/>
        <v>0</v>
      </c>
      <c r="AV523" s="324">
        <f t="shared" si="232"/>
        <v>0</v>
      </c>
    </row>
    <row r="524" spans="1:48" s="320" customFormat="1" ht="15" customHeight="1">
      <c r="A524" s="351"/>
      <c r="B524" s="134"/>
      <c r="C524" s="322"/>
      <c r="D524" s="724"/>
    </row>
    <row r="525" spans="1:48" s="320" customFormat="1" ht="15" customHeight="1">
      <c r="A525" s="351"/>
      <c r="B525" s="134"/>
      <c r="C525" s="322"/>
      <c r="D525" s="724"/>
      <c r="E525" s="186" t="str">
        <f xml:space="preserve"> InputsCon!E$114</f>
        <v>EPT rate</v>
      </c>
      <c r="F525" s="186">
        <f xml:space="preserve"> InputsCon!F$114</f>
        <v>0.5</v>
      </c>
      <c r="G525" s="186" t="str">
        <f xml:space="preserve"> InputsCon!G$114</f>
        <v>%</v>
      </c>
    </row>
    <row r="526" spans="1:48" s="320" customFormat="1" ht="15" customHeight="1">
      <c r="A526" s="351"/>
      <c r="B526" s="134"/>
      <c r="C526" s="322"/>
      <c r="D526" s="724"/>
    </row>
    <row r="527" spans="1:48" s="320" customFormat="1" ht="15" customHeight="1">
      <c r="A527" s="351"/>
      <c r="B527" s="134"/>
      <c r="C527" s="322" t="s">
        <v>957</v>
      </c>
      <c r="D527" s="724"/>
    </row>
    <row r="528" spans="1:48" s="320" customFormat="1" ht="15" customHeight="1">
      <c r="A528" s="351"/>
      <c r="B528" s="134"/>
      <c r="C528" s="322"/>
      <c r="D528" s="724"/>
      <c r="E528" s="320" t="s">
        <v>958</v>
      </c>
      <c r="G528" s="320" t="s">
        <v>29</v>
      </c>
      <c r="J528" s="320">
        <f xml:space="preserve"> SUM(L528:AV528)</f>
        <v>0</v>
      </c>
      <c r="L528" s="320">
        <f t="shared" ref="L528:AV528" si="233" xml:space="preserve"> L521 * $F525</f>
        <v>0</v>
      </c>
      <c r="M528" s="320">
        <f t="shared" si="233"/>
        <v>0</v>
      </c>
      <c r="N528" s="320">
        <f t="shared" si="233"/>
        <v>0</v>
      </c>
      <c r="O528" s="320">
        <f t="shared" si="233"/>
        <v>0</v>
      </c>
      <c r="P528" s="320">
        <f t="shared" si="233"/>
        <v>0</v>
      </c>
      <c r="Q528" s="320">
        <f t="shared" si="233"/>
        <v>0</v>
      </c>
      <c r="R528" s="320">
        <f t="shared" si="233"/>
        <v>0</v>
      </c>
      <c r="S528" s="320">
        <f t="shared" si="233"/>
        <v>0</v>
      </c>
      <c r="T528" s="320">
        <f t="shared" si="233"/>
        <v>0</v>
      </c>
      <c r="U528" s="320">
        <f t="shared" si="233"/>
        <v>0</v>
      </c>
      <c r="V528" s="320">
        <f t="shared" si="233"/>
        <v>0</v>
      </c>
      <c r="W528" s="320">
        <f t="shared" si="233"/>
        <v>0</v>
      </c>
      <c r="X528" s="320">
        <f t="shared" si="233"/>
        <v>0</v>
      </c>
      <c r="Y528" s="320">
        <f t="shared" si="233"/>
        <v>0</v>
      </c>
      <c r="Z528" s="320">
        <f t="shared" si="233"/>
        <v>0</v>
      </c>
      <c r="AA528" s="320">
        <f t="shared" si="233"/>
        <v>0</v>
      </c>
      <c r="AB528" s="320">
        <f t="shared" si="233"/>
        <v>0</v>
      </c>
      <c r="AC528" s="320">
        <f t="shared" si="233"/>
        <v>0</v>
      </c>
      <c r="AD528" s="320">
        <f t="shared" si="233"/>
        <v>0</v>
      </c>
      <c r="AE528" s="320">
        <f t="shared" si="233"/>
        <v>0</v>
      </c>
      <c r="AF528" s="320">
        <f t="shared" si="233"/>
        <v>0</v>
      </c>
      <c r="AG528" s="320">
        <f t="shared" si="233"/>
        <v>0</v>
      </c>
      <c r="AH528" s="320">
        <f t="shared" si="233"/>
        <v>0</v>
      </c>
      <c r="AI528" s="320">
        <f t="shared" si="233"/>
        <v>0</v>
      </c>
      <c r="AJ528" s="320">
        <f t="shared" si="233"/>
        <v>0</v>
      </c>
      <c r="AK528" s="320">
        <f t="shared" si="233"/>
        <v>0</v>
      </c>
      <c r="AL528" s="320">
        <f t="shared" si="233"/>
        <v>0</v>
      </c>
      <c r="AM528" s="320">
        <f t="shared" si="233"/>
        <v>0</v>
      </c>
      <c r="AN528" s="320">
        <f t="shared" si="233"/>
        <v>0</v>
      </c>
      <c r="AO528" s="320">
        <f t="shared" si="233"/>
        <v>0</v>
      </c>
      <c r="AP528" s="320">
        <f t="shared" si="233"/>
        <v>0</v>
      </c>
      <c r="AQ528" s="320">
        <f t="shared" si="233"/>
        <v>0</v>
      </c>
      <c r="AR528" s="320">
        <f t="shared" si="233"/>
        <v>0</v>
      </c>
      <c r="AS528" s="320">
        <f t="shared" si="233"/>
        <v>0</v>
      </c>
      <c r="AT528" s="320">
        <f t="shared" si="233"/>
        <v>0</v>
      </c>
      <c r="AU528" s="320">
        <f t="shared" si="233"/>
        <v>0</v>
      </c>
      <c r="AV528" s="320">
        <f t="shared" si="233"/>
        <v>0</v>
      </c>
    </row>
    <row r="529" spans="1:48" s="320" customFormat="1" ht="15" customHeight="1">
      <c r="A529" s="351"/>
      <c r="B529" s="134"/>
      <c r="C529" s="322"/>
      <c r="D529" s="724"/>
      <c r="E529" s="320" t="s">
        <v>959</v>
      </c>
      <c r="G529" s="320" t="s">
        <v>29</v>
      </c>
      <c r="J529" s="320">
        <f xml:space="preserve"> SUM(L529:AV529)</f>
        <v>0</v>
      </c>
      <c r="L529" s="320">
        <f t="shared" ref="L529:AV529" si="234" xml:space="preserve"> L522 * $F525</f>
        <v>0</v>
      </c>
      <c r="M529" s="320">
        <f t="shared" si="234"/>
        <v>0</v>
      </c>
      <c r="N529" s="320">
        <f t="shared" si="234"/>
        <v>0</v>
      </c>
      <c r="O529" s="320">
        <f t="shared" si="234"/>
        <v>0</v>
      </c>
      <c r="P529" s="320">
        <f t="shared" si="234"/>
        <v>0</v>
      </c>
      <c r="Q529" s="320">
        <f t="shared" si="234"/>
        <v>0</v>
      </c>
      <c r="R529" s="320">
        <f t="shared" si="234"/>
        <v>0</v>
      </c>
      <c r="S529" s="320">
        <f t="shared" si="234"/>
        <v>0</v>
      </c>
      <c r="T529" s="320">
        <f t="shared" si="234"/>
        <v>0</v>
      </c>
      <c r="U529" s="320">
        <f t="shared" si="234"/>
        <v>0</v>
      </c>
      <c r="V529" s="320">
        <f t="shared" si="234"/>
        <v>0</v>
      </c>
      <c r="W529" s="320">
        <f t="shared" si="234"/>
        <v>0</v>
      </c>
      <c r="X529" s="320">
        <f t="shared" si="234"/>
        <v>0</v>
      </c>
      <c r="Y529" s="320">
        <f t="shared" si="234"/>
        <v>0</v>
      </c>
      <c r="Z529" s="320">
        <f t="shared" si="234"/>
        <v>0</v>
      </c>
      <c r="AA529" s="320">
        <f t="shared" si="234"/>
        <v>0</v>
      </c>
      <c r="AB529" s="320">
        <f t="shared" si="234"/>
        <v>0</v>
      </c>
      <c r="AC529" s="320">
        <f t="shared" si="234"/>
        <v>0</v>
      </c>
      <c r="AD529" s="320">
        <f t="shared" si="234"/>
        <v>0</v>
      </c>
      <c r="AE529" s="320">
        <f t="shared" si="234"/>
        <v>0</v>
      </c>
      <c r="AF529" s="320">
        <f t="shared" si="234"/>
        <v>0</v>
      </c>
      <c r="AG529" s="320">
        <f t="shared" si="234"/>
        <v>0</v>
      </c>
      <c r="AH529" s="320">
        <f t="shared" si="234"/>
        <v>0</v>
      </c>
      <c r="AI529" s="320">
        <f t="shared" si="234"/>
        <v>0</v>
      </c>
      <c r="AJ529" s="320">
        <f t="shared" si="234"/>
        <v>0</v>
      </c>
      <c r="AK529" s="320">
        <f t="shared" si="234"/>
        <v>0</v>
      </c>
      <c r="AL529" s="320">
        <f t="shared" si="234"/>
        <v>0</v>
      </c>
      <c r="AM529" s="320">
        <f t="shared" si="234"/>
        <v>0</v>
      </c>
      <c r="AN529" s="320">
        <f t="shared" si="234"/>
        <v>0</v>
      </c>
      <c r="AO529" s="320">
        <f t="shared" si="234"/>
        <v>0</v>
      </c>
      <c r="AP529" s="320">
        <f t="shared" si="234"/>
        <v>0</v>
      </c>
      <c r="AQ529" s="320">
        <f t="shared" si="234"/>
        <v>0</v>
      </c>
      <c r="AR529" s="320">
        <f t="shared" si="234"/>
        <v>0</v>
      </c>
      <c r="AS529" s="320">
        <f t="shared" si="234"/>
        <v>0</v>
      </c>
      <c r="AT529" s="320">
        <f t="shared" si="234"/>
        <v>0</v>
      </c>
      <c r="AU529" s="320">
        <f t="shared" si="234"/>
        <v>0</v>
      </c>
      <c r="AV529" s="320">
        <f t="shared" si="234"/>
        <v>0</v>
      </c>
    </row>
    <row r="530" spans="1:48" s="308" customFormat="1" ht="15" customHeight="1">
      <c r="A530" s="462"/>
      <c r="B530" s="463"/>
      <c r="C530" s="464"/>
      <c r="D530" s="328"/>
      <c r="E530" s="330" t="s">
        <v>960</v>
      </c>
      <c r="F530" s="330"/>
      <c r="G530" s="330" t="s">
        <v>29</v>
      </c>
      <c r="H530" s="330"/>
      <c r="I530" s="330"/>
      <c r="J530" s="330">
        <f xml:space="preserve"> SUM(L530:AV530)</f>
        <v>0</v>
      </c>
      <c r="K530" s="330"/>
      <c r="L530" s="330">
        <f t="shared" ref="L530:AV530" si="235">SUM(L528:L529)</f>
        <v>0</v>
      </c>
      <c r="M530" s="330">
        <f t="shared" si="235"/>
        <v>0</v>
      </c>
      <c r="N530" s="330">
        <f t="shared" si="235"/>
        <v>0</v>
      </c>
      <c r="O530" s="330">
        <f t="shared" si="235"/>
        <v>0</v>
      </c>
      <c r="P530" s="330">
        <f t="shared" si="235"/>
        <v>0</v>
      </c>
      <c r="Q530" s="330">
        <f t="shared" si="235"/>
        <v>0</v>
      </c>
      <c r="R530" s="330">
        <f t="shared" si="235"/>
        <v>0</v>
      </c>
      <c r="S530" s="330">
        <f t="shared" si="235"/>
        <v>0</v>
      </c>
      <c r="T530" s="330">
        <f t="shared" si="235"/>
        <v>0</v>
      </c>
      <c r="U530" s="330">
        <f t="shared" si="235"/>
        <v>0</v>
      </c>
      <c r="V530" s="330">
        <f t="shared" si="235"/>
        <v>0</v>
      </c>
      <c r="W530" s="330">
        <f t="shared" si="235"/>
        <v>0</v>
      </c>
      <c r="X530" s="330">
        <f t="shared" si="235"/>
        <v>0</v>
      </c>
      <c r="Y530" s="330">
        <f t="shared" si="235"/>
        <v>0</v>
      </c>
      <c r="Z530" s="330">
        <f t="shared" si="235"/>
        <v>0</v>
      </c>
      <c r="AA530" s="330">
        <f t="shared" si="235"/>
        <v>0</v>
      </c>
      <c r="AB530" s="330">
        <f t="shared" si="235"/>
        <v>0</v>
      </c>
      <c r="AC530" s="330">
        <f t="shared" si="235"/>
        <v>0</v>
      </c>
      <c r="AD530" s="330">
        <f t="shared" si="235"/>
        <v>0</v>
      </c>
      <c r="AE530" s="330">
        <f t="shared" si="235"/>
        <v>0</v>
      </c>
      <c r="AF530" s="330">
        <f t="shared" si="235"/>
        <v>0</v>
      </c>
      <c r="AG530" s="330">
        <f t="shared" si="235"/>
        <v>0</v>
      </c>
      <c r="AH530" s="330">
        <f t="shared" si="235"/>
        <v>0</v>
      </c>
      <c r="AI530" s="330">
        <f t="shared" si="235"/>
        <v>0</v>
      </c>
      <c r="AJ530" s="330">
        <f t="shared" si="235"/>
        <v>0</v>
      </c>
      <c r="AK530" s="330">
        <f t="shared" si="235"/>
        <v>0</v>
      </c>
      <c r="AL530" s="330">
        <f t="shared" si="235"/>
        <v>0</v>
      </c>
      <c r="AM530" s="330">
        <f t="shared" si="235"/>
        <v>0</v>
      </c>
      <c r="AN530" s="330">
        <f t="shared" si="235"/>
        <v>0</v>
      </c>
      <c r="AO530" s="330">
        <f t="shared" si="235"/>
        <v>0</v>
      </c>
      <c r="AP530" s="330">
        <f t="shared" si="235"/>
        <v>0</v>
      </c>
      <c r="AQ530" s="330">
        <f t="shared" si="235"/>
        <v>0</v>
      </c>
      <c r="AR530" s="330">
        <f t="shared" si="235"/>
        <v>0</v>
      </c>
      <c r="AS530" s="330">
        <f t="shared" si="235"/>
        <v>0</v>
      </c>
      <c r="AT530" s="330">
        <f t="shared" si="235"/>
        <v>0</v>
      </c>
      <c r="AU530" s="330">
        <f t="shared" si="235"/>
        <v>0</v>
      </c>
      <c r="AV530" s="330">
        <f t="shared" si="235"/>
        <v>0</v>
      </c>
    </row>
    <row r="531" spans="1:48" s="308" customFormat="1" ht="15" customHeight="1">
      <c r="A531" s="462"/>
      <c r="B531" s="463"/>
      <c r="C531" s="464"/>
      <c r="D531" s="328"/>
      <c r="E531" s="334"/>
      <c r="F531" s="334"/>
      <c r="G531" s="334"/>
      <c r="H531" s="334"/>
      <c r="I531" s="334"/>
      <c r="J531" s="334"/>
      <c r="K531" s="334"/>
      <c r="L531" s="334"/>
      <c r="M531" s="334"/>
      <c r="N531" s="334"/>
      <c r="O531" s="334"/>
      <c r="P531" s="334"/>
      <c r="Q531" s="334"/>
      <c r="R531" s="334"/>
      <c r="S531" s="334"/>
      <c r="T531" s="334"/>
      <c r="U531" s="334"/>
      <c r="V531" s="334"/>
      <c r="W531" s="334"/>
      <c r="X531" s="334"/>
      <c r="Y531" s="334"/>
      <c r="Z531" s="334"/>
      <c r="AA531" s="334"/>
      <c r="AB531" s="334"/>
      <c r="AC531" s="334"/>
      <c r="AD531" s="334"/>
      <c r="AE531" s="334"/>
      <c r="AF531" s="334"/>
      <c r="AG531" s="334"/>
      <c r="AH531" s="334"/>
      <c r="AI531" s="334"/>
      <c r="AJ531" s="334"/>
      <c r="AK531" s="334"/>
      <c r="AL531" s="334"/>
      <c r="AM531" s="334"/>
      <c r="AN531" s="334"/>
      <c r="AO531" s="334"/>
      <c r="AP531" s="334"/>
      <c r="AQ531" s="334"/>
      <c r="AR531" s="334"/>
      <c r="AS531" s="334"/>
      <c r="AT531" s="334"/>
      <c r="AU531" s="334"/>
      <c r="AV531" s="334"/>
    </row>
    <row r="532" spans="1:48" s="320" customFormat="1" ht="15" customHeight="1">
      <c r="A532" s="351"/>
      <c r="B532" s="134"/>
      <c r="C532" s="322"/>
      <c r="D532" s="724"/>
    </row>
    <row r="533" spans="1:48" s="160" customFormat="1" ht="15" customHeight="1">
      <c r="A533" s="164" t="s">
        <v>672</v>
      </c>
      <c r="B533" s="162"/>
      <c r="C533" s="315"/>
      <c r="D533" s="386"/>
      <c r="E533" s="162"/>
      <c r="F533" s="162"/>
      <c r="G533" s="162"/>
      <c r="H533" s="162"/>
    </row>
    <row r="534" spans="1:48" s="229" customFormat="1" ht="15" customHeight="1">
      <c r="A534" s="225"/>
      <c r="B534" s="226"/>
      <c r="C534" s="325"/>
      <c r="D534" s="387"/>
      <c r="E534" s="226"/>
      <c r="F534" s="226"/>
      <c r="G534" s="226"/>
      <c r="H534" s="226"/>
    </row>
    <row r="535" spans="1:48" s="229" customFormat="1" ht="15" customHeight="1">
      <c r="A535" s="225"/>
      <c r="B535" s="226" t="s">
        <v>748</v>
      </c>
      <c r="C535" s="325"/>
      <c r="D535" s="387"/>
      <c r="E535" s="226"/>
      <c r="F535" s="226"/>
      <c r="G535" s="226"/>
      <c r="H535" s="226"/>
    </row>
    <row r="536" spans="1:48" s="6" customFormat="1" ht="15" customHeight="1">
      <c r="A536" s="347"/>
      <c r="B536" s="95"/>
      <c r="C536" s="96"/>
      <c r="D536" s="369"/>
      <c r="E536" s="98" t="str">
        <f t="shared" ref="E536:AV536" si="236" xml:space="preserve"> E$249</f>
        <v>Cu + Co private royalty (treat as distribution of profit)</v>
      </c>
      <c r="F536" s="6">
        <f t="shared" si="236"/>
        <v>0</v>
      </c>
      <c r="G536" s="6" t="str">
        <f t="shared" si="236"/>
        <v>$ mn</v>
      </c>
      <c r="H536" s="6">
        <f t="shared" si="236"/>
        <v>0</v>
      </c>
      <c r="I536" s="6">
        <f t="shared" si="236"/>
        <v>0</v>
      </c>
      <c r="J536" s="6">
        <f t="shared" si="236"/>
        <v>475.29805246011557</v>
      </c>
      <c r="K536" s="6">
        <f t="shared" si="236"/>
        <v>0</v>
      </c>
      <c r="L536" s="6">
        <f t="shared" si="236"/>
        <v>0</v>
      </c>
      <c r="M536" s="6">
        <f t="shared" si="236"/>
        <v>0</v>
      </c>
      <c r="N536" s="6">
        <f t="shared" si="236"/>
        <v>0</v>
      </c>
      <c r="O536" s="6">
        <f t="shared" si="236"/>
        <v>0</v>
      </c>
      <c r="P536" s="6">
        <f t="shared" si="236"/>
        <v>1.6784063482356868</v>
      </c>
      <c r="Q536" s="6">
        <f t="shared" si="236"/>
        <v>23.66488960924449</v>
      </c>
      <c r="R536" s="6">
        <f t="shared" si="236"/>
        <v>20.024321945491437</v>
      </c>
      <c r="S536" s="6">
        <f t="shared" si="236"/>
        <v>38.873180810948853</v>
      </c>
      <c r="T536" s="6">
        <f t="shared" si="236"/>
        <v>44.756350199642853</v>
      </c>
      <c r="U536" s="6">
        <f t="shared" si="236"/>
        <v>32.174887024535288</v>
      </c>
      <c r="V536" s="6">
        <f t="shared" si="236"/>
        <v>29.941418040754854</v>
      </c>
      <c r="W536" s="6">
        <f t="shared" si="236"/>
        <v>35.093975091031062</v>
      </c>
      <c r="X536" s="6">
        <f t="shared" si="236"/>
        <v>34.778368247296427</v>
      </c>
      <c r="Y536" s="6">
        <f t="shared" si="236"/>
        <v>34.230421565855707</v>
      </c>
      <c r="Z536" s="6">
        <f t="shared" si="236"/>
        <v>34.958374896698942</v>
      </c>
      <c r="AA536" s="6">
        <f t="shared" si="236"/>
        <v>34.833792158827926</v>
      </c>
      <c r="AB536" s="6">
        <f t="shared" si="236"/>
        <v>35.016658042379511</v>
      </c>
      <c r="AC536" s="6">
        <f t="shared" si="236"/>
        <v>37.26170539469598</v>
      </c>
      <c r="AD536" s="6">
        <f t="shared" si="236"/>
        <v>38.011303084476609</v>
      </c>
      <c r="AE536" s="6">
        <f t="shared" si="236"/>
        <v>0</v>
      </c>
      <c r="AF536" s="6">
        <f t="shared" si="236"/>
        <v>0</v>
      </c>
      <c r="AG536" s="6">
        <f t="shared" si="236"/>
        <v>0</v>
      </c>
      <c r="AH536" s="6">
        <f t="shared" si="236"/>
        <v>0</v>
      </c>
      <c r="AI536" s="6">
        <f t="shared" si="236"/>
        <v>0</v>
      </c>
      <c r="AJ536" s="6">
        <f t="shared" si="236"/>
        <v>0</v>
      </c>
      <c r="AK536" s="6">
        <f t="shared" si="236"/>
        <v>0</v>
      </c>
      <c r="AL536" s="6">
        <f t="shared" si="236"/>
        <v>0</v>
      </c>
      <c r="AM536" s="6">
        <f t="shared" si="236"/>
        <v>0</v>
      </c>
      <c r="AN536" s="6">
        <f t="shared" si="236"/>
        <v>0</v>
      </c>
      <c r="AO536" s="6">
        <f t="shared" si="236"/>
        <v>0</v>
      </c>
      <c r="AP536" s="6">
        <f t="shared" si="236"/>
        <v>0</v>
      </c>
      <c r="AQ536" s="6">
        <f t="shared" si="236"/>
        <v>0</v>
      </c>
      <c r="AR536" s="6">
        <f t="shared" si="236"/>
        <v>0</v>
      </c>
      <c r="AS536" s="6">
        <f t="shared" si="236"/>
        <v>0</v>
      </c>
      <c r="AT536" s="6">
        <f t="shared" si="236"/>
        <v>0</v>
      </c>
      <c r="AU536" s="6">
        <f t="shared" si="236"/>
        <v>0</v>
      </c>
      <c r="AV536" s="6">
        <f t="shared" si="236"/>
        <v>0</v>
      </c>
    </row>
    <row r="537" spans="1:48" s="376" customFormat="1" ht="15" customHeight="1">
      <c r="A537" s="436"/>
      <c r="B537" s="436"/>
      <c r="C537" s="227"/>
      <c r="D537" s="437"/>
      <c r="E537" s="514" t="str">
        <f xml:space="preserve"> InputsCon!E$102</f>
        <v>Cu + Co private royalty deductible</v>
      </c>
      <c r="F537" s="518" t="str">
        <f xml:space="preserve"> InputsCon!F$102</f>
        <v>yes</v>
      </c>
      <c r="G537" s="514" t="str">
        <f xml:space="preserve"> InputsCon!G$102</f>
        <v>Selected</v>
      </c>
      <c r="H537" s="436"/>
    </row>
    <row r="538" spans="1:48" s="376" customFormat="1" ht="15" customHeight="1">
      <c r="C538" s="227"/>
      <c r="D538" s="437"/>
      <c r="E538" s="590" t="str">
        <f xml:space="preserve"> InputsCon!E$56</f>
        <v>yes/no</v>
      </c>
      <c r="F538" s="589" t="str">
        <f xml:space="preserve"> InputsCon!F$56</f>
        <v>yes</v>
      </c>
      <c r="G538" s="590" t="str">
        <f xml:space="preserve"> InputsCon!G$56</f>
        <v>option</v>
      </c>
    </row>
    <row r="539" spans="1:48" s="376" customFormat="1" ht="15" customHeight="1">
      <c r="C539" s="227"/>
      <c r="D539" s="437"/>
      <c r="E539" s="590" t="str">
        <f xml:space="preserve"> InputsCon!E$57</f>
        <v>yes/no</v>
      </c>
      <c r="F539" s="589" t="str">
        <f xml:space="preserve"> InputsCon!F$57</f>
        <v>no</v>
      </c>
      <c r="G539" s="590" t="str">
        <f xml:space="preserve"> InputsCon!G$57</f>
        <v>option</v>
      </c>
    </row>
    <row r="540" spans="1:48" s="98" customFormat="1" ht="15" customHeight="1">
      <c r="A540" s="365"/>
      <c r="C540" s="366"/>
      <c r="D540" s="317"/>
      <c r="E540" s="98" t="str">
        <f xml:space="preserve"> E537</f>
        <v>Cu + Co private royalty deductible</v>
      </c>
      <c r="G540" s="98" t="str">
        <f xml:space="preserve"> G536</f>
        <v>$ mn</v>
      </c>
      <c r="J540" s="98">
        <f xml:space="preserve"> SUM(L540:AV540)</f>
        <v>475.29805246011557</v>
      </c>
      <c r="L540" s="98">
        <f t="shared" ref="L540:AV540" si="237" xml:space="preserve"> L536 * ($F537 = $F538)</f>
        <v>0</v>
      </c>
      <c r="M540" s="98">
        <f t="shared" si="237"/>
        <v>0</v>
      </c>
      <c r="N540" s="98">
        <f t="shared" si="237"/>
        <v>0</v>
      </c>
      <c r="O540" s="98">
        <f t="shared" si="237"/>
        <v>0</v>
      </c>
      <c r="P540" s="98">
        <f t="shared" si="237"/>
        <v>1.6784063482356868</v>
      </c>
      <c r="Q540" s="98">
        <f t="shared" si="237"/>
        <v>23.66488960924449</v>
      </c>
      <c r="R540" s="98">
        <f t="shared" si="237"/>
        <v>20.024321945491437</v>
      </c>
      <c r="S540" s="98">
        <f t="shared" si="237"/>
        <v>38.873180810948853</v>
      </c>
      <c r="T540" s="98">
        <f t="shared" si="237"/>
        <v>44.756350199642853</v>
      </c>
      <c r="U540" s="98">
        <f t="shared" si="237"/>
        <v>32.174887024535288</v>
      </c>
      <c r="V540" s="98">
        <f t="shared" si="237"/>
        <v>29.941418040754854</v>
      </c>
      <c r="W540" s="98">
        <f t="shared" si="237"/>
        <v>35.093975091031062</v>
      </c>
      <c r="X540" s="98">
        <f t="shared" si="237"/>
        <v>34.778368247296427</v>
      </c>
      <c r="Y540" s="98">
        <f t="shared" si="237"/>
        <v>34.230421565855707</v>
      </c>
      <c r="Z540" s="98">
        <f t="shared" si="237"/>
        <v>34.958374896698942</v>
      </c>
      <c r="AA540" s="98">
        <f t="shared" si="237"/>
        <v>34.833792158827926</v>
      </c>
      <c r="AB540" s="98">
        <f t="shared" si="237"/>
        <v>35.016658042379511</v>
      </c>
      <c r="AC540" s="98">
        <f t="shared" si="237"/>
        <v>37.26170539469598</v>
      </c>
      <c r="AD540" s="98">
        <f t="shared" si="237"/>
        <v>38.011303084476609</v>
      </c>
      <c r="AE540" s="98">
        <f t="shared" si="237"/>
        <v>0</v>
      </c>
      <c r="AF540" s="98">
        <f t="shared" si="237"/>
        <v>0</v>
      </c>
      <c r="AG540" s="98">
        <f t="shared" si="237"/>
        <v>0</v>
      </c>
      <c r="AH540" s="98">
        <f t="shared" si="237"/>
        <v>0</v>
      </c>
      <c r="AI540" s="98">
        <f t="shared" si="237"/>
        <v>0</v>
      </c>
      <c r="AJ540" s="98">
        <f t="shared" si="237"/>
        <v>0</v>
      </c>
      <c r="AK540" s="98">
        <f t="shared" si="237"/>
        <v>0</v>
      </c>
      <c r="AL540" s="98">
        <f t="shared" si="237"/>
        <v>0</v>
      </c>
      <c r="AM540" s="98">
        <f t="shared" si="237"/>
        <v>0</v>
      </c>
      <c r="AN540" s="98">
        <f t="shared" si="237"/>
        <v>0</v>
      </c>
      <c r="AO540" s="98">
        <f t="shared" si="237"/>
        <v>0</v>
      </c>
      <c r="AP540" s="98">
        <f t="shared" si="237"/>
        <v>0</v>
      </c>
      <c r="AQ540" s="98">
        <f t="shared" si="237"/>
        <v>0</v>
      </c>
      <c r="AR540" s="98">
        <f t="shared" si="237"/>
        <v>0</v>
      </c>
      <c r="AS540" s="98">
        <f t="shared" si="237"/>
        <v>0</v>
      </c>
      <c r="AT540" s="98">
        <f t="shared" si="237"/>
        <v>0</v>
      </c>
      <c r="AU540" s="98">
        <f t="shared" si="237"/>
        <v>0</v>
      </c>
      <c r="AV540" s="98">
        <f t="shared" si="237"/>
        <v>0</v>
      </c>
    </row>
    <row r="541" spans="1:48" s="229" customFormat="1" ht="15" customHeight="1">
      <c r="A541" s="438"/>
      <c r="C541" s="325"/>
      <c r="D541" s="387"/>
    </row>
    <row r="542" spans="1:48" s="6" customFormat="1" ht="15" customHeight="1">
      <c r="A542" s="347"/>
      <c r="B542" s="95"/>
      <c r="C542" s="96"/>
      <c r="D542" s="369"/>
      <c r="E542" s="391" t="str">
        <f t="shared" ref="E542:AV542" si="238" xml:space="preserve"> E$706</f>
        <v>Interest Charges (prior period)</v>
      </c>
      <c r="F542" s="391">
        <f t="shared" si="238"/>
        <v>0</v>
      </c>
      <c r="G542" s="391" t="str">
        <f t="shared" si="238"/>
        <v>$ mn</v>
      </c>
      <c r="H542" s="391">
        <f t="shared" si="238"/>
        <v>0</v>
      </c>
      <c r="I542" s="391">
        <f t="shared" si="238"/>
        <v>0</v>
      </c>
      <c r="J542" s="391">
        <f t="shared" si="238"/>
        <v>1372.5285068756166</v>
      </c>
      <c r="K542" s="391">
        <f t="shared" si="238"/>
        <v>0</v>
      </c>
      <c r="L542" s="391">
        <f t="shared" si="238"/>
        <v>0</v>
      </c>
      <c r="M542" s="391">
        <f t="shared" si="238"/>
        <v>0</v>
      </c>
      <c r="N542" s="391">
        <f t="shared" si="238"/>
        <v>0</v>
      </c>
      <c r="O542" s="391">
        <f t="shared" si="238"/>
        <v>0</v>
      </c>
      <c r="P542" s="391">
        <f t="shared" si="238"/>
        <v>0</v>
      </c>
      <c r="Q542" s="391">
        <f t="shared" si="238"/>
        <v>0</v>
      </c>
      <c r="R542" s="391">
        <f t="shared" si="238"/>
        <v>0</v>
      </c>
      <c r="S542" s="391">
        <f t="shared" si="238"/>
        <v>125.754</v>
      </c>
      <c r="T542" s="391">
        <f t="shared" si="238"/>
        <v>142.01948999999999</v>
      </c>
      <c r="U542" s="391">
        <f t="shared" si="238"/>
        <v>152.964912</v>
      </c>
      <c r="V542" s="391">
        <f t="shared" si="238"/>
        <v>157.27084040833333</v>
      </c>
      <c r="W542" s="391">
        <f t="shared" si="238"/>
        <v>156.88096181916666</v>
      </c>
      <c r="X542" s="391">
        <f t="shared" si="238"/>
        <v>155.21613288691964</v>
      </c>
      <c r="Y542" s="391">
        <f t="shared" si="238"/>
        <v>146.37878363406728</v>
      </c>
      <c r="Z542" s="391">
        <f t="shared" si="238"/>
        <v>132.83561661540347</v>
      </c>
      <c r="AA542" s="391">
        <f t="shared" si="238"/>
        <v>107.91297685937403</v>
      </c>
      <c r="AB542" s="391">
        <f t="shared" si="238"/>
        <v>72.905743802689187</v>
      </c>
      <c r="AC542" s="391">
        <f t="shared" si="238"/>
        <v>22.38904884966297</v>
      </c>
      <c r="AD542" s="391">
        <f t="shared" si="238"/>
        <v>0</v>
      </c>
      <c r="AE542" s="391">
        <f t="shared" si="238"/>
        <v>0</v>
      </c>
      <c r="AF542" s="391">
        <f t="shared" si="238"/>
        <v>0</v>
      </c>
      <c r="AG542" s="391">
        <f t="shared" si="238"/>
        <v>0</v>
      </c>
      <c r="AH542" s="391">
        <f t="shared" si="238"/>
        <v>0</v>
      </c>
      <c r="AI542" s="391">
        <f t="shared" si="238"/>
        <v>0</v>
      </c>
      <c r="AJ542" s="391">
        <f t="shared" si="238"/>
        <v>0</v>
      </c>
      <c r="AK542" s="391">
        <f t="shared" si="238"/>
        <v>0</v>
      </c>
      <c r="AL542" s="391">
        <f t="shared" si="238"/>
        <v>0</v>
      </c>
      <c r="AM542" s="391">
        <f t="shared" si="238"/>
        <v>0</v>
      </c>
      <c r="AN542" s="391">
        <f t="shared" si="238"/>
        <v>0</v>
      </c>
      <c r="AO542" s="391">
        <f t="shared" si="238"/>
        <v>0</v>
      </c>
      <c r="AP542" s="391">
        <f t="shared" si="238"/>
        <v>0</v>
      </c>
      <c r="AQ542" s="391">
        <f t="shared" si="238"/>
        <v>0</v>
      </c>
      <c r="AR542" s="391">
        <f t="shared" si="238"/>
        <v>0</v>
      </c>
      <c r="AS542" s="391">
        <f t="shared" si="238"/>
        <v>0</v>
      </c>
      <c r="AT542" s="391">
        <f t="shared" si="238"/>
        <v>0</v>
      </c>
      <c r="AU542" s="391">
        <f t="shared" si="238"/>
        <v>0</v>
      </c>
      <c r="AV542" s="391">
        <f t="shared" si="238"/>
        <v>0</v>
      </c>
    </row>
    <row r="543" spans="1:48" s="229" customFormat="1" ht="15" customHeight="1">
      <c r="A543" s="438"/>
      <c r="C543" s="325"/>
      <c r="D543" s="387"/>
      <c r="E543" s="514" t="str">
        <f xml:space="preserve"> InputsCon!E$106</f>
        <v>Interest deductible for CIT</v>
      </c>
      <c r="F543" s="268">
        <f xml:space="preserve"> InputsCon!F$106</f>
        <v>1</v>
      </c>
      <c r="G543" s="514" t="str">
        <f xml:space="preserve"> InputsCon!G$106</f>
        <v>%</v>
      </c>
      <c r="L543" s="441"/>
    </row>
    <row r="544" spans="1:48" s="229" customFormat="1" ht="15" customHeight="1">
      <c r="A544" s="438"/>
      <c r="C544" s="325"/>
      <c r="D544" s="387"/>
      <c r="E544" s="229" t="str">
        <f xml:space="preserve"> E543</f>
        <v>Interest deductible for CIT</v>
      </c>
      <c r="G544" s="229" t="str">
        <f xml:space="preserve"> G542</f>
        <v>$ mn</v>
      </c>
      <c r="J544" s="98">
        <f xml:space="preserve"> SUM(L544:AV544)</f>
        <v>1372.5285068756166</v>
      </c>
      <c r="L544" s="323">
        <f t="shared" ref="L544:AV544" si="239" xml:space="preserve"> L542 * $F543</f>
        <v>0</v>
      </c>
      <c r="M544" s="323">
        <f t="shared" si="239"/>
        <v>0</v>
      </c>
      <c r="N544" s="323">
        <f t="shared" si="239"/>
        <v>0</v>
      </c>
      <c r="O544" s="323">
        <f t="shared" si="239"/>
        <v>0</v>
      </c>
      <c r="P544" s="323">
        <f t="shared" si="239"/>
        <v>0</v>
      </c>
      <c r="Q544" s="323">
        <f t="shared" si="239"/>
        <v>0</v>
      </c>
      <c r="R544" s="323">
        <f t="shared" si="239"/>
        <v>0</v>
      </c>
      <c r="S544" s="323">
        <f t="shared" si="239"/>
        <v>125.754</v>
      </c>
      <c r="T544" s="323">
        <f t="shared" si="239"/>
        <v>142.01948999999999</v>
      </c>
      <c r="U544" s="323">
        <f t="shared" si="239"/>
        <v>152.964912</v>
      </c>
      <c r="V544" s="323">
        <f t="shared" si="239"/>
        <v>157.27084040833333</v>
      </c>
      <c r="W544" s="323">
        <f t="shared" si="239"/>
        <v>156.88096181916666</v>
      </c>
      <c r="X544" s="323">
        <f t="shared" si="239"/>
        <v>155.21613288691964</v>
      </c>
      <c r="Y544" s="323">
        <f t="shared" si="239"/>
        <v>146.37878363406728</v>
      </c>
      <c r="Z544" s="323">
        <f t="shared" si="239"/>
        <v>132.83561661540347</v>
      </c>
      <c r="AA544" s="323">
        <f t="shared" si="239"/>
        <v>107.91297685937403</v>
      </c>
      <c r="AB544" s="323">
        <f t="shared" si="239"/>
        <v>72.905743802689187</v>
      </c>
      <c r="AC544" s="323">
        <f t="shared" si="239"/>
        <v>22.38904884966297</v>
      </c>
      <c r="AD544" s="323">
        <f t="shared" si="239"/>
        <v>0</v>
      </c>
      <c r="AE544" s="323">
        <f t="shared" si="239"/>
        <v>0</v>
      </c>
      <c r="AF544" s="323">
        <f t="shared" si="239"/>
        <v>0</v>
      </c>
      <c r="AG544" s="323">
        <f t="shared" si="239"/>
        <v>0</v>
      </c>
      <c r="AH544" s="323">
        <f t="shared" si="239"/>
        <v>0</v>
      </c>
      <c r="AI544" s="323">
        <f t="shared" si="239"/>
        <v>0</v>
      </c>
      <c r="AJ544" s="323">
        <f t="shared" si="239"/>
        <v>0</v>
      </c>
      <c r="AK544" s="323">
        <f t="shared" si="239"/>
        <v>0</v>
      </c>
      <c r="AL544" s="323">
        <f t="shared" si="239"/>
        <v>0</v>
      </c>
      <c r="AM544" s="323">
        <f t="shared" si="239"/>
        <v>0</v>
      </c>
      <c r="AN544" s="323">
        <f t="shared" si="239"/>
        <v>0</v>
      </c>
      <c r="AO544" s="323">
        <f t="shared" si="239"/>
        <v>0</v>
      </c>
      <c r="AP544" s="323">
        <f t="shared" si="239"/>
        <v>0</v>
      </c>
      <c r="AQ544" s="323">
        <f t="shared" si="239"/>
        <v>0</v>
      </c>
      <c r="AR544" s="323">
        <f t="shared" si="239"/>
        <v>0</v>
      </c>
      <c r="AS544" s="323">
        <f t="shared" si="239"/>
        <v>0</v>
      </c>
      <c r="AT544" s="323">
        <f t="shared" si="239"/>
        <v>0</v>
      </c>
      <c r="AU544" s="323">
        <f t="shared" si="239"/>
        <v>0</v>
      </c>
      <c r="AV544" s="323">
        <f t="shared" si="239"/>
        <v>0</v>
      </c>
    </row>
    <row r="545" spans="1:48" s="229" customFormat="1" ht="15" customHeight="1">
      <c r="A545" s="438"/>
      <c r="C545" s="325"/>
      <c r="D545" s="387"/>
    </row>
    <row r="546" spans="1:48" s="229" customFormat="1" ht="15" customHeight="1">
      <c r="A546" s="438"/>
      <c r="B546" s="226" t="s">
        <v>749</v>
      </c>
      <c r="C546" s="325"/>
      <c r="D546" s="387"/>
    </row>
    <row r="547" spans="1:48" s="6" customFormat="1" ht="15" customHeight="1">
      <c r="A547" s="347"/>
      <c r="B547" s="95"/>
      <c r="C547" s="96"/>
      <c r="D547" s="369"/>
      <c r="E547" s="6" t="str">
        <f t="shared" ref="E547:AV547" si="240" xml:space="preserve"> E$189</f>
        <v>Copper plus Cobalt revenue</v>
      </c>
      <c r="F547" s="6">
        <f t="shared" si="240"/>
        <v>0</v>
      </c>
      <c r="G547" s="6" t="str">
        <f t="shared" si="240"/>
        <v>$ mn</v>
      </c>
      <c r="H547" s="6">
        <f t="shared" si="240"/>
        <v>0</v>
      </c>
      <c r="I547" s="6">
        <f t="shared" si="240"/>
        <v>0</v>
      </c>
      <c r="J547" s="6">
        <f t="shared" si="240"/>
        <v>19011.922098404622</v>
      </c>
      <c r="K547" s="6">
        <f t="shared" si="240"/>
        <v>0</v>
      </c>
      <c r="L547" s="6">
        <f t="shared" si="240"/>
        <v>0</v>
      </c>
      <c r="M547" s="6">
        <f t="shared" si="240"/>
        <v>0</v>
      </c>
      <c r="N547" s="6">
        <f t="shared" si="240"/>
        <v>0</v>
      </c>
      <c r="O547" s="6">
        <f t="shared" si="240"/>
        <v>0</v>
      </c>
      <c r="P547" s="6">
        <f t="shared" si="240"/>
        <v>67.136253929427468</v>
      </c>
      <c r="Q547" s="6">
        <f t="shared" si="240"/>
        <v>946.59558436977954</v>
      </c>
      <c r="R547" s="6">
        <f t="shared" si="240"/>
        <v>800.97287781965736</v>
      </c>
      <c r="S547" s="6">
        <f t="shared" si="240"/>
        <v>1554.927232437954</v>
      </c>
      <c r="T547" s="6">
        <f t="shared" si="240"/>
        <v>1790.254007985714</v>
      </c>
      <c r="U547" s="6">
        <f t="shared" si="240"/>
        <v>1286.9954809814114</v>
      </c>
      <c r="V547" s="6">
        <f t="shared" si="240"/>
        <v>1197.6567216301939</v>
      </c>
      <c r="W547" s="6">
        <f t="shared" si="240"/>
        <v>1403.7590036412423</v>
      </c>
      <c r="X547" s="6">
        <f t="shared" si="240"/>
        <v>1391.1347298918572</v>
      </c>
      <c r="Y547" s="6">
        <f t="shared" si="240"/>
        <v>1369.2168626342282</v>
      </c>
      <c r="Z547" s="6">
        <f t="shared" si="240"/>
        <v>1398.3349958679573</v>
      </c>
      <c r="AA547" s="6">
        <f t="shared" si="240"/>
        <v>1393.351686353117</v>
      </c>
      <c r="AB547" s="6">
        <f t="shared" si="240"/>
        <v>1400.6663216951804</v>
      </c>
      <c r="AC547" s="6">
        <f t="shared" si="240"/>
        <v>1490.4682157878392</v>
      </c>
      <c r="AD547" s="6">
        <f t="shared" si="240"/>
        <v>1520.4521233790642</v>
      </c>
      <c r="AE547" s="6">
        <f t="shared" si="240"/>
        <v>0</v>
      </c>
      <c r="AF547" s="6">
        <f t="shared" si="240"/>
        <v>0</v>
      </c>
      <c r="AG547" s="6">
        <f t="shared" si="240"/>
        <v>0</v>
      </c>
      <c r="AH547" s="6">
        <f t="shared" si="240"/>
        <v>0</v>
      </c>
      <c r="AI547" s="6">
        <f t="shared" si="240"/>
        <v>0</v>
      </c>
      <c r="AJ547" s="6">
        <f t="shared" si="240"/>
        <v>0</v>
      </c>
      <c r="AK547" s="6">
        <f t="shared" si="240"/>
        <v>0</v>
      </c>
      <c r="AL547" s="6">
        <f t="shared" si="240"/>
        <v>0</v>
      </c>
      <c r="AM547" s="6">
        <f t="shared" si="240"/>
        <v>0</v>
      </c>
      <c r="AN547" s="6">
        <f t="shared" si="240"/>
        <v>0</v>
      </c>
      <c r="AO547" s="6">
        <f t="shared" si="240"/>
        <v>0</v>
      </c>
      <c r="AP547" s="6">
        <f t="shared" si="240"/>
        <v>0</v>
      </c>
      <c r="AQ547" s="6">
        <f t="shared" si="240"/>
        <v>0</v>
      </c>
      <c r="AR547" s="6">
        <f t="shared" si="240"/>
        <v>0</v>
      </c>
      <c r="AS547" s="6">
        <f t="shared" si="240"/>
        <v>0</v>
      </c>
      <c r="AT547" s="6">
        <f t="shared" si="240"/>
        <v>0</v>
      </c>
      <c r="AU547" s="6">
        <f t="shared" si="240"/>
        <v>0</v>
      </c>
      <c r="AV547" s="6">
        <f t="shared" si="240"/>
        <v>0</v>
      </c>
    </row>
    <row r="548" spans="1:48" s="183" customFormat="1" ht="15" customHeight="1">
      <c r="A548" s="348"/>
      <c r="B548" s="92"/>
      <c r="C548" s="197"/>
      <c r="D548" s="852"/>
      <c r="E548" s="183" t="str">
        <f t="shared" ref="E548:AV548" si="241" xml:space="preserve"> E$205</f>
        <v>Freight, Insurance &amp; Sales 2019TR: Cu</v>
      </c>
      <c r="F548" s="183">
        <f t="shared" si="241"/>
        <v>0</v>
      </c>
      <c r="G548" s="183" t="str">
        <f t="shared" si="241"/>
        <v>$ mn</v>
      </c>
      <c r="H548" s="183">
        <f t="shared" si="241"/>
        <v>0</v>
      </c>
      <c r="I548" s="183">
        <f t="shared" si="241"/>
        <v>0</v>
      </c>
      <c r="J548" s="183">
        <f t="shared" si="241"/>
        <v>0</v>
      </c>
      <c r="K548" s="183">
        <f t="shared" si="241"/>
        <v>0</v>
      </c>
      <c r="L548" s="183">
        <f t="shared" si="241"/>
        <v>0</v>
      </c>
      <c r="M548" s="183">
        <f t="shared" si="241"/>
        <v>0</v>
      </c>
      <c r="N548" s="183">
        <f t="shared" si="241"/>
        <v>0</v>
      </c>
      <c r="O548" s="183">
        <f t="shared" si="241"/>
        <v>0</v>
      </c>
      <c r="P548" s="183">
        <f t="shared" si="241"/>
        <v>0</v>
      </c>
      <c r="Q548" s="183">
        <f t="shared" si="241"/>
        <v>0</v>
      </c>
      <c r="R548" s="183">
        <f t="shared" si="241"/>
        <v>0</v>
      </c>
      <c r="S548" s="183">
        <f t="shared" si="241"/>
        <v>0</v>
      </c>
      <c r="T548" s="183">
        <f t="shared" si="241"/>
        <v>0</v>
      </c>
      <c r="U548" s="183">
        <f t="shared" si="241"/>
        <v>0</v>
      </c>
      <c r="V548" s="183">
        <f t="shared" si="241"/>
        <v>0</v>
      </c>
      <c r="W548" s="183">
        <f t="shared" si="241"/>
        <v>0</v>
      </c>
      <c r="X548" s="183">
        <f t="shared" si="241"/>
        <v>0</v>
      </c>
      <c r="Y548" s="183">
        <f t="shared" si="241"/>
        <v>0</v>
      </c>
      <c r="Z548" s="183">
        <f t="shared" si="241"/>
        <v>0</v>
      </c>
      <c r="AA548" s="183">
        <f t="shared" si="241"/>
        <v>0</v>
      </c>
      <c r="AB548" s="183">
        <f t="shared" si="241"/>
        <v>0</v>
      </c>
      <c r="AC548" s="183">
        <f t="shared" si="241"/>
        <v>0</v>
      </c>
      <c r="AD548" s="183">
        <f t="shared" si="241"/>
        <v>0</v>
      </c>
      <c r="AE548" s="183">
        <f t="shared" si="241"/>
        <v>0</v>
      </c>
      <c r="AF548" s="183">
        <f t="shared" si="241"/>
        <v>0</v>
      </c>
      <c r="AG548" s="183">
        <f t="shared" si="241"/>
        <v>0</v>
      </c>
      <c r="AH548" s="183">
        <f t="shared" si="241"/>
        <v>0</v>
      </c>
      <c r="AI548" s="183">
        <f t="shared" si="241"/>
        <v>0</v>
      </c>
      <c r="AJ548" s="183">
        <f t="shared" si="241"/>
        <v>0</v>
      </c>
      <c r="AK548" s="183">
        <f t="shared" si="241"/>
        <v>0</v>
      </c>
      <c r="AL548" s="183">
        <f t="shared" si="241"/>
        <v>0</v>
      </c>
      <c r="AM548" s="183">
        <f t="shared" si="241"/>
        <v>0</v>
      </c>
      <c r="AN548" s="183">
        <f t="shared" si="241"/>
        <v>0</v>
      </c>
      <c r="AO548" s="183">
        <f t="shared" si="241"/>
        <v>0</v>
      </c>
      <c r="AP548" s="183">
        <f t="shared" si="241"/>
        <v>0</v>
      </c>
      <c r="AQ548" s="183">
        <f t="shared" si="241"/>
        <v>0</v>
      </c>
      <c r="AR548" s="183">
        <f t="shared" si="241"/>
        <v>0</v>
      </c>
      <c r="AS548" s="183">
        <f t="shared" si="241"/>
        <v>0</v>
      </c>
      <c r="AT548" s="183">
        <f t="shared" si="241"/>
        <v>0</v>
      </c>
      <c r="AU548" s="183">
        <f t="shared" si="241"/>
        <v>0</v>
      </c>
      <c r="AV548" s="183">
        <f t="shared" si="241"/>
        <v>0</v>
      </c>
    </row>
    <row r="549" spans="1:48" s="183" customFormat="1" ht="15" customHeight="1">
      <c r="A549" s="348"/>
      <c r="B549" s="92"/>
      <c r="C549" s="197"/>
      <c r="D549" s="852"/>
      <c r="E549" s="183" t="str">
        <f t="shared" ref="E549:AV549" si="242" xml:space="preserve"> E$209</f>
        <v>Freight, Insurance &amp; Sales 2019TR: Co</v>
      </c>
      <c r="F549" s="183">
        <f t="shared" si="242"/>
        <v>0</v>
      </c>
      <c r="G549" s="183" t="str">
        <f t="shared" si="242"/>
        <v>$ mn</v>
      </c>
      <c r="H549" s="183">
        <f t="shared" si="242"/>
        <v>0</v>
      </c>
      <c r="I549" s="183">
        <f t="shared" si="242"/>
        <v>0</v>
      </c>
      <c r="J549" s="183">
        <f t="shared" si="242"/>
        <v>0</v>
      </c>
      <c r="K549" s="183">
        <f t="shared" si="242"/>
        <v>0</v>
      </c>
      <c r="L549" s="183">
        <f t="shared" si="242"/>
        <v>0</v>
      </c>
      <c r="M549" s="183">
        <f t="shared" si="242"/>
        <v>0</v>
      </c>
      <c r="N549" s="183">
        <f t="shared" si="242"/>
        <v>0</v>
      </c>
      <c r="O549" s="183">
        <f t="shared" si="242"/>
        <v>0</v>
      </c>
      <c r="P549" s="183">
        <f t="shared" si="242"/>
        <v>0</v>
      </c>
      <c r="Q549" s="183">
        <f t="shared" si="242"/>
        <v>0</v>
      </c>
      <c r="R549" s="183">
        <f t="shared" si="242"/>
        <v>0</v>
      </c>
      <c r="S549" s="183">
        <f t="shared" si="242"/>
        <v>0</v>
      </c>
      <c r="T549" s="183">
        <f t="shared" si="242"/>
        <v>0</v>
      </c>
      <c r="U549" s="183">
        <f t="shared" si="242"/>
        <v>0</v>
      </c>
      <c r="V549" s="183">
        <f t="shared" si="242"/>
        <v>0</v>
      </c>
      <c r="W549" s="183">
        <f t="shared" si="242"/>
        <v>0</v>
      </c>
      <c r="X549" s="183">
        <f t="shared" si="242"/>
        <v>0</v>
      </c>
      <c r="Y549" s="183">
        <f t="shared" si="242"/>
        <v>0</v>
      </c>
      <c r="Z549" s="183">
        <f t="shared" si="242"/>
        <v>0</v>
      </c>
      <c r="AA549" s="183">
        <f t="shared" si="242"/>
        <v>0</v>
      </c>
      <c r="AB549" s="183">
        <f t="shared" si="242"/>
        <v>0</v>
      </c>
      <c r="AC549" s="183">
        <f t="shared" si="242"/>
        <v>0</v>
      </c>
      <c r="AD549" s="183">
        <f t="shared" si="242"/>
        <v>0</v>
      </c>
      <c r="AE549" s="183">
        <f t="shared" si="242"/>
        <v>0</v>
      </c>
      <c r="AF549" s="183">
        <f t="shared" si="242"/>
        <v>0</v>
      </c>
      <c r="AG549" s="183">
        <f t="shared" si="242"/>
        <v>0</v>
      </c>
      <c r="AH549" s="183">
        <f t="shared" si="242"/>
        <v>0</v>
      </c>
      <c r="AI549" s="183">
        <f t="shared" si="242"/>
        <v>0</v>
      </c>
      <c r="AJ549" s="183">
        <f t="shared" si="242"/>
        <v>0</v>
      </c>
      <c r="AK549" s="183">
        <f t="shared" si="242"/>
        <v>0</v>
      </c>
      <c r="AL549" s="183">
        <f t="shared" si="242"/>
        <v>0</v>
      </c>
      <c r="AM549" s="183">
        <f t="shared" si="242"/>
        <v>0</v>
      </c>
      <c r="AN549" s="183">
        <f t="shared" si="242"/>
        <v>0</v>
      </c>
      <c r="AO549" s="183">
        <f t="shared" si="242"/>
        <v>0</v>
      </c>
      <c r="AP549" s="183">
        <f t="shared" si="242"/>
        <v>0</v>
      </c>
      <c r="AQ549" s="183">
        <f t="shared" si="242"/>
        <v>0</v>
      </c>
      <c r="AR549" s="183">
        <f t="shared" si="242"/>
        <v>0</v>
      </c>
      <c r="AS549" s="183">
        <f t="shared" si="242"/>
        <v>0</v>
      </c>
      <c r="AT549" s="183">
        <f t="shared" si="242"/>
        <v>0</v>
      </c>
      <c r="AU549" s="183">
        <f t="shared" si="242"/>
        <v>0</v>
      </c>
      <c r="AV549" s="183">
        <f t="shared" si="242"/>
        <v>0</v>
      </c>
    </row>
    <row r="550" spans="1:48" s="310" customFormat="1" ht="15" customHeight="1">
      <c r="A550" s="346"/>
      <c r="B550" s="220"/>
      <c r="C550" s="309"/>
      <c r="D550" s="844"/>
      <c r="E550" s="310" t="str">
        <f t="shared" ref="E550:AV550" si="243" xml:space="preserve"> E$216</f>
        <v>Copper &amp; Cobalt net revenue</v>
      </c>
      <c r="F550" s="310">
        <f t="shared" si="243"/>
        <v>0</v>
      </c>
      <c r="G550" s="310" t="str">
        <f t="shared" si="243"/>
        <v>$ mn</v>
      </c>
      <c r="H550" s="310">
        <f t="shared" si="243"/>
        <v>0</v>
      </c>
      <c r="I550" s="310">
        <f t="shared" si="243"/>
        <v>0</v>
      </c>
      <c r="J550" s="310">
        <f t="shared" si="243"/>
        <v>19011.922098404622</v>
      </c>
      <c r="K550" s="310">
        <f t="shared" si="243"/>
        <v>0</v>
      </c>
      <c r="L550" s="310">
        <f t="shared" si="243"/>
        <v>0</v>
      </c>
      <c r="M550" s="310">
        <f t="shared" si="243"/>
        <v>0</v>
      </c>
      <c r="N550" s="310">
        <f t="shared" si="243"/>
        <v>0</v>
      </c>
      <c r="O550" s="310">
        <f t="shared" si="243"/>
        <v>0</v>
      </c>
      <c r="P550" s="310">
        <f t="shared" si="243"/>
        <v>67.136253929427468</v>
      </c>
      <c r="Q550" s="310">
        <f t="shared" si="243"/>
        <v>946.59558436977954</v>
      </c>
      <c r="R550" s="310">
        <f t="shared" si="243"/>
        <v>800.97287781965736</v>
      </c>
      <c r="S550" s="310">
        <f t="shared" si="243"/>
        <v>1554.927232437954</v>
      </c>
      <c r="T550" s="310">
        <f t="shared" si="243"/>
        <v>1790.254007985714</v>
      </c>
      <c r="U550" s="310">
        <f t="shared" si="243"/>
        <v>1286.9954809814114</v>
      </c>
      <c r="V550" s="310">
        <f t="shared" si="243"/>
        <v>1197.6567216301939</v>
      </c>
      <c r="W550" s="310">
        <f t="shared" si="243"/>
        <v>1403.7590036412423</v>
      </c>
      <c r="X550" s="310">
        <f t="shared" si="243"/>
        <v>1391.1347298918572</v>
      </c>
      <c r="Y550" s="310">
        <f t="shared" si="243"/>
        <v>1369.2168626342282</v>
      </c>
      <c r="Z550" s="310">
        <f t="shared" si="243"/>
        <v>1398.3349958679573</v>
      </c>
      <c r="AA550" s="310">
        <f t="shared" si="243"/>
        <v>1393.351686353117</v>
      </c>
      <c r="AB550" s="310">
        <f t="shared" si="243"/>
        <v>1400.6663216951804</v>
      </c>
      <c r="AC550" s="310">
        <f t="shared" si="243"/>
        <v>1490.4682157878392</v>
      </c>
      <c r="AD550" s="310">
        <f t="shared" si="243"/>
        <v>1520.4521233790642</v>
      </c>
      <c r="AE550" s="310">
        <f t="shared" si="243"/>
        <v>0</v>
      </c>
      <c r="AF550" s="310">
        <f t="shared" si="243"/>
        <v>0</v>
      </c>
      <c r="AG550" s="310">
        <f t="shared" si="243"/>
        <v>0</v>
      </c>
      <c r="AH550" s="310">
        <f t="shared" si="243"/>
        <v>0</v>
      </c>
      <c r="AI550" s="310">
        <f t="shared" si="243"/>
        <v>0</v>
      </c>
      <c r="AJ550" s="310">
        <f t="shared" si="243"/>
        <v>0</v>
      </c>
      <c r="AK550" s="310">
        <f t="shared" si="243"/>
        <v>0</v>
      </c>
      <c r="AL550" s="310">
        <f t="shared" si="243"/>
        <v>0</v>
      </c>
      <c r="AM550" s="310">
        <f t="shared" si="243"/>
        <v>0</v>
      </c>
      <c r="AN550" s="310">
        <f t="shared" si="243"/>
        <v>0</v>
      </c>
      <c r="AO550" s="310">
        <f t="shared" si="243"/>
        <v>0</v>
      </c>
      <c r="AP550" s="310">
        <f t="shared" si="243"/>
        <v>0</v>
      </c>
      <c r="AQ550" s="310">
        <f t="shared" si="243"/>
        <v>0</v>
      </c>
      <c r="AR550" s="310">
        <f t="shared" si="243"/>
        <v>0</v>
      </c>
      <c r="AS550" s="310">
        <f t="shared" si="243"/>
        <v>0</v>
      </c>
      <c r="AT550" s="310">
        <f t="shared" si="243"/>
        <v>0</v>
      </c>
      <c r="AU550" s="310">
        <f t="shared" si="243"/>
        <v>0</v>
      </c>
      <c r="AV550" s="310">
        <f t="shared" si="243"/>
        <v>0</v>
      </c>
    </row>
    <row r="551" spans="1:48" s="6" customFormat="1" ht="15" customHeight="1">
      <c r="A551" s="347"/>
      <c r="B551" s="95"/>
      <c r="C551" s="96"/>
      <c r="D551" s="369"/>
      <c r="E551" s="6" t="s">
        <v>809</v>
      </c>
      <c r="G551" s="6" t="s">
        <v>29</v>
      </c>
      <c r="I551" s="98"/>
      <c r="L551" s="6">
        <f t="shared" ref="L551:AV551" si="244" xml:space="preserve"> L547 - L548 - L549 - L550</f>
        <v>0</v>
      </c>
      <c r="M551" s="6">
        <f t="shared" si="244"/>
        <v>0</v>
      </c>
      <c r="N551" s="6">
        <f t="shared" si="244"/>
        <v>0</v>
      </c>
      <c r="O551" s="6">
        <f t="shared" si="244"/>
        <v>0</v>
      </c>
      <c r="P551" s="6">
        <f t="shared" si="244"/>
        <v>0</v>
      </c>
      <c r="Q551" s="6">
        <f t="shared" si="244"/>
        <v>0</v>
      </c>
      <c r="R551" s="6">
        <f t="shared" si="244"/>
        <v>0</v>
      </c>
      <c r="S551" s="6">
        <f t="shared" si="244"/>
        <v>0</v>
      </c>
      <c r="T551" s="6">
        <f t="shared" si="244"/>
        <v>0</v>
      </c>
      <c r="U551" s="6">
        <f t="shared" si="244"/>
        <v>0</v>
      </c>
      <c r="V551" s="6">
        <f t="shared" si="244"/>
        <v>0</v>
      </c>
      <c r="W551" s="6">
        <f t="shared" si="244"/>
        <v>0</v>
      </c>
      <c r="X551" s="6">
        <f t="shared" si="244"/>
        <v>0</v>
      </c>
      <c r="Y551" s="6">
        <f t="shared" si="244"/>
        <v>0</v>
      </c>
      <c r="Z551" s="6">
        <f t="shared" si="244"/>
        <v>0</v>
      </c>
      <c r="AA551" s="6">
        <f t="shared" si="244"/>
        <v>0</v>
      </c>
      <c r="AB551" s="6">
        <f t="shared" si="244"/>
        <v>0</v>
      </c>
      <c r="AC551" s="6">
        <f t="shared" si="244"/>
        <v>0</v>
      </c>
      <c r="AD551" s="6">
        <f t="shared" si="244"/>
        <v>0</v>
      </c>
      <c r="AE551" s="6">
        <f t="shared" si="244"/>
        <v>0</v>
      </c>
      <c r="AF551" s="6">
        <f t="shared" si="244"/>
        <v>0</v>
      </c>
      <c r="AG551" s="6">
        <f t="shared" si="244"/>
        <v>0</v>
      </c>
      <c r="AH551" s="6">
        <f t="shared" si="244"/>
        <v>0</v>
      </c>
      <c r="AI551" s="6">
        <f t="shared" si="244"/>
        <v>0</v>
      </c>
      <c r="AJ551" s="6">
        <f t="shared" si="244"/>
        <v>0</v>
      </c>
      <c r="AK551" s="6">
        <f t="shared" si="244"/>
        <v>0</v>
      </c>
      <c r="AL551" s="6">
        <f t="shared" si="244"/>
        <v>0</v>
      </c>
      <c r="AM551" s="6">
        <f t="shared" si="244"/>
        <v>0</v>
      </c>
      <c r="AN551" s="6">
        <f t="shared" si="244"/>
        <v>0</v>
      </c>
      <c r="AO551" s="6">
        <f t="shared" si="244"/>
        <v>0</v>
      </c>
      <c r="AP551" s="6">
        <f t="shared" si="244"/>
        <v>0</v>
      </c>
      <c r="AQ551" s="6">
        <f t="shared" si="244"/>
        <v>0</v>
      </c>
      <c r="AR551" s="6">
        <f t="shared" si="244"/>
        <v>0</v>
      </c>
      <c r="AS551" s="6">
        <f t="shared" si="244"/>
        <v>0</v>
      </c>
      <c r="AT551" s="6">
        <f t="shared" si="244"/>
        <v>0</v>
      </c>
      <c r="AU551" s="6">
        <f t="shared" si="244"/>
        <v>0</v>
      </c>
      <c r="AV551" s="6">
        <f t="shared" si="244"/>
        <v>0</v>
      </c>
    </row>
    <row r="552" spans="1:48" ht="15" customHeight="1">
      <c r="E552" s="6" t="str">
        <f xml:space="preserve"> E551</f>
        <v>Check: net revenue</v>
      </c>
      <c r="F552" s="305">
        <f xml:space="preserve"> SUM(L552:AV552)</f>
        <v>0</v>
      </c>
      <c r="G552" s="121" t="s">
        <v>113</v>
      </c>
      <c r="L552" s="305">
        <f t="shared" ref="L552:AV552" si="245" xml:space="preserve"> IF( ABS(L551) &gt; CHK_TOL, 1, 0)</f>
        <v>0</v>
      </c>
      <c r="M552" s="305">
        <f t="shared" si="245"/>
        <v>0</v>
      </c>
      <c r="N552" s="305">
        <f t="shared" si="245"/>
        <v>0</v>
      </c>
      <c r="O552" s="305">
        <f t="shared" si="245"/>
        <v>0</v>
      </c>
      <c r="P552" s="305">
        <f t="shared" si="245"/>
        <v>0</v>
      </c>
      <c r="Q552" s="305">
        <f t="shared" si="245"/>
        <v>0</v>
      </c>
      <c r="R552" s="305">
        <f t="shared" si="245"/>
        <v>0</v>
      </c>
      <c r="S552" s="305">
        <f t="shared" si="245"/>
        <v>0</v>
      </c>
      <c r="T552" s="305">
        <f t="shared" si="245"/>
        <v>0</v>
      </c>
      <c r="U552" s="305">
        <f t="shared" si="245"/>
        <v>0</v>
      </c>
      <c r="V552" s="305">
        <f t="shared" si="245"/>
        <v>0</v>
      </c>
      <c r="W552" s="305">
        <f t="shared" si="245"/>
        <v>0</v>
      </c>
      <c r="X552" s="305">
        <f t="shared" si="245"/>
        <v>0</v>
      </c>
      <c r="Y552" s="305">
        <f t="shared" si="245"/>
        <v>0</v>
      </c>
      <c r="Z552" s="305">
        <f t="shared" si="245"/>
        <v>0</v>
      </c>
      <c r="AA552" s="305">
        <f t="shared" si="245"/>
        <v>0</v>
      </c>
      <c r="AB552" s="305">
        <f t="shared" si="245"/>
        <v>0</v>
      </c>
      <c r="AC552" s="305">
        <f t="shared" si="245"/>
        <v>0</v>
      </c>
      <c r="AD552" s="305">
        <f t="shared" si="245"/>
        <v>0</v>
      </c>
      <c r="AE552" s="305">
        <f t="shared" si="245"/>
        <v>0</v>
      </c>
      <c r="AF552" s="305">
        <f t="shared" si="245"/>
        <v>0</v>
      </c>
      <c r="AG552" s="305">
        <f t="shared" si="245"/>
        <v>0</v>
      </c>
      <c r="AH552" s="305">
        <f t="shared" si="245"/>
        <v>0</v>
      </c>
      <c r="AI552" s="305">
        <f t="shared" si="245"/>
        <v>0</v>
      </c>
      <c r="AJ552" s="305">
        <f t="shared" si="245"/>
        <v>0</v>
      </c>
      <c r="AK552" s="305">
        <f t="shared" si="245"/>
        <v>0</v>
      </c>
      <c r="AL552" s="305">
        <f t="shared" si="245"/>
        <v>0</v>
      </c>
      <c r="AM552" s="305">
        <f t="shared" si="245"/>
        <v>0</v>
      </c>
      <c r="AN552" s="305">
        <f t="shared" si="245"/>
        <v>0</v>
      </c>
      <c r="AO552" s="305">
        <f t="shared" si="245"/>
        <v>0</v>
      </c>
      <c r="AP552" s="305">
        <f t="shared" si="245"/>
        <v>0</v>
      </c>
      <c r="AQ552" s="305">
        <f t="shared" si="245"/>
        <v>0</v>
      </c>
      <c r="AR552" s="305">
        <f t="shared" si="245"/>
        <v>0</v>
      </c>
      <c r="AS552" s="305">
        <f t="shared" si="245"/>
        <v>0</v>
      </c>
      <c r="AT552" s="305">
        <f t="shared" si="245"/>
        <v>0</v>
      </c>
      <c r="AU552" s="305">
        <f t="shared" si="245"/>
        <v>0</v>
      </c>
      <c r="AV552" s="305">
        <f t="shared" si="245"/>
        <v>0</v>
      </c>
    </row>
    <row r="554" spans="1:48" s="6" customFormat="1" ht="15" customHeight="1">
      <c r="A554" s="347"/>
      <c r="B554" s="95"/>
      <c r="C554" s="96"/>
      <c r="D554" s="369"/>
      <c r="E554" s="6" t="str">
        <f t="shared" ref="E554:AV554" si="246" xml:space="preserve"> E$241</f>
        <v>Cu + Co government royalty</v>
      </c>
      <c r="F554" s="6">
        <f t="shared" si="246"/>
        <v>0</v>
      </c>
      <c r="G554" s="6" t="str">
        <f t="shared" si="246"/>
        <v>$ mn</v>
      </c>
      <c r="H554" s="6">
        <f t="shared" si="246"/>
        <v>0</v>
      </c>
      <c r="I554" s="6">
        <f t="shared" si="246"/>
        <v>0</v>
      </c>
      <c r="J554" s="6">
        <f t="shared" si="246"/>
        <v>1154.1185307309543</v>
      </c>
      <c r="K554" s="6">
        <f t="shared" si="246"/>
        <v>0</v>
      </c>
      <c r="L554" s="6">
        <f t="shared" si="246"/>
        <v>0</v>
      </c>
      <c r="M554" s="6">
        <f t="shared" si="246"/>
        <v>0</v>
      </c>
      <c r="N554" s="6">
        <f t="shared" si="246"/>
        <v>0</v>
      </c>
      <c r="O554" s="6">
        <f t="shared" si="246"/>
        <v>0</v>
      </c>
      <c r="P554" s="6">
        <f t="shared" si="246"/>
        <v>1.3427250785885494</v>
      </c>
      <c r="Q554" s="6">
        <f t="shared" si="246"/>
        <v>59.696032281620234</v>
      </c>
      <c r="R554" s="6">
        <f t="shared" si="246"/>
        <v>49.751271941506673</v>
      </c>
      <c r="S554" s="6">
        <f t="shared" si="246"/>
        <v>100.44151821818988</v>
      </c>
      <c r="T554" s="6">
        <f t="shared" si="246"/>
        <v>125.24236751817006</v>
      </c>
      <c r="U554" s="6">
        <f t="shared" si="246"/>
        <v>74.909657127852839</v>
      </c>
      <c r="V554" s="6">
        <f t="shared" si="246"/>
        <v>64.166519191185927</v>
      </c>
      <c r="W554" s="6">
        <f t="shared" si="246"/>
        <v>83.797779767771601</v>
      </c>
      <c r="X554" s="6">
        <f t="shared" si="246"/>
        <v>82.486579491115037</v>
      </c>
      <c r="Y554" s="6">
        <f t="shared" si="246"/>
        <v>79.838713164114836</v>
      </c>
      <c r="Z554" s="6">
        <f t="shared" si="246"/>
        <v>83.346107494918243</v>
      </c>
      <c r="AA554" s="6">
        <f t="shared" si="246"/>
        <v>83.122063374167709</v>
      </c>
      <c r="AB554" s="6">
        <f t="shared" si="246"/>
        <v>82.215048780097291</v>
      </c>
      <c r="AC554" s="6">
        <f t="shared" si="246"/>
        <v>90.275004523844174</v>
      </c>
      <c r="AD554" s="6">
        <f t="shared" si="246"/>
        <v>93.487142777811286</v>
      </c>
      <c r="AE554" s="6">
        <f t="shared" si="246"/>
        <v>0</v>
      </c>
      <c r="AF554" s="6">
        <f t="shared" si="246"/>
        <v>0</v>
      </c>
      <c r="AG554" s="6">
        <f t="shared" si="246"/>
        <v>0</v>
      </c>
      <c r="AH554" s="6">
        <f t="shared" si="246"/>
        <v>0</v>
      </c>
      <c r="AI554" s="6">
        <f t="shared" si="246"/>
        <v>0</v>
      </c>
      <c r="AJ554" s="6">
        <f t="shared" si="246"/>
        <v>0</v>
      </c>
      <c r="AK554" s="6">
        <f t="shared" si="246"/>
        <v>0</v>
      </c>
      <c r="AL554" s="6">
        <f t="shared" si="246"/>
        <v>0</v>
      </c>
      <c r="AM554" s="6">
        <f t="shared" si="246"/>
        <v>0</v>
      </c>
      <c r="AN554" s="6">
        <f t="shared" si="246"/>
        <v>0</v>
      </c>
      <c r="AO554" s="6">
        <f t="shared" si="246"/>
        <v>0</v>
      </c>
      <c r="AP554" s="6">
        <f t="shared" si="246"/>
        <v>0</v>
      </c>
      <c r="AQ554" s="6">
        <f t="shared" si="246"/>
        <v>0</v>
      </c>
      <c r="AR554" s="6">
        <f t="shared" si="246"/>
        <v>0</v>
      </c>
      <c r="AS554" s="6">
        <f t="shared" si="246"/>
        <v>0</v>
      </c>
      <c r="AT554" s="6">
        <f t="shared" si="246"/>
        <v>0</v>
      </c>
      <c r="AU554" s="6">
        <f t="shared" si="246"/>
        <v>0</v>
      </c>
      <c r="AV554" s="6">
        <f t="shared" si="246"/>
        <v>0</v>
      </c>
    </row>
    <row r="555" spans="1:48" s="6" customFormat="1" ht="15" customHeight="1">
      <c r="A555" s="347"/>
      <c r="B555" s="95"/>
      <c r="C555" s="96"/>
      <c r="D555" s="369"/>
      <c r="E555" s="98" t="str">
        <f t="shared" ref="E555:AV555" si="247" xml:space="preserve"> E$540</f>
        <v>Cu + Co private royalty deductible</v>
      </c>
      <c r="F555" s="98">
        <f t="shared" si="247"/>
        <v>0</v>
      </c>
      <c r="G555" s="98" t="str">
        <f t="shared" si="247"/>
        <v>$ mn</v>
      </c>
      <c r="H555" s="98">
        <f t="shared" si="247"/>
        <v>0</v>
      </c>
      <c r="I555" s="98">
        <f t="shared" si="247"/>
        <v>0</v>
      </c>
      <c r="J555" s="98">
        <f t="shared" si="247"/>
        <v>475.29805246011557</v>
      </c>
      <c r="K555" s="98">
        <f t="shared" si="247"/>
        <v>0</v>
      </c>
      <c r="L555" s="98">
        <f t="shared" si="247"/>
        <v>0</v>
      </c>
      <c r="M555" s="98">
        <f t="shared" si="247"/>
        <v>0</v>
      </c>
      <c r="N555" s="98">
        <f t="shared" si="247"/>
        <v>0</v>
      </c>
      <c r="O555" s="98">
        <f t="shared" si="247"/>
        <v>0</v>
      </c>
      <c r="P555" s="98">
        <f t="shared" si="247"/>
        <v>1.6784063482356868</v>
      </c>
      <c r="Q555" s="98">
        <f t="shared" si="247"/>
        <v>23.66488960924449</v>
      </c>
      <c r="R555" s="98">
        <f t="shared" si="247"/>
        <v>20.024321945491437</v>
      </c>
      <c r="S555" s="98">
        <f t="shared" si="247"/>
        <v>38.873180810948853</v>
      </c>
      <c r="T555" s="98">
        <f t="shared" si="247"/>
        <v>44.756350199642853</v>
      </c>
      <c r="U555" s="98">
        <f t="shared" si="247"/>
        <v>32.174887024535288</v>
      </c>
      <c r="V555" s="98">
        <f t="shared" si="247"/>
        <v>29.941418040754854</v>
      </c>
      <c r="W555" s="98">
        <f t="shared" si="247"/>
        <v>35.093975091031062</v>
      </c>
      <c r="X555" s="98">
        <f t="shared" si="247"/>
        <v>34.778368247296427</v>
      </c>
      <c r="Y555" s="98">
        <f t="shared" si="247"/>
        <v>34.230421565855707</v>
      </c>
      <c r="Z555" s="98">
        <f t="shared" si="247"/>
        <v>34.958374896698942</v>
      </c>
      <c r="AA555" s="98">
        <f t="shared" si="247"/>
        <v>34.833792158827926</v>
      </c>
      <c r="AB555" s="98">
        <f t="shared" si="247"/>
        <v>35.016658042379511</v>
      </c>
      <c r="AC555" s="98">
        <f t="shared" si="247"/>
        <v>37.26170539469598</v>
      </c>
      <c r="AD555" s="98">
        <f t="shared" si="247"/>
        <v>38.011303084476609</v>
      </c>
      <c r="AE555" s="98">
        <f t="shared" si="247"/>
        <v>0</v>
      </c>
      <c r="AF555" s="98">
        <f t="shared" si="247"/>
        <v>0</v>
      </c>
      <c r="AG555" s="98">
        <f t="shared" si="247"/>
        <v>0</v>
      </c>
      <c r="AH555" s="98">
        <f t="shared" si="247"/>
        <v>0</v>
      </c>
      <c r="AI555" s="98">
        <f t="shared" si="247"/>
        <v>0</v>
      </c>
      <c r="AJ555" s="98">
        <f t="shared" si="247"/>
        <v>0</v>
      </c>
      <c r="AK555" s="98">
        <f t="shared" si="247"/>
        <v>0</v>
      </c>
      <c r="AL555" s="98">
        <f t="shared" si="247"/>
        <v>0</v>
      </c>
      <c r="AM555" s="98">
        <f t="shared" si="247"/>
        <v>0</v>
      </c>
      <c r="AN555" s="98">
        <f t="shared" si="247"/>
        <v>0</v>
      </c>
      <c r="AO555" s="98">
        <f t="shared" si="247"/>
        <v>0</v>
      </c>
      <c r="AP555" s="98">
        <f t="shared" si="247"/>
        <v>0</v>
      </c>
      <c r="AQ555" s="98">
        <f t="shared" si="247"/>
        <v>0</v>
      </c>
      <c r="AR555" s="98">
        <f t="shared" si="247"/>
        <v>0</v>
      </c>
      <c r="AS555" s="98">
        <f t="shared" si="247"/>
        <v>0</v>
      </c>
      <c r="AT555" s="98">
        <f t="shared" si="247"/>
        <v>0</v>
      </c>
      <c r="AU555" s="98">
        <f t="shared" si="247"/>
        <v>0</v>
      </c>
      <c r="AV555" s="98">
        <f t="shared" si="247"/>
        <v>0</v>
      </c>
    </row>
    <row r="556" spans="1:48" s="6" customFormat="1" ht="15" customHeight="1">
      <c r="A556" s="347"/>
      <c r="B556" s="95"/>
      <c r="C556" s="96"/>
      <c r="D556" s="369"/>
      <c r="E556" s="98" t="str">
        <f t="shared" ref="E556:AV556" si="248" xml:space="preserve"> E$307</f>
        <v>Turnover tax (Chiffre d'Affaires 0.3PC)</v>
      </c>
      <c r="F556" s="98">
        <f t="shared" si="248"/>
        <v>0</v>
      </c>
      <c r="G556" s="98" t="str">
        <f t="shared" si="248"/>
        <v>$ mn</v>
      </c>
      <c r="H556" s="98">
        <f t="shared" si="248"/>
        <v>0</v>
      </c>
      <c r="I556" s="98">
        <f t="shared" si="248"/>
        <v>0</v>
      </c>
      <c r="J556" s="98">
        <f t="shared" si="248"/>
        <v>57.035766295213875</v>
      </c>
      <c r="K556" s="98">
        <f t="shared" si="248"/>
        <v>0</v>
      </c>
      <c r="L556" s="98">
        <f t="shared" si="248"/>
        <v>0</v>
      </c>
      <c r="M556" s="98">
        <f t="shared" si="248"/>
        <v>0</v>
      </c>
      <c r="N556" s="98">
        <f t="shared" si="248"/>
        <v>0</v>
      </c>
      <c r="O556" s="98">
        <f t="shared" si="248"/>
        <v>0</v>
      </c>
      <c r="P556" s="98">
        <f t="shared" si="248"/>
        <v>0.2014087617882824</v>
      </c>
      <c r="Q556" s="98">
        <f t="shared" si="248"/>
        <v>2.8397867531093386</v>
      </c>
      <c r="R556" s="98">
        <f t="shared" si="248"/>
        <v>2.4029186334589721</v>
      </c>
      <c r="S556" s="98">
        <f t="shared" si="248"/>
        <v>4.6647816973138623</v>
      </c>
      <c r="T556" s="98">
        <f t="shared" si="248"/>
        <v>5.3707620239571421</v>
      </c>
      <c r="U556" s="98">
        <f t="shared" si="248"/>
        <v>3.8609864429442342</v>
      </c>
      <c r="V556" s="98">
        <f t="shared" si="248"/>
        <v>3.5929701648905819</v>
      </c>
      <c r="W556" s="98">
        <f t="shared" si="248"/>
        <v>4.2112770109237267</v>
      </c>
      <c r="X556" s="98">
        <f t="shared" si="248"/>
        <v>4.1734041896755718</v>
      </c>
      <c r="Y556" s="98">
        <f t="shared" si="248"/>
        <v>4.1076505879026843</v>
      </c>
      <c r="Z556" s="98">
        <f t="shared" si="248"/>
        <v>4.1950049876038724</v>
      </c>
      <c r="AA556" s="98">
        <f t="shared" si="248"/>
        <v>4.1800550590593506</v>
      </c>
      <c r="AB556" s="98">
        <f t="shared" si="248"/>
        <v>4.2019989650855409</v>
      </c>
      <c r="AC556" s="98">
        <f t="shared" si="248"/>
        <v>4.4714046473635181</v>
      </c>
      <c r="AD556" s="98">
        <f t="shared" si="248"/>
        <v>4.5613563701371929</v>
      </c>
      <c r="AE556" s="98">
        <f t="shared" si="248"/>
        <v>0</v>
      </c>
      <c r="AF556" s="98">
        <f t="shared" si="248"/>
        <v>0</v>
      </c>
      <c r="AG556" s="98">
        <f t="shared" si="248"/>
        <v>0</v>
      </c>
      <c r="AH556" s="98">
        <f t="shared" si="248"/>
        <v>0</v>
      </c>
      <c r="AI556" s="98">
        <f t="shared" si="248"/>
        <v>0</v>
      </c>
      <c r="AJ556" s="98">
        <f t="shared" si="248"/>
        <v>0</v>
      </c>
      <c r="AK556" s="98">
        <f t="shared" si="248"/>
        <v>0</v>
      </c>
      <c r="AL556" s="98">
        <f t="shared" si="248"/>
        <v>0</v>
      </c>
      <c r="AM556" s="98">
        <f t="shared" si="248"/>
        <v>0</v>
      </c>
      <c r="AN556" s="98">
        <f t="shared" si="248"/>
        <v>0</v>
      </c>
      <c r="AO556" s="98">
        <f t="shared" si="248"/>
        <v>0</v>
      </c>
      <c r="AP556" s="98">
        <f t="shared" si="248"/>
        <v>0</v>
      </c>
      <c r="AQ556" s="98">
        <f t="shared" si="248"/>
        <v>0</v>
      </c>
      <c r="AR556" s="98">
        <f t="shared" si="248"/>
        <v>0</v>
      </c>
      <c r="AS556" s="98">
        <f t="shared" si="248"/>
        <v>0</v>
      </c>
      <c r="AT556" s="98">
        <f t="shared" si="248"/>
        <v>0</v>
      </c>
      <c r="AU556" s="98">
        <f t="shared" si="248"/>
        <v>0</v>
      </c>
      <c r="AV556" s="98">
        <f t="shared" si="248"/>
        <v>0</v>
      </c>
    </row>
    <row r="557" spans="1:48" s="98" customFormat="1" ht="15" customHeight="1">
      <c r="A557" s="385"/>
      <c r="B557" s="357"/>
      <c r="C557" s="366"/>
      <c r="D557" s="317"/>
      <c r="E557" s="98" t="str">
        <f t="shared" ref="E557:AV557" si="249" xml:space="preserve"> E$390</f>
        <v>Alternative Operating Cost Profile</v>
      </c>
      <c r="F557" s="98" t="str">
        <f t="shared" si="249"/>
        <v>Alt Opex</v>
      </c>
      <c r="G557" s="98" t="str">
        <f t="shared" si="249"/>
        <v>$ mn</v>
      </c>
      <c r="H557" s="98">
        <f t="shared" si="249"/>
        <v>0</v>
      </c>
      <c r="I557" s="98">
        <f t="shared" si="249"/>
        <v>0</v>
      </c>
      <c r="J557" s="98">
        <f t="shared" si="249"/>
        <v>9907.4531304831744</v>
      </c>
      <c r="K557" s="98">
        <f t="shared" si="249"/>
        <v>0</v>
      </c>
      <c r="L557" s="98">
        <f t="shared" si="249"/>
        <v>0</v>
      </c>
      <c r="M557" s="98">
        <f t="shared" si="249"/>
        <v>0</v>
      </c>
      <c r="N557" s="98">
        <f t="shared" si="249"/>
        <v>0</v>
      </c>
      <c r="O557" s="98">
        <f t="shared" si="249"/>
        <v>0</v>
      </c>
      <c r="P557" s="98">
        <f t="shared" si="249"/>
        <v>0</v>
      </c>
      <c r="Q557" s="98">
        <f t="shared" si="249"/>
        <v>0</v>
      </c>
      <c r="R557" s="98">
        <f t="shared" si="249"/>
        <v>427.00000000000006</v>
      </c>
      <c r="S557" s="98">
        <f t="shared" si="249"/>
        <v>532</v>
      </c>
      <c r="T557" s="98">
        <f t="shared" si="249"/>
        <v>705</v>
      </c>
      <c r="U557" s="98">
        <f t="shared" si="249"/>
        <v>724.29157127871883</v>
      </c>
      <c r="V557" s="98">
        <f t="shared" si="249"/>
        <v>760.56406616996242</v>
      </c>
      <c r="W557" s="98">
        <f t="shared" si="249"/>
        <v>785.45450684568095</v>
      </c>
      <c r="X557" s="98">
        <f t="shared" si="249"/>
        <v>800.92213977533436</v>
      </c>
      <c r="Y557" s="98">
        <f t="shared" si="249"/>
        <v>816.87383726665769</v>
      </c>
      <c r="Z557" s="98">
        <f t="shared" si="249"/>
        <v>837.83662691634106</v>
      </c>
      <c r="AA557" s="98">
        <f t="shared" si="249"/>
        <v>851.22045364034364</v>
      </c>
      <c r="AB557" s="98">
        <f t="shared" si="249"/>
        <v>866.62268025643698</v>
      </c>
      <c r="AC557" s="98">
        <f t="shared" si="249"/>
        <v>897.22565631293298</v>
      </c>
      <c r="AD557" s="98">
        <f t="shared" si="249"/>
        <v>902.44159202076582</v>
      </c>
      <c r="AE557" s="98">
        <f t="shared" si="249"/>
        <v>0</v>
      </c>
      <c r="AF557" s="98">
        <f t="shared" si="249"/>
        <v>0</v>
      </c>
      <c r="AG557" s="98">
        <f t="shared" si="249"/>
        <v>0</v>
      </c>
      <c r="AH557" s="98">
        <f t="shared" si="249"/>
        <v>0</v>
      </c>
      <c r="AI557" s="98">
        <f t="shared" si="249"/>
        <v>0</v>
      </c>
      <c r="AJ557" s="98">
        <f t="shared" si="249"/>
        <v>0</v>
      </c>
      <c r="AK557" s="98">
        <f t="shared" si="249"/>
        <v>0</v>
      </c>
      <c r="AL557" s="98">
        <f t="shared" si="249"/>
        <v>0</v>
      </c>
      <c r="AM557" s="98">
        <f t="shared" si="249"/>
        <v>0</v>
      </c>
      <c r="AN557" s="98">
        <f t="shared" si="249"/>
        <v>0</v>
      </c>
      <c r="AO557" s="98">
        <f t="shared" si="249"/>
        <v>0</v>
      </c>
      <c r="AP557" s="98">
        <f t="shared" si="249"/>
        <v>0</v>
      </c>
      <c r="AQ557" s="98">
        <f t="shared" si="249"/>
        <v>0</v>
      </c>
      <c r="AR557" s="98">
        <f t="shared" si="249"/>
        <v>0</v>
      </c>
      <c r="AS557" s="98">
        <f t="shared" si="249"/>
        <v>0</v>
      </c>
      <c r="AT557" s="98">
        <f t="shared" si="249"/>
        <v>0</v>
      </c>
      <c r="AU557" s="98">
        <f t="shared" si="249"/>
        <v>0</v>
      </c>
      <c r="AV557" s="98">
        <f t="shared" si="249"/>
        <v>0</v>
      </c>
    </row>
    <row r="558" spans="1:48" s="98" customFormat="1" ht="15" customHeight="1">
      <c r="A558" s="385"/>
      <c r="B558" s="357"/>
      <c r="C558" s="366"/>
      <c r="D558" s="317"/>
      <c r="E558" s="98" t="str">
        <f t="shared" ref="E558:K558" si="250" xml:space="preserve"> E$434</f>
        <v>SL depreciation charge incl. last year w/off</v>
      </c>
      <c r="F558" s="98">
        <f t="shared" si="250"/>
        <v>0</v>
      </c>
      <c r="G558" s="98" t="str">
        <f t="shared" si="250"/>
        <v>$ mn</v>
      </c>
      <c r="H558" s="98">
        <f t="shared" si="250"/>
        <v>0</v>
      </c>
      <c r="I558" s="98">
        <f t="shared" si="250"/>
        <v>0</v>
      </c>
      <c r="J558" s="98">
        <f t="shared" si="250"/>
        <v>1501.9969697316283</v>
      </c>
      <c r="K558" s="98">
        <f t="shared" si="250"/>
        <v>0</v>
      </c>
      <c r="L558" s="98">
        <f t="shared" ref="L558:AV558" si="251" xml:space="preserve"> L$434</f>
        <v>0</v>
      </c>
      <c r="M558" s="98">
        <f t="shared" si="251"/>
        <v>0</v>
      </c>
      <c r="N558" s="98">
        <f t="shared" si="251"/>
        <v>0</v>
      </c>
      <c r="O558" s="98">
        <f t="shared" si="251"/>
        <v>0</v>
      </c>
      <c r="P558" s="98">
        <f xml:space="preserve"> P$434</f>
        <v>144.31428571428572</v>
      </c>
      <c r="Q558" s="98">
        <f t="shared" si="251"/>
        <v>169.4</v>
      </c>
      <c r="R558" s="98">
        <f t="shared" si="251"/>
        <v>177.91970578423545</v>
      </c>
      <c r="S558" s="98">
        <f t="shared" si="251"/>
        <v>180.73602589670935</v>
      </c>
      <c r="T558" s="98">
        <f t="shared" si="251"/>
        <v>183.90825264826043</v>
      </c>
      <c r="U558" s="98">
        <f t="shared" si="251"/>
        <v>184.9468783300579</v>
      </c>
      <c r="V558" s="98">
        <f t="shared" si="251"/>
        <v>189.62718249234038</v>
      </c>
      <c r="W558" s="98">
        <f t="shared" si="251"/>
        <v>47.425089588510367</v>
      </c>
      <c r="X558" s="98">
        <f t="shared" si="251"/>
        <v>27.666801820101067</v>
      </c>
      <c r="Y558" s="98">
        <f t="shared" si="251"/>
        <v>20.733720092692657</v>
      </c>
      <c r="Z558" s="98">
        <f t="shared" si="251"/>
        <v>21.448479831199819</v>
      </c>
      <c r="AA558" s="98">
        <f t="shared" si="251"/>
        <v>19.794235266441003</v>
      </c>
      <c r="AB558" s="98">
        <f t="shared" si="251"/>
        <v>25.563881511267276</v>
      </c>
      <c r="AC558" s="98">
        <f t="shared" si="251"/>
        <v>22.198500400375334</v>
      </c>
      <c r="AD558" s="98">
        <f t="shared" si="251"/>
        <v>86.313930355151612</v>
      </c>
      <c r="AE558" s="98">
        <f t="shared" si="251"/>
        <v>0</v>
      </c>
      <c r="AF558" s="98">
        <f t="shared" si="251"/>
        <v>0</v>
      </c>
      <c r="AG558" s="98">
        <f t="shared" si="251"/>
        <v>0</v>
      </c>
      <c r="AH558" s="98">
        <f t="shared" si="251"/>
        <v>0</v>
      </c>
      <c r="AI558" s="98">
        <f t="shared" si="251"/>
        <v>0</v>
      </c>
      <c r="AJ558" s="98">
        <f t="shared" si="251"/>
        <v>0</v>
      </c>
      <c r="AK558" s="98">
        <f t="shared" si="251"/>
        <v>0</v>
      </c>
      <c r="AL558" s="98">
        <f t="shared" si="251"/>
        <v>0</v>
      </c>
      <c r="AM558" s="98">
        <f t="shared" si="251"/>
        <v>0</v>
      </c>
      <c r="AN558" s="98">
        <f t="shared" si="251"/>
        <v>0</v>
      </c>
      <c r="AO558" s="98">
        <f t="shared" si="251"/>
        <v>0</v>
      </c>
      <c r="AP558" s="98">
        <f t="shared" si="251"/>
        <v>0</v>
      </c>
      <c r="AQ558" s="98">
        <f t="shared" si="251"/>
        <v>0</v>
      </c>
      <c r="AR558" s="98">
        <f t="shared" si="251"/>
        <v>0</v>
      </c>
      <c r="AS558" s="98">
        <f t="shared" si="251"/>
        <v>0</v>
      </c>
      <c r="AT558" s="98">
        <f t="shared" si="251"/>
        <v>0</v>
      </c>
      <c r="AU558" s="98">
        <f t="shared" si="251"/>
        <v>0</v>
      </c>
      <c r="AV558" s="98">
        <f t="shared" si="251"/>
        <v>0</v>
      </c>
    </row>
    <row r="559" spans="1:48" s="6" customFormat="1" ht="15" customHeight="1">
      <c r="A559" s="347"/>
      <c r="B559" s="95"/>
      <c r="C559" s="96"/>
      <c r="D559" s="369"/>
      <c r="E559" s="98" t="str">
        <f t="shared" ref="E559:AV559" si="252" xml:space="preserve"> E$544</f>
        <v>Interest deductible for CIT</v>
      </c>
      <c r="F559" s="98">
        <f t="shared" si="252"/>
        <v>0</v>
      </c>
      <c r="G559" s="98" t="str">
        <f t="shared" si="252"/>
        <v>$ mn</v>
      </c>
      <c r="H559" s="98">
        <f t="shared" si="252"/>
        <v>0</v>
      </c>
      <c r="I559" s="98">
        <f t="shared" si="252"/>
        <v>0</v>
      </c>
      <c r="J559" s="98">
        <f t="shared" si="252"/>
        <v>1372.5285068756166</v>
      </c>
      <c r="K559" s="98">
        <f t="shared" si="252"/>
        <v>0</v>
      </c>
      <c r="L559" s="98">
        <f t="shared" si="252"/>
        <v>0</v>
      </c>
      <c r="M559" s="98">
        <f t="shared" si="252"/>
        <v>0</v>
      </c>
      <c r="N559" s="98">
        <f t="shared" si="252"/>
        <v>0</v>
      </c>
      <c r="O559" s="98">
        <f t="shared" si="252"/>
        <v>0</v>
      </c>
      <c r="P559" s="98">
        <f t="shared" si="252"/>
        <v>0</v>
      </c>
      <c r="Q559" s="98">
        <f t="shared" si="252"/>
        <v>0</v>
      </c>
      <c r="R559" s="98">
        <f t="shared" si="252"/>
        <v>0</v>
      </c>
      <c r="S559" s="98">
        <f t="shared" si="252"/>
        <v>125.754</v>
      </c>
      <c r="T559" s="98">
        <f t="shared" si="252"/>
        <v>142.01948999999999</v>
      </c>
      <c r="U559" s="98">
        <f t="shared" si="252"/>
        <v>152.964912</v>
      </c>
      <c r="V559" s="98">
        <f t="shared" si="252"/>
        <v>157.27084040833333</v>
      </c>
      <c r="W559" s="98">
        <f t="shared" si="252"/>
        <v>156.88096181916666</v>
      </c>
      <c r="X559" s="98">
        <f t="shared" si="252"/>
        <v>155.21613288691964</v>
      </c>
      <c r="Y559" s="98">
        <f t="shared" si="252"/>
        <v>146.37878363406728</v>
      </c>
      <c r="Z559" s="98">
        <f t="shared" si="252"/>
        <v>132.83561661540347</v>
      </c>
      <c r="AA559" s="98">
        <f t="shared" si="252"/>
        <v>107.91297685937403</v>
      </c>
      <c r="AB559" s="98">
        <f t="shared" si="252"/>
        <v>72.905743802689187</v>
      </c>
      <c r="AC559" s="98">
        <f t="shared" si="252"/>
        <v>22.38904884966297</v>
      </c>
      <c r="AD559" s="98">
        <f t="shared" si="252"/>
        <v>0</v>
      </c>
      <c r="AE559" s="98">
        <f t="shared" si="252"/>
        <v>0</v>
      </c>
      <c r="AF559" s="98">
        <f t="shared" si="252"/>
        <v>0</v>
      </c>
      <c r="AG559" s="98">
        <f t="shared" si="252"/>
        <v>0</v>
      </c>
      <c r="AH559" s="98">
        <f t="shared" si="252"/>
        <v>0</v>
      </c>
      <c r="AI559" s="98">
        <f t="shared" si="252"/>
        <v>0</v>
      </c>
      <c r="AJ559" s="98">
        <f t="shared" si="252"/>
        <v>0</v>
      </c>
      <c r="AK559" s="98">
        <f t="shared" si="252"/>
        <v>0</v>
      </c>
      <c r="AL559" s="98">
        <f t="shared" si="252"/>
        <v>0</v>
      </c>
      <c r="AM559" s="98">
        <f t="shared" si="252"/>
        <v>0</v>
      </c>
      <c r="AN559" s="98">
        <f t="shared" si="252"/>
        <v>0</v>
      </c>
      <c r="AO559" s="98">
        <f t="shared" si="252"/>
        <v>0</v>
      </c>
      <c r="AP559" s="98">
        <f t="shared" si="252"/>
        <v>0</v>
      </c>
      <c r="AQ559" s="98">
        <f t="shared" si="252"/>
        <v>0</v>
      </c>
      <c r="AR559" s="98">
        <f t="shared" si="252"/>
        <v>0</v>
      </c>
      <c r="AS559" s="98">
        <f t="shared" si="252"/>
        <v>0</v>
      </c>
      <c r="AT559" s="98">
        <f t="shared" si="252"/>
        <v>0</v>
      </c>
      <c r="AU559" s="98">
        <f t="shared" si="252"/>
        <v>0</v>
      </c>
      <c r="AV559" s="98">
        <f t="shared" si="252"/>
        <v>0</v>
      </c>
    </row>
    <row r="560" spans="1:48" s="6" customFormat="1" ht="15" customHeight="1">
      <c r="A560" s="347"/>
      <c r="B560" s="95"/>
      <c r="C560" s="96"/>
      <c r="D560" s="369"/>
      <c r="E560" s="98" t="str">
        <f t="shared" ref="E560:AV560" si="253" xml:space="preserve"> E$523</f>
        <v>Base for EPT deducted from CIT base</v>
      </c>
      <c r="F560" s="98">
        <f t="shared" si="253"/>
        <v>0</v>
      </c>
      <c r="G560" s="98" t="str">
        <f t="shared" si="253"/>
        <v>$ mn</v>
      </c>
      <c r="H560" s="98">
        <f t="shared" si="253"/>
        <v>0</v>
      </c>
      <c r="I560" s="98">
        <f t="shared" si="253"/>
        <v>0</v>
      </c>
      <c r="J560" s="98">
        <f t="shared" si="253"/>
        <v>0</v>
      </c>
      <c r="K560" s="98">
        <f t="shared" si="253"/>
        <v>0</v>
      </c>
      <c r="L560" s="98">
        <f t="shared" si="253"/>
        <v>0</v>
      </c>
      <c r="M560" s="98">
        <f t="shared" si="253"/>
        <v>0</v>
      </c>
      <c r="N560" s="98">
        <f t="shared" si="253"/>
        <v>0</v>
      </c>
      <c r="O560" s="98">
        <f t="shared" si="253"/>
        <v>0</v>
      </c>
      <c r="P560" s="98">
        <f t="shared" si="253"/>
        <v>0</v>
      </c>
      <c r="Q560" s="98">
        <f t="shared" si="253"/>
        <v>0</v>
      </c>
      <c r="R560" s="98">
        <f t="shared" si="253"/>
        <v>0</v>
      </c>
      <c r="S560" s="98">
        <f t="shared" si="253"/>
        <v>0</v>
      </c>
      <c r="T560" s="98">
        <f t="shared" si="253"/>
        <v>0</v>
      </c>
      <c r="U560" s="98">
        <f t="shared" si="253"/>
        <v>0</v>
      </c>
      <c r="V560" s="98">
        <f t="shared" si="253"/>
        <v>0</v>
      </c>
      <c r="W560" s="98">
        <f t="shared" si="253"/>
        <v>0</v>
      </c>
      <c r="X560" s="98">
        <f t="shared" si="253"/>
        <v>0</v>
      </c>
      <c r="Y560" s="98">
        <f t="shared" si="253"/>
        <v>0</v>
      </c>
      <c r="Z560" s="98">
        <f t="shared" si="253"/>
        <v>0</v>
      </c>
      <c r="AA560" s="98">
        <f t="shared" si="253"/>
        <v>0</v>
      </c>
      <c r="AB560" s="98">
        <f t="shared" si="253"/>
        <v>0</v>
      </c>
      <c r="AC560" s="98">
        <f t="shared" si="253"/>
        <v>0</v>
      </c>
      <c r="AD560" s="98">
        <f t="shared" si="253"/>
        <v>0</v>
      </c>
      <c r="AE560" s="98">
        <f t="shared" si="253"/>
        <v>0</v>
      </c>
      <c r="AF560" s="98">
        <f t="shared" si="253"/>
        <v>0</v>
      </c>
      <c r="AG560" s="98">
        <f t="shared" si="253"/>
        <v>0</v>
      </c>
      <c r="AH560" s="98">
        <f t="shared" si="253"/>
        <v>0</v>
      </c>
      <c r="AI560" s="98">
        <f t="shared" si="253"/>
        <v>0</v>
      </c>
      <c r="AJ560" s="98">
        <f t="shared" si="253"/>
        <v>0</v>
      </c>
      <c r="AK560" s="98">
        <f t="shared" si="253"/>
        <v>0</v>
      </c>
      <c r="AL560" s="98">
        <f t="shared" si="253"/>
        <v>0</v>
      </c>
      <c r="AM560" s="98">
        <f t="shared" si="253"/>
        <v>0</v>
      </c>
      <c r="AN560" s="98">
        <f t="shared" si="253"/>
        <v>0</v>
      </c>
      <c r="AO560" s="98">
        <f t="shared" si="253"/>
        <v>0</v>
      </c>
      <c r="AP560" s="98">
        <f t="shared" si="253"/>
        <v>0</v>
      </c>
      <c r="AQ560" s="98">
        <f t="shared" si="253"/>
        <v>0</v>
      </c>
      <c r="AR560" s="98">
        <f t="shared" si="253"/>
        <v>0</v>
      </c>
      <c r="AS560" s="98">
        <f t="shared" si="253"/>
        <v>0</v>
      </c>
      <c r="AT560" s="98">
        <f t="shared" si="253"/>
        <v>0</v>
      </c>
      <c r="AU560" s="98">
        <f t="shared" si="253"/>
        <v>0</v>
      </c>
      <c r="AV560" s="98">
        <f t="shared" si="253"/>
        <v>0</v>
      </c>
    </row>
    <row r="561" spans="1:48" s="310" customFormat="1" ht="15" customHeight="1">
      <c r="A561" s="346"/>
      <c r="B561" s="220"/>
      <c r="C561" s="309"/>
      <c r="D561" s="844"/>
      <c r="E561" s="310" t="s">
        <v>115</v>
      </c>
      <c r="G561" s="310" t="s">
        <v>29</v>
      </c>
      <c r="I561" s="339"/>
      <c r="J561" s="310">
        <f xml:space="preserve"> SUM(L561:AV561)</f>
        <v>14468.430956576702</v>
      </c>
      <c r="L561" s="339">
        <f t="shared" ref="L561:AV561" si="254">SUM(L554:L560)</f>
        <v>0</v>
      </c>
      <c r="M561" s="339">
        <f t="shared" si="254"/>
        <v>0</v>
      </c>
      <c r="N561" s="339">
        <f t="shared" si="254"/>
        <v>0</v>
      </c>
      <c r="O561" s="339">
        <f t="shared" si="254"/>
        <v>0</v>
      </c>
      <c r="P561" s="339">
        <f t="shared" si="254"/>
        <v>147.53682590289824</v>
      </c>
      <c r="Q561" s="339">
        <f t="shared" si="254"/>
        <v>255.60070864397406</v>
      </c>
      <c r="R561" s="339">
        <f t="shared" si="254"/>
        <v>677.09821830469264</v>
      </c>
      <c r="S561" s="339">
        <f t="shared" si="254"/>
        <v>982.46950662316192</v>
      </c>
      <c r="T561" s="339">
        <f t="shared" si="254"/>
        <v>1206.2972223900304</v>
      </c>
      <c r="U561" s="339">
        <f t="shared" si="254"/>
        <v>1173.148892204109</v>
      </c>
      <c r="V561" s="339">
        <f t="shared" si="254"/>
        <v>1205.1629964674673</v>
      </c>
      <c r="W561" s="339">
        <f t="shared" si="254"/>
        <v>1112.8635901230844</v>
      </c>
      <c r="X561" s="339">
        <f t="shared" si="254"/>
        <v>1105.2434264104422</v>
      </c>
      <c r="Y561" s="339">
        <f t="shared" si="254"/>
        <v>1102.1631263112909</v>
      </c>
      <c r="Z561" s="339">
        <f t="shared" si="254"/>
        <v>1114.6202107421655</v>
      </c>
      <c r="AA561" s="339">
        <f t="shared" si="254"/>
        <v>1101.0635763582136</v>
      </c>
      <c r="AB561" s="339">
        <f t="shared" si="254"/>
        <v>1086.5260113579557</v>
      </c>
      <c r="AC561" s="339">
        <f t="shared" si="254"/>
        <v>1073.8213201288747</v>
      </c>
      <c r="AD561" s="339">
        <f t="shared" si="254"/>
        <v>1124.8153246083425</v>
      </c>
      <c r="AE561" s="339">
        <f t="shared" si="254"/>
        <v>0</v>
      </c>
      <c r="AF561" s="339">
        <f t="shared" si="254"/>
        <v>0</v>
      </c>
      <c r="AG561" s="339">
        <f t="shared" si="254"/>
        <v>0</v>
      </c>
      <c r="AH561" s="339">
        <f t="shared" si="254"/>
        <v>0</v>
      </c>
      <c r="AI561" s="339">
        <f t="shared" si="254"/>
        <v>0</v>
      </c>
      <c r="AJ561" s="339">
        <f t="shared" si="254"/>
        <v>0</v>
      </c>
      <c r="AK561" s="339">
        <f t="shared" si="254"/>
        <v>0</v>
      </c>
      <c r="AL561" s="339">
        <f t="shared" si="254"/>
        <v>0</v>
      </c>
      <c r="AM561" s="339">
        <f t="shared" si="254"/>
        <v>0</v>
      </c>
      <c r="AN561" s="339">
        <f t="shared" si="254"/>
        <v>0</v>
      </c>
      <c r="AO561" s="339">
        <f t="shared" si="254"/>
        <v>0</v>
      </c>
      <c r="AP561" s="339">
        <f t="shared" si="254"/>
        <v>0</v>
      </c>
      <c r="AQ561" s="339">
        <f t="shared" si="254"/>
        <v>0</v>
      </c>
      <c r="AR561" s="339">
        <f t="shared" si="254"/>
        <v>0</v>
      </c>
      <c r="AS561" s="339">
        <f t="shared" si="254"/>
        <v>0</v>
      </c>
      <c r="AT561" s="339">
        <f t="shared" si="254"/>
        <v>0</v>
      </c>
      <c r="AU561" s="339">
        <f t="shared" si="254"/>
        <v>0</v>
      </c>
      <c r="AV561" s="339">
        <f t="shared" si="254"/>
        <v>0</v>
      </c>
    </row>
    <row r="562" spans="1:48" s="6" customFormat="1" ht="15" customHeight="1">
      <c r="A562" s="347"/>
      <c r="B562" s="95"/>
      <c r="C562" s="96"/>
      <c r="D562" s="369"/>
      <c r="I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  <c r="AA562" s="98"/>
      <c r="AB562" s="98"/>
      <c r="AC562" s="98"/>
      <c r="AD562" s="98"/>
      <c r="AE562" s="98"/>
      <c r="AF562" s="98"/>
      <c r="AG562" s="98"/>
      <c r="AH562" s="98"/>
      <c r="AI562" s="98"/>
      <c r="AJ562" s="98"/>
      <c r="AK562" s="98"/>
      <c r="AL562" s="98"/>
      <c r="AM562" s="98"/>
      <c r="AN562" s="98"/>
      <c r="AO562" s="98"/>
      <c r="AP562" s="98"/>
      <c r="AQ562" s="98"/>
      <c r="AR562" s="98"/>
      <c r="AS562" s="98"/>
      <c r="AT562" s="98"/>
      <c r="AU562" s="98"/>
      <c r="AV562" s="98"/>
    </row>
    <row r="563" spans="1:48" s="6" customFormat="1" ht="15" customHeight="1">
      <c r="A563" s="347"/>
      <c r="B563" s="95"/>
      <c r="C563" s="96"/>
      <c r="D563" s="369"/>
      <c r="E563" s="6" t="s">
        <v>116</v>
      </c>
      <c r="G563" s="6" t="s">
        <v>29</v>
      </c>
      <c r="I563" s="98"/>
      <c r="J563" s="6">
        <f xml:space="preserve"> SUM(L563:AV563)</f>
        <v>4543.4911418279207</v>
      </c>
      <c r="L563" s="98">
        <f t="shared" ref="L563:AV563" si="255" xml:space="preserve"> L550 - L561</f>
        <v>0</v>
      </c>
      <c r="M563" s="98">
        <f t="shared" si="255"/>
        <v>0</v>
      </c>
      <c r="N563" s="98">
        <f t="shared" si="255"/>
        <v>0</v>
      </c>
      <c r="O563" s="98">
        <f t="shared" si="255"/>
        <v>0</v>
      </c>
      <c r="P563" s="98">
        <f t="shared" si="255"/>
        <v>-80.400571973470775</v>
      </c>
      <c r="Q563" s="98">
        <f t="shared" si="255"/>
        <v>690.99487572580551</v>
      </c>
      <c r="R563" s="98">
        <f t="shared" si="255"/>
        <v>123.87465951496472</v>
      </c>
      <c r="S563" s="98">
        <f t="shared" si="255"/>
        <v>572.45772581479207</v>
      </c>
      <c r="T563" s="98">
        <f t="shared" si="255"/>
        <v>583.95678559568364</v>
      </c>
      <c r="U563" s="98">
        <f t="shared" si="255"/>
        <v>113.84658877730249</v>
      </c>
      <c r="V563" s="98">
        <f t="shared" si="255"/>
        <v>-7.506274837273395</v>
      </c>
      <c r="W563" s="98">
        <f t="shared" si="255"/>
        <v>290.89541351815797</v>
      </c>
      <c r="X563" s="98">
        <f t="shared" si="255"/>
        <v>285.89130348141498</v>
      </c>
      <c r="Y563" s="98">
        <f t="shared" si="255"/>
        <v>267.05373632293731</v>
      </c>
      <c r="Z563" s="98">
        <f t="shared" si="255"/>
        <v>283.71478512579188</v>
      </c>
      <c r="AA563" s="98">
        <f t="shared" si="255"/>
        <v>292.28810999490338</v>
      </c>
      <c r="AB563" s="98">
        <f t="shared" si="255"/>
        <v>314.14031033722472</v>
      </c>
      <c r="AC563" s="98">
        <f t="shared" si="255"/>
        <v>416.64689565896447</v>
      </c>
      <c r="AD563" s="98">
        <f t="shared" si="255"/>
        <v>395.63679877072173</v>
      </c>
      <c r="AE563" s="98">
        <f t="shared" si="255"/>
        <v>0</v>
      </c>
      <c r="AF563" s="98">
        <f t="shared" si="255"/>
        <v>0</v>
      </c>
      <c r="AG563" s="98">
        <f t="shared" si="255"/>
        <v>0</v>
      </c>
      <c r="AH563" s="98">
        <f t="shared" si="255"/>
        <v>0</v>
      </c>
      <c r="AI563" s="98">
        <f t="shared" si="255"/>
        <v>0</v>
      </c>
      <c r="AJ563" s="98">
        <f t="shared" si="255"/>
        <v>0</v>
      </c>
      <c r="AK563" s="98">
        <f t="shared" si="255"/>
        <v>0</v>
      </c>
      <c r="AL563" s="98">
        <f t="shared" si="255"/>
        <v>0</v>
      </c>
      <c r="AM563" s="98">
        <f t="shared" si="255"/>
        <v>0</v>
      </c>
      <c r="AN563" s="98">
        <f t="shared" si="255"/>
        <v>0</v>
      </c>
      <c r="AO563" s="98">
        <f t="shared" si="255"/>
        <v>0</v>
      </c>
      <c r="AP563" s="98">
        <f t="shared" si="255"/>
        <v>0</v>
      </c>
      <c r="AQ563" s="98">
        <f t="shared" si="255"/>
        <v>0</v>
      </c>
      <c r="AR563" s="98">
        <f t="shared" si="255"/>
        <v>0</v>
      </c>
      <c r="AS563" s="98">
        <f t="shared" si="255"/>
        <v>0</v>
      </c>
      <c r="AT563" s="98">
        <f t="shared" si="255"/>
        <v>0</v>
      </c>
      <c r="AU563" s="98">
        <f t="shared" si="255"/>
        <v>0</v>
      </c>
      <c r="AV563" s="98">
        <f t="shared" si="255"/>
        <v>0</v>
      </c>
    </row>
    <row r="564" spans="1:48" s="320" customFormat="1" ht="15" customHeight="1">
      <c r="A564" s="351"/>
      <c r="B564" s="134"/>
      <c r="C564" s="322"/>
      <c r="D564" s="724"/>
    </row>
    <row r="565" spans="1:48" s="320" customFormat="1" ht="15" customHeight="1">
      <c r="A565" s="351"/>
      <c r="B565" s="134"/>
      <c r="C565" s="322"/>
      <c r="D565" s="724"/>
      <c r="E565" s="170" t="str">
        <f xml:space="preserve"> InputsCon!E$104</f>
        <v>Opening balance of CIT losses 2011</v>
      </c>
      <c r="F565" s="170">
        <f xml:space="preserve"> InputsCon!F$104</f>
        <v>0</v>
      </c>
      <c r="G565" s="170" t="str">
        <f xml:space="preserve"> InputsCon!G$104</f>
        <v>$ mn</v>
      </c>
      <c r="H565" s="132"/>
      <c r="I565" s="132"/>
      <c r="L565" s="442"/>
    </row>
    <row r="566" spans="1:48" s="320" customFormat="1" ht="15" customHeight="1">
      <c r="A566" s="351"/>
      <c r="B566" s="134"/>
      <c r="C566" s="322"/>
      <c r="D566" s="724"/>
    </row>
    <row r="567" spans="1:48" s="320" customFormat="1" ht="15" customHeight="1">
      <c r="A567" s="351"/>
      <c r="B567" s="134"/>
      <c r="C567" s="322"/>
      <c r="D567" s="724"/>
      <c r="E567" s="320" t="str">
        <f xml:space="preserve"> 'T&amp;E'!E$11</f>
        <v>model column</v>
      </c>
      <c r="F567" s="320">
        <f xml:space="preserve"> 'T&amp;E'!F$11</f>
        <v>0</v>
      </c>
      <c r="G567" s="320" t="str">
        <f xml:space="preserve"> 'T&amp;E'!G$11</f>
        <v>#</v>
      </c>
      <c r="H567" s="320">
        <f xml:space="preserve"> 'T&amp;E'!H$11</f>
        <v>0</v>
      </c>
      <c r="I567" s="320">
        <f xml:space="preserve"> 'T&amp;E'!I$11</f>
        <v>0</v>
      </c>
      <c r="J567" s="320">
        <f xml:space="preserve"> 'T&amp;E'!J$11</f>
        <v>0</v>
      </c>
      <c r="K567" s="320">
        <f xml:space="preserve"> 'T&amp;E'!K$11</f>
        <v>0</v>
      </c>
      <c r="L567" s="320">
        <f xml:space="preserve"> 'T&amp;E'!L$11</f>
        <v>1</v>
      </c>
      <c r="M567" s="320">
        <f xml:space="preserve"> 'T&amp;E'!M$11</f>
        <v>2</v>
      </c>
      <c r="N567" s="320">
        <f xml:space="preserve"> 'T&amp;E'!N$11</f>
        <v>3</v>
      </c>
      <c r="O567" s="320">
        <f xml:space="preserve"> 'T&amp;E'!O$11</f>
        <v>4</v>
      </c>
      <c r="P567" s="320">
        <f xml:space="preserve"> 'T&amp;E'!P$11</f>
        <v>5</v>
      </c>
      <c r="Q567" s="320">
        <f xml:space="preserve"> 'T&amp;E'!Q$11</f>
        <v>6</v>
      </c>
      <c r="R567" s="320">
        <f xml:space="preserve"> 'T&amp;E'!R$11</f>
        <v>7</v>
      </c>
      <c r="S567" s="320">
        <f xml:space="preserve"> 'T&amp;E'!S$11</f>
        <v>8</v>
      </c>
      <c r="T567" s="320">
        <f xml:space="preserve"> 'T&amp;E'!T$11</f>
        <v>9</v>
      </c>
      <c r="U567" s="320">
        <f xml:space="preserve"> 'T&amp;E'!U$11</f>
        <v>10</v>
      </c>
      <c r="V567" s="320">
        <f xml:space="preserve"> 'T&amp;E'!V$11</f>
        <v>11</v>
      </c>
      <c r="W567" s="320">
        <f xml:space="preserve"> 'T&amp;E'!W$11</f>
        <v>12</v>
      </c>
      <c r="X567" s="320">
        <f xml:space="preserve"> 'T&amp;E'!X$11</f>
        <v>13</v>
      </c>
      <c r="Y567" s="320">
        <f xml:space="preserve"> 'T&amp;E'!Y$11</f>
        <v>14</v>
      </c>
      <c r="Z567" s="320">
        <f xml:space="preserve"> 'T&amp;E'!Z$11</f>
        <v>15</v>
      </c>
      <c r="AA567" s="320">
        <f xml:space="preserve"> 'T&amp;E'!AA$11</f>
        <v>16</v>
      </c>
      <c r="AB567" s="320">
        <f xml:space="preserve"> 'T&amp;E'!AB$11</f>
        <v>17</v>
      </c>
      <c r="AC567" s="320">
        <f xml:space="preserve"> 'T&amp;E'!AC$11</f>
        <v>18</v>
      </c>
      <c r="AD567" s="320">
        <f xml:space="preserve"> 'T&amp;E'!AD$11</f>
        <v>19</v>
      </c>
      <c r="AE567" s="320">
        <f xml:space="preserve"> 'T&amp;E'!AE$11</f>
        <v>20</v>
      </c>
      <c r="AF567" s="320">
        <f xml:space="preserve"> 'T&amp;E'!AF$11</f>
        <v>21</v>
      </c>
      <c r="AG567" s="320">
        <f xml:space="preserve"> 'T&amp;E'!AG$11</f>
        <v>22</v>
      </c>
      <c r="AH567" s="320">
        <f xml:space="preserve"> 'T&amp;E'!AH$11</f>
        <v>23</v>
      </c>
      <c r="AI567" s="320">
        <f xml:space="preserve"> 'T&amp;E'!AI$11</f>
        <v>24</v>
      </c>
      <c r="AJ567" s="320">
        <f xml:space="preserve"> 'T&amp;E'!AJ$11</f>
        <v>25</v>
      </c>
      <c r="AK567" s="320">
        <f xml:space="preserve"> 'T&amp;E'!AK$11</f>
        <v>26</v>
      </c>
      <c r="AL567" s="320">
        <f xml:space="preserve"> 'T&amp;E'!AL$11</f>
        <v>27</v>
      </c>
      <c r="AM567" s="320">
        <f xml:space="preserve"> 'T&amp;E'!AM$11</f>
        <v>28</v>
      </c>
      <c r="AN567" s="320">
        <f xml:space="preserve"> 'T&amp;E'!AN$11</f>
        <v>29</v>
      </c>
      <c r="AO567" s="320">
        <f xml:space="preserve"> 'T&amp;E'!AO$11</f>
        <v>30</v>
      </c>
      <c r="AP567" s="320">
        <f xml:space="preserve"> 'T&amp;E'!AP$11</f>
        <v>31</v>
      </c>
      <c r="AQ567" s="320">
        <f xml:space="preserve"> 'T&amp;E'!AQ$11</f>
        <v>32</v>
      </c>
      <c r="AR567" s="320">
        <f xml:space="preserve"> 'T&amp;E'!AR$11</f>
        <v>33</v>
      </c>
      <c r="AS567" s="320">
        <f xml:space="preserve"> 'T&amp;E'!AS$11</f>
        <v>34</v>
      </c>
      <c r="AT567" s="320">
        <f xml:space="preserve"> 'T&amp;E'!AT$11</f>
        <v>35</v>
      </c>
      <c r="AU567" s="320">
        <f xml:space="preserve"> 'T&amp;E'!AU$11</f>
        <v>36</v>
      </c>
      <c r="AV567" s="320">
        <f xml:space="preserve"> 'T&amp;E'!AV$11</f>
        <v>37</v>
      </c>
    </row>
    <row r="568" spans="1:48" s="320" customFormat="1" ht="15" customHeight="1">
      <c r="A568" s="351"/>
      <c r="B568" s="134"/>
      <c r="C568" s="322"/>
      <c r="D568" s="724"/>
      <c r="E568" s="320" t="str">
        <f t="shared" ref="E568:AV568" si="256" xml:space="preserve"> E$563</f>
        <v>Taxable income before losses</v>
      </c>
      <c r="F568" s="320">
        <f t="shared" si="256"/>
        <v>0</v>
      </c>
      <c r="G568" s="320" t="str">
        <f t="shared" si="256"/>
        <v>$ mn</v>
      </c>
      <c r="H568" s="320">
        <f t="shared" si="256"/>
        <v>0</v>
      </c>
      <c r="I568" s="320">
        <f t="shared" si="256"/>
        <v>0</v>
      </c>
      <c r="J568" s="320">
        <f t="shared" si="256"/>
        <v>4543.4911418279207</v>
      </c>
      <c r="K568" s="320">
        <f t="shared" si="256"/>
        <v>0</v>
      </c>
      <c r="L568" s="320">
        <f t="shared" si="256"/>
        <v>0</v>
      </c>
      <c r="M568" s="320">
        <f t="shared" si="256"/>
        <v>0</v>
      </c>
      <c r="N568" s="320">
        <f t="shared" si="256"/>
        <v>0</v>
      </c>
      <c r="O568" s="320">
        <f t="shared" si="256"/>
        <v>0</v>
      </c>
      <c r="P568" s="320">
        <f t="shared" si="256"/>
        <v>-80.400571973470775</v>
      </c>
      <c r="Q568" s="320">
        <f t="shared" si="256"/>
        <v>690.99487572580551</v>
      </c>
      <c r="R568" s="320">
        <f t="shared" si="256"/>
        <v>123.87465951496472</v>
      </c>
      <c r="S568" s="320">
        <f t="shared" si="256"/>
        <v>572.45772581479207</v>
      </c>
      <c r="T568" s="320">
        <f t="shared" si="256"/>
        <v>583.95678559568364</v>
      </c>
      <c r="U568" s="320">
        <f t="shared" si="256"/>
        <v>113.84658877730249</v>
      </c>
      <c r="V568" s="320">
        <f t="shared" si="256"/>
        <v>-7.506274837273395</v>
      </c>
      <c r="W568" s="320">
        <f t="shared" si="256"/>
        <v>290.89541351815797</v>
      </c>
      <c r="X568" s="320">
        <f t="shared" si="256"/>
        <v>285.89130348141498</v>
      </c>
      <c r="Y568" s="320">
        <f t="shared" si="256"/>
        <v>267.05373632293731</v>
      </c>
      <c r="Z568" s="320">
        <f t="shared" si="256"/>
        <v>283.71478512579188</v>
      </c>
      <c r="AA568" s="320">
        <f t="shared" si="256"/>
        <v>292.28810999490338</v>
      </c>
      <c r="AB568" s="320">
        <f t="shared" si="256"/>
        <v>314.14031033722472</v>
      </c>
      <c r="AC568" s="320">
        <f t="shared" si="256"/>
        <v>416.64689565896447</v>
      </c>
      <c r="AD568" s="320">
        <f t="shared" si="256"/>
        <v>395.63679877072173</v>
      </c>
      <c r="AE568" s="320">
        <f t="shared" si="256"/>
        <v>0</v>
      </c>
      <c r="AF568" s="320">
        <f t="shared" si="256"/>
        <v>0</v>
      </c>
      <c r="AG568" s="320">
        <f t="shared" si="256"/>
        <v>0</v>
      </c>
      <c r="AH568" s="320">
        <f t="shared" si="256"/>
        <v>0</v>
      </c>
      <c r="AI568" s="320">
        <f t="shared" si="256"/>
        <v>0</v>
      </c>
      <c r="AJ568" s="320">
        <f t="shared" si="256"/>
        <v>0</v>
      </c>
      <c r="AK568" s="320">
        <f t="shared" si="256"/>
        <v>0</v>
      </c>
      <c r="AL568" s="320">
        <f t="shared" si="256"/>
        <v>0</v>
      </c>
      <c r="AM568" s="320">
        <f t="shared" si="256"/>
        <v>0</v>
      </c>
      <c r="AN568" s="320">
        <f t="shared" si="256"/>
        <v>0</v>
      </c>
      <c r="AO568" s="320">
        <f t="shared" si="256"/>
        <v>0</v>
      </c>
      <c r="AP568" s="320">
        <f t="shared" si="256"/>
        <v>0</v>
      </c>
      <c r="AQ568" s="320">
        <f t="shared" si="256"/>
        <v>0</v>
      </c>
      <c r="AR568" s="320">
        <f t="shared" si="256"/>
        <v>0</v>
      </c>
      <c r="AS568" s="320">
        <f t="shared" si="256"/>
        <v>0</v>
      </c>
      <c r="AT568" s="320">
        <f t="shared" si="256"/>
        <v>0</v>
      </c>
      <c r="AU568" s="320">
        <f t="shared" si="256"/>
        <v>0</v>
      </c>
      <c r="AV568" s="320">
        <f t="shared" si="256"/>
        <v>0</v>
      </c>
    </row>
    <row r="569" spans="1:48" s="320" customFormat="1" ht="15" customHeight="1">
      <c r="A569" s="351"/>
      <c r="B569" s="134"/>
      <c r="C569" s="322"/>
      <c r="D569" s="724"/>
      <c r="E569" s="320" t="s">
        <v>117</v>
      </c>
      <c r="G569" s="320" t="s">
        <v>29</v>
      </c>
      <c r="L569" s="320">
        <f t="shared" ref="L569:AV569" si="257" xml:space="preserve"> IF(L567 = 1, $F565 * -1, K570 * (K570 &lt; 0))</f>
        <v>0</v>
      </c>
      <c r="M569" s="320">
        <f t="shared" si="257"/>
        <v>0</v>
      </c>
      <c r="N569" s="320">
        <f t="shared" si="257"/>
        <v>0</v>
      </c>
      <c r="O569" s="320">
        <f t="shared" si="257"/>
        <v>0</v>
      </c>
      <c r="P569" s="320">
        <f t="shared" si="257"/>
        <v>0</v>
      </c>
      <c r="Q569" s="320">
        <f t="shared" si="257"/>
        <v>-80.400571973470775</v>
      </c>
      <c r="R569" s="320">
        <f t="shared" si="257"/>
        <v>0</v>
      </c>
      <c r="S569" s="320">
        <f t="shared" si="257"/>
        <v>0</v>
      </c>
      <c r="T569" s="320">
        <f t="shared" si="257"/>
        <v>0</v>
      </c>
      <c r="U569" s="320">
        <f t="shared" si="257"/>
        <v>0</v>
      </c>
      <c r="V569" s="320">
        <f t="shared" si="257"/>
        <v>0</v>
      </c>
      <c r="W569" s="320">
        <f t="shared" si="257"/>
        <v>-7.506274837273395</v>
      </c>
      <c r="X569" s="320">
        <f t="shared" si="257"/>
        <v>0</v>
      </c>
      <c r="Y569" s="320">
        <f t="shared" si="257"/>
        <v>0</v>
      </c>
      <c r="Z569" s="320">
        <f t="shared" si="257"/>
        <v>0</v>
      </c>
      <c r="AA569" s="320">
        <f t="shared" si="257"/>
        <v>0</v>
      </c>
      <c r="AB569" s="320">
        <f t="shared" si="257"/>
        <v>0</v>
      </c>
      <c r="AC569" s="320">
        <f t="shared" si="257"/>
        <v>0</v>
      </c>
      <c r="AD569" s="320">
        <f t="shared" si="257"/>
        <v>0</v>
      </c>
      <c r="AE569" s="320">
        <f t="shared" si="257"/>
        <v>0</v>
      </c>
      <c r="AF569" s="320">
        <f t="shared" si="257"/>
        <v>0</v>
      </c>
      <c r="AG569" s="320">
        <f t="shared" si="257"/>
        <v>0</v>
      </c>
      <c r="AH569" s="320">
        <f t="shared" si="257"/>
        <v>0</v>
      </c>
      <c r="AI569" s="320">
        <f t="shared" si="257"/>
        <v>0</v>
      </c>
      <c r="AJ569" s="320">
        <f t="shared" si="257"/>
        <v>0</v>
      </c>
      <c r="AK569" s="320">
        <f t="shared" si="257"/>
        <v>0</v>
      </c>
      <c r="AL569" s="320">
        <f t="shared" si="257"/>
        <v>0</v>
      </c>
      <c r="AM569" s="320">
        <f t="shared" si="257"/>
        <v>0</v>
      </c>
      <c r="AN569" s="320">
        <f t="shared" si="257"/>
        <v>0</v>
      </c>
      <c r="AO569" s="320">
        <f t="shared" si="257"/>
        <v>0</v>
      </c>
      <c r="AP569" s="320">
        <f t="shared" si="257"/>
        <v>0</v>
      </c>
      <c r="AQ569" s="320">
        <f t="shared" si="257"/>
        <v>0</v>
      </c>
      <c r="AR569" s="320">
        <f t="shared" si="257"/>
        <v>0</v>
      </c>
      <c r="AS569" s="320">
        <f t="shared" si="257"/>
        <v>0</v>
      </c>
      <c r="AT569" s="320">
        <f t="shared" si="257"/>
        <v>0</v>
      </c>
      <c r="AU569" s="320">
        <f t="shared" si="257"/>
        <v>0</v>
      </c>
      <c r="AV569" s="320">
        <f t="shared" si="257"/>
        <v>0</v>
      </c>
    </row>
    <row r="570" spans="1:48" s="320" customFormat="1" ht="15" customHeight="1">
      <c r="A570" s="351"/>
      <c r="B570" s="134"/>
      <c r="C570" s="322"/>
      <c r="D570" s="724"/>
      <c r="E570" s="320" t="s">
        <v>118</v>
      </c>
      <c r="G570" s="320" t="s">
        <v>29</v>
      </c>
      <c r="K570" s="338"/>
      <c r="L570" s="320">
        <f t="shared" ref="L570:AV570" si="258" xml:space="preserve"> L568 + L569</f>
        <v>0</v>
      </c>
      <c r="M570" s="320">
        <f t="shared" si="258"/>
        <v>0</v>
      </c>
      <c r="N570" s="320">
        <f t="shared" si="258"/>
        <v>0</v>
      </c>
      <c r="O570" s="320">
        <f t="shared" si="258"/>
        <v>0</v>
      </c>
      <c r="P570" s="320">
        <f t="shared" si="258"/>
        <v>-80.400571973470775</v>
      </c>
      <c r="Q570" s="320">
        <f t="shared" si="258"/>
        <v>610.59430375233478</v>
      </c>
      <c r="R570" s="320">
        <f t="shared" si="258"/>
        <v>123.87465951496472</v>
      </c>
      <c r="S570" s="320">
        <f t="shared" si="258"/>
        <v>572.45772581479207</v>
      </c>
      <c r="T570" s="320">
        <f t="shared" si="258"/>
        <v>583.95678559568364</v>
      </c>
      <c r="U570" s="320">
        <f t="shared" si="258"/>
        <v>113.84658877730249</v>
      </c>
      <c r="V570" s="320">
        <f t="shared" si="258"/>
        <v>-7.506274837273395</v>
      </c>
      <c r="W570" s="320">
        <f t="shared" si="258"/>
        <v>283.38913868088457</v>
      </c>
      <c r="X570" s="320">
        <f t="shared" si="258"/>
        <v>285.89130348141498</v>
      </c>
      <c r="Y570" s="320">
        <f t="shared" si="258"/>
        <v>267.05373632293731</v>
      </c>
      <c r="Z570" s="320">
        <f t="shared" si="258"/>
        <v>283.71478512579188</v>
      </c>
      <c r="AA570" s="320">
        <f t="shared" si="258"/>
        <v>292.28810999490338</v>
      </c>
      <c r="AB570" s="320">
        <f t="shared" si="258"/>
        <v>314.14031033722472</v>
      </c>
      <c r="AC570" s="320">
        <f t="shared" si="258"/>
        <v>416.64689565896447</v>
      </c>
      <c r="AD570" s="320">
        <f t="shared" si="258"/>
        <v>395.63679877072173</v>
      </c>
      <c r="AE570" s="320">
        <f t="shared" si="258"/>
        <v>0</v>
      </c>
      <c r="AF570" s="320">
        <f t="shared" si="258"/>
        <v>0</v>
      </c>
      <c r="AG570" s="320">
        <f t="shared" si="258"/>
        <v>0</v>
      </c>
      <c r="AH570" s="320">
        <f t="shared" si="258"/>
        <v>0</v>
      </c>
      <c r="AI570" s="320">
        <f t="shared" si="258"/>
        <v>0</v>
      </c>
      <c r="AJ570" s="320">
        <f t="shared" si="258"/>
        <v>0</v>
      </c>
      <c r="AK570" s="320">
        <f t="shared" si="258"/>
        <v>0</v>
      </c>
      <c r="AL570" s="320">
        <f t="shared" si="258"/>
        <v>0</v>
      </c>
      <c r="AM570" s="320">
        <f t="shared" si="258"/>
        <v>0</v>
      </c>
      <c r="AN570" s="320">
        <f t="shared" si="258"/>
        <v>0</v>
      </c>
      <c r="AO570" s="320">
        <f t="shared" si="258"/>
        <v>0</v>
      </c>
      <c r="AP570" s="320">
        <f t="shared" si="258"/>
        <v>0</v>
      </c>
      <c r="AQ570" s="320">
        <f t="shared" si="258"/>
        <v>0</v>
      </c>
      <c r="AR570" s="320">
        <f t="shared" si="258"/>
        <v>0</v>
      </c>
      <c r="AS570" s="320">
        <f t="shared" si="258"/>
        <v>0</v>
      </c>
      <c r="AT570" s="320">
        <f t="shared" si="258"/>
        <v>0</v>
      </c>
      <c r="AU570" s="320">
        <f t="shared" si="258"/>
        <v>0</v>
      </c>
      <c r="AV570" s="320">
        <f t="shared" si="258"/>
        <v>0</v>
      </c>
    </row>
    <row r="571" spans="1:48" s="320" customFormat="1" ht="15" customHeight="1">
      <c r="A571" s="351"/>
      <c r="B571" s="134"/>
      <c r="C571" s="322"/>
      <c r="D571" s="724"/>
    </row>
    <row r="572" spans="1:48" s="320" customFormat="1" ht="15" customHeight="1">
      <c r="A572" s="351"/>
      <c r="B572" s="134"/>
      <c r="C572" s="322"/>
      <c r="D572" s="724"/>
      <c r="E572" s="132" t="str">
        <f xml:space="preserve"> InputsCon!E$108</f>
        <v>CIT rate</v>
      </c>
      <c r="F572" s="268">
        <f xml:space="preserve"> InputsCon!F$108</f>
        <v>0.3</v>
      </c>
      <c r="G572" s="132" t="str">
        <f xml:space="preserve"> InputsCon!G$108</f>
        <v>%</v>
      </c>
    </row>
    <row r="573" spans="1:48" s="320" customFormat="1" ht="15" customHeight="1">
      <c r="A573" s="351"/>
      <c r="B573" s="134"/>
      <c r="C573" s="322"/>
      <c r="D573" s="724"/>
      <c r="E573" s="320" t="s">
        <v>892</v>
      </c>
      <c r="F573" s="268"/>
      <c r="G573" s="132" t="s">
        <v>29</v>
      </c>
      <c r="J573" s="320">
        <f xml:space="preserve"> SUM(L573:AV573)</f>
        <v>1363.047342548376</v>
      </c>
      <c r="L573" s="320">
        <f t="shared" ref="L573:AV573" si="259" xml:space="preserve"> L570 * $F572 * (L570 &gt; 0)</f>
        <v>0</v>
      </c>
      <c r="M573" s="320">
        <f t="shared" si="259"/>
        <v>0</v>
      </c>
      <c r="N573" s="320">
        <f t="shared" si="259"/>
        <v>0</v>
      </c>
      <c r="O573" s="320">
        <f t="shared" si="259"/>
        <v>0</v>
      </c>
      <c r="P573" s="320">
        <f t="shared" si="259"/>
        <v>0</v>
      </c>
      <c r="Q573" s="320">
        <f t="shared" si="259"/>
        <v>183.17829112570044</v>
      </c>
      <c r="R573" s="320">
        <f t="shared" si="259"/>
        <v>37.162397854489413</v>
      </c>
      <c r="S573" s="320">
        <f t="shared" si="259"/>
        <v>171.7373177444376</v>
      </c>
      <c r="T573" s="320">
        <f t="shared" si="259"/>
        <v>175.18703567870509</v>
      </c>
      <c r="U573" s="320">
        <f t="shared" si="259"/>
        <v>34.153976633190744</v>
      </c>
      <c r="V573" s="320">
        <f t="shared" si="259"/>
        <v>0</v>
      </c>
      <c r="W573" s="320">
        <f t="shared" si="259"/>
        <v>85.016741604265363</v>
      </c>
      <c r="X573" s="320">
        <f t="shared" si="259"/>
        <v>85.767391044424485</v>
      </c>
      <c r="Y573" s="320">
        <f t="shared" si="259"/>
        <v>80.116120896881185</v>
      </c>
      <c r="Z573" s="320">
        <f t="shared" si="259"/>
        <v>85.114435537737563</v>
      </c>
      <c r="AA573" s="320">
        <f t="shared" si="259"/>
        <v>87.686432998471005</v>
      </c>
      <c r="AB573" s="320">
        <f t="shared" si="259"/>
        <v>94.242093101167413</v>
      </c>
      <c r="AC573" s="320">
        <f t="shared" si="259"/>
        <v>124.99406869768933</v>
      </c>
      <c r="AD573" s="320">
        <f t="shared" si="259"/>
        <v>118.69103963121651</v>
      </c>
      <c r="AE573" s="320">
        <f t="shared" si="259"/>
        <v>0</v>
      </c>
      <c r="AF573" s="320">
        <f t="shared" si="259"/>
        <v>0</v>
      </c>
      <c r="AG573" s="320">
        <f t="shared" si="259"/>
        <v>0</v>
      </c>
      <c r="AH573" s="320">
        <f t="shared" si="259"/>
        <v>0</v>
      </c>
      <c r="AI573" s="320">
        <f t="shared" si="259"/>
        <v>0</v>
      </c>
      <c r="AJ573" s="320">
        <f t="shared" si="259"/>
        <v>0</v>
      </c>
      <c r="AK573" s="320">
        <f t="shared" si="259"/>
        <v>0</v>
      </c>
      <c r="AL573" s="320">
        <f t="shared" si="259"/>
        <v>0</v>
      </c>
      <c r="AM573" s="320">
        <f t="shared" si="259"/>
        <v>0</v>
      </c>
      <c r="AN573" s="320">
        <f t="shared" si="259"/>
        <v>0</v>
      </c>
      <c r="AO573" s="320">
        <f t="shared" si="259"/>
        <v>0</v>
      </c>
      <c r="AP573" s="320">
        <f t="shared" si="259"/>
        <v>0</v>
      </c>
      <c r="AQ573" s="320">
        <f t="shared" si="259"/>
        <v>0</v>
      </c>
      <c r="AR573" s="320">
        <f t="shared" si="259"/>
        <v>0</v>
      </c>
      <c r="AS573" s="320">
        <f t="shared" si="259"/>
        <v>0</v>
      </c>
      <c r="AT573" s="320">
        <f t="shared" si="259"/>
        <v>0</v>
      </c>
      <c r="AU573" s="320">
        <f t="shared" si="259"/>
        <v>0</v>
      </c>
      <c r="AV573" s="320">
        <f t="shared" si="259"/>
        <v>0</v>
      </c>
    </row>
    <row r="574" spans="1:48" s="320" customFormat="1" ht="15" customHeight="1">
      <c r="A574" s="351"/>
      <c r="B574" s="134"/>
      <c r="C574" s="322"/>
      <c r="D574" s="724"/>
      <c r="E574" s="132"/>
      <c r="F574" s="268"/>
      <c r="G574" s="132"/>
    </row>
    <row r="575" spans="1:48" s="320" customFormat="1" ht="15" customHeight="1">
      <c r="A575" s="351"/>
      <c r="B575" s="134"/>
      <c r="C575" s="322" t="s">
        <v>890</v>
      </c>
      <c r="D575" s="724"/>
      <c r="E575" s="132"/>
      <c r="F575" s="268"/>
      <c r="G575" s="132"/>
    </row>
    <row r="576" spans="1:48" s="320" customFormat="1" ht="15" customHeight="1">
      <c r="A576" s="351"/>
      <c r="B576" s="134"/>
      <c r="C576" s="322"/>
      <c r="D576" s="724"/>
      <c r="E576" s="150" t="str">
        <f t="shared" ref="E576:AV576" si="260" xml:space="preserve"> E$550</f>
        <v>Copper &amp; Cobalt net revenue</v>
      </c>
      <c r="F576" s="150">
        <f t="shared" si="260"/>
        <v>0</v>
      </c>
      <c r="G576" s="150" t="str">
        <f t="shared" si="260"/>
        <v>$ mn</v>
      </c>
      <c r="H576" s="150">
        <f t="shared" si="260"/>
        <v>0</v>
      </c>
      <c r="I576" s="150">
        <f t="shared" si="260"/>
        <v>0</v>
      </c>
      <c r="J576" s="150">
        <f t="shared" si="260"/>
        <v>19011.922098404622</v>
      </c>
      <c r="K576" s="150">
        <f t="shared" si="260"/>
        <v>0</v>
      </c>
      <c r="L576" s="150">
        <f t="shared" si="260"/>
        <v>0</v>
      </c>
      <c r="M576" s="150">
        <f t="shared" si="260"/>
        <v>0</v>
      </c>
      <c r="N576" s="150">
        <f t="shared" si="260"/>
        <v>0</v>
      </c>
      <c r="O576" s="150">
        <f t="shared" si="260"/>
        <v>0</v>
      </c>
      <c r="P576" s="150">
        <f t="shared" si="260"/>
        <v>67.136253929427468</v>
      </c>
      <c r="Q576" s="150">
        <f t="shared" si="260"/>
        <v>946.59558436977954</v>
      </c>
      <c r="R576" s="150">
        <f t="shared" si="260"/>
        <v>800.97287781965736</v>
      </c>
      <c r="S576" s="150">
        <f t="shared" si="260"/>
        <v>1554.927232437954</v>
      </c>
      <c r="T576" s="150">
        <f t="shared" si="260"/>
        <v>1790.254007985714</v>
      </c>
      <c r="U576" s="150">
        <f t="shared" si="260"/>
        <v>1286.9954809814114</v>
      </c>
      <c r="V576" s="150">
        <f t="shared" si="260"/>
        <v>1197.6567216301939</v>
      </c>
      <c r="W576" s="150">
        <f t="shared" si="260"/>
        <v>1403.7590036412423</v>
      </c>
      <c r="X576" s="150">
        <f t="shared" si="260"/>
        <v>1391.1347298918572</v>
      </c>
      <c r="Y576" s="150">
        <f t="shared" si="260"/>
        <v>1369.2168626342282</v>
      </c>
      <c r="Z576" s="150">
        <f t="shared" si="260"/>
        <v>1398.3349958679573</v>
      </c>
      <c r="AA576" s="150">
        <f t="shared" si="260"/>
        <v>1393.351686353117</v>
      </c>
      <c r="AB576" s="150">
        <f t="shared" si="260"/>
        <v>1400.6663216951804</v>
      </c>
      <c r="AC576" s="150">
        <f t="shared" si="260"/>
        <v>1490.4682157878392</v>
      </c>
      <c r="AD576" s="150">
        <f t="shared" si="260"/>
        <v>1520.4521233790642</v>
      </c>
      <c r="AE576" s="150">
        <f t="shared" si="260"/>
        <v>0</v>
      </c>
      <c r="AF576" s="150">
        <f t="shared" si="260"/>
        <v>0</v>
      </c>
      <c r="AG576" s="150">
        <f t="shared" si="260"/>
        <v>0</v>
      </c>
      <c r="AH576" s="150">
        <f t="shared" si="260"/>
        <v>0</v>
      </c>
      <c r="AI576" s="150">
        <f t="shared" si="260"/>
        <v>0</v>
      </c>
      <c r="AJ576" s="150">
        <f t="shared" si="260"/>
        <v>0</v>
      </c>
      <c r="AK576" s="150">
        <f t="shared" si="260"/>
        <v>0</v>
      </c>
      <c r="AL576" s="150">
        <f t="shared" si="260"/>
        <v>0</v>
      </c>
      <c r="AM576" s="150">
        <f t="shared" si="260"/>
        <v>0</v>
      </c>
      <c r="AN576" s="150">
        <f t="shared" si="260"/>
        <v>0</v>
      </c>
      <c r="AO576" s="150">
        <f t="shared" si="260"/>
        <v>0</v>
      </c>
      <c r="AP576" s="150">
        <f t="shared" si="260"/>
        <v>0</v>
      </c>
      <c r="AQ576" s="150">
        <f t="shared" si="260"/>
        <v>0</v>
      </c>
      <c r="AR576" s="150">
        <f t="shared" si="260"/>
        <v>0</v>
      </c>
      <c r="AS576" s="150">
        <f t="shared" si="260"/>
        <v>0</v>
      </c>
      <c r="AT576" s="150">
        <f t="shared" si="260"/>
        <v>0</v>
      </c>
      <c r="AU576" s="150">
        <f t="shared" si="260"/>
        <v>0</v>
      </c>
      <c r="AV576" s="150">
        <f t="shared" si="260"/>
        <v>0</v>
      </c>
    </row>
    <row r="577" spans="1:48" s="320" customFormat="1" ht="15" customHeight="1">
      <c r="A577" s="351"/>
      <c r="B577" s="134"/>
      <c r="C577" s="322"/>
      <c r="D577" s="724"/>
      <c r="E577" s="186" t="str">
        <f xml:space="preserve"> InputsCon!E$110</f>
        <v>Minimum income tax</v>
      </c>
      <c r="F577" s="186">
        <f xml:space="preserve"> InputsCon!F$110</f>
        <v>0.01</v>
      </c>
      <c r="G577" s="186" t="str">
        <f xml:space="preserve"> InputsCon!G$110</f>
        <v>% of turnover</v>
      </c>
    </row>
    <row r="578" spans="1:48" s="150" customFormat="1" ht="15" customHeight="1">
      <c r="A578" s="189"/>
      <c r="B578" s="189"/>
      <c r="C578" s="151"/>
      <c r="D578" s="854"/>
      <c r="E578" s="150" t="s">
        <v>893</v>
      </c>
      <c r="F578" s="206"/>
      <c r="G578" s="150" t="s">
        <v>29</v>
      </c>
      <c r="J578" s="150">
        <f xml:space="preserve"> SUM(L578:AV578)</f>
        <v>190.11922098404625</v>
      </c>
      <c r="L578" s="150">
        <f t="shared" ref="L578:AV578" si="261" xml:space="preserve"> L576 * $F577</f>
        <v>0</v>
      </c>
      <c r="M578" s="150">
        <f t="shared" si="261"/>
        <v>0</v>
      </c>
      <c r="N578" s="150">
        <f t="shared" si="261"/>
        <v>0</v>
      </c>
      <c r="O578" s="150">
        <f t="shared" si="261"/>
        <v>0</v>
      </c>
      <c r="P578" s="150">
        <f t="shared" si="261"/>
        <v>0.6713625392942747</v>
      </c>
      <c r="Q578" s="150">
        <f t="shared" si="261"/>
        <v>9.4659558436977953</v>
      </c>
      <c r="R578" s="150">
        <f t="shared" si="261"/>
        <v>8.0097287781965729</v>
      </c>
      <c r="S578" s="150">
        <f t="shared" si="261"/>
        <v>15.54927232437954</v>
      </c>
      <c r="T578" s="150">
        <f t="shared" si="261"/>
        <v>17.90254007985714</v>
      </c>
      <c r="U578" s="150">
        <f t="shared" si="261"/>
        <v>12.869954809814114</v>
      </c>
      <c r="V578" s="150">
        <f t="shared" si="261"/>
        <v>11.976567216301939</v>
      </c>
      <c r="W578" s="150">
        <f t="shared" si="261"/>
        <v>14.037590036412423</v>
      </c>
      <c r="X578" s="150">
        <f t="shared" si="261"/>
        <v>13.911347298918573</v>
      </c>
      <c r="Y578" s="150">
        <f t="shared" si="261"/>
        <v>13.692168626342282</v>
      </c>
      <c r="Z578" s="150">
        <f t="shared" si="261"/>
        <v>13.983349958679574</v>
      </c>
      <c r="AA578" s="150">
        <f t="shared" si="261"/>
        <v>13.933516863531169</v>
      </c>
      <c r="AB578" s="150">
        <f t="shared" si="261"/>
        <v>14.006663216951804</v>
      </c>
      <c r="AC578" s="150">
        <f t="shared" si="261"/>
        <v>14.904682157878392</v>
      </c>
      <c r="AD578" s="150">
        <f t="shared" si="261"/>
        <v>15.204521233790643</v>
      </c>
      <c r="AE578" s="150">
        <f t="shared" si="261"/>
        <v>0</v>
      </c>
      <c r="AF578" s="150">
        <f t="shared" si="261"/>
        <v>0</v>
      </c>
      <c r="AG578" s="150">
        <f t="shared" si="261"/>
        <v>0</v>
      </c>
      <c r="AH578" s="150">
        <f t="shared" si="261"/>
        <v>0</v>
      </c>
      <c r="AI578" s="150">
        <f t="shared" si="261"/>
        <v>0</v>
      </c>
      <c r="AJ578" s="150">
        <f t="shared" si="261"/>
        <v>0</v>
      </c>
      <c r="AK578" s="150">
        <f t="shared" si="261"/>
        <v>0</v>
      </c>
      <c r="AL578" s="150">
        <f t="shared" si="261"/>
        <v>0</v>
      </c>
      <c r="AM578" s="150">
        <f t="shared" si="261"/>
        <v>0</v>
      </c>
      <c r="AN578" s="150">
        <f t="shared" si="261"/>
        <v>0</v>
      </c>
      <c r="AO578" s="150">
        <f t="shared" si="261"/>
        <v>0</v>
      </c>
      <c r="AP578" s="150">
        <f t="shared" si="261"/>
        <v>0</v>
      </c>
      <c r="AQ578" s="150">
        <f t="shared" si="261"/>
        <v>0</v>
      </c>
      <c r="AR578" s="150">
        <f t="shared" si="261"/>
        <v>0</v>
      </c>
      <c r="AS578" s="150">
        <f t="shared" si="261"/>
        <v>0</v>
      </c>
      <c r="AT578" s="150">
        <f t="shared" si="261"/>
        <v>0</v>
      </c>
      <c r="AU578" s="150">
        <f t="shared" si="261"/>
        <v>0</v>
      </c>
      <c r="AV578" s="150">
        <f t="shared" si="261"/>
        <v>0</v>
      </c>
    </row>
    <row r="579" spans="1:48" s="320" customFormat="1" ht="15" customHeight="1">
      <c r="A579" s="351"/>
      <c r="B579" s="134"/>
      <c r="C579" s="322"/>
      <c r="D579" s="724"/>
      <c r="E579" s="132"/>
      <c r="F579" s="268"/>
      <c r="G579" s="132"/>
    </row>
    <row r="580" spans="1:48" s="320" customFormat="1" ht="15" customHeight="1">
      <c r="A580" s="351"/>
      <c r="B580" s="134"/>
      <c r="C580" s="322" t="s">
        <v>894</v>
      </c>
      <c r="D580" s="724"/>
      <c r="E580" s="132"/>
      <c r="F580" s="268"/>
      <c r="G580" s="132"/>
    </row>
    <row r="581" spans="1:48" s="150" customFormat="1" ht="15" customHeight="1">
      <c r="A581" s="189"/>
      <c r="B581" s="189"/>
      <c r="C581" s="151"/>
      <c r="D581" s="854"/>
      <c r="E581" s="150" t="str">
        <f t="shared" ref="E581:AV581" si="262" xml:space="preserve"> E$573</f>
        <v>CIT payable (before Minimum Income Tax)</v>
      </c>
      <c r="F581" s="150">
        <f t="shared" si="262"/>
        <v>0</v>
      </c>
      <c r="G581" s="150" t="str">
        <f t="shared" si="262"/>
        <v>$ mn</v>
      </c>
      <c r="H581" s="150">
        <f t="shared" si="262"/>
        <v>0</v>
      </c>
      <c r="I581" s="150">
        <f t="shared" si="262"/>
        <v>0</v>
      </c>
      <c r="J581" s="150">
        <f t="shared" si="262"/>
        <v>1363.047342548376</v>
      </c>
      <c r="K581" s="150">
        <f t="shared" si="262"/>
        <v>0</v>
      </c>
      <c r="L581" s="150">
        <f t="shared" si="262"/>
        <v>0</v>
      </c>
      <c r="M581" s="150">
        <f t="shared" si="262"/>
        <v>0</v>
      </c>
      <c r="N581" s="150">
        <f t="shared" si="262"/>
        <v>0</v>
      </c>
      <c r="O581" s="150">
        <f t="shared" si="262"/>
        <v>0</v>
      </c>
      <c r="P581" s="150">
        <f t="shared" si="262"/>
        <v>0</v>
      </c>
      <c r="Q581" s="150">
        <f t="shared" si="262"/>
        <v>183.17829112570044</v>
      </c>
      <c r="R581" s="150">
        <f t="shared" si="262"/>
        <v>37.162397854489413</v>
      </c>
      <c r="S581" s="150">
        <f t="shared" si="262"/>
        <v>171.7373177444376</v>
      </c>
      <c r="T581" s="150">
        <f t="shared" si="262"/>
        <v>175.18703567870509</v>
      </c>
      <c r="U581" s="150">
        <f t="shared" si="262"/>
        <v>34.153976633190744</v>
      </c>
      <c r="V581" s="150">
        <f t="shared" si="262"/>
        <v>0</v>
      </c>
      <c r="W581" s="150">
        <f t="shared" si="262"/>
        <v>85.016741604265363</v>
      </c>
      <c r="X581" s="150">
        <f t="shared" si="262"/>
        <v>85.767391044424485</v>
      </c>
      <c r="Y581" s="150">
        <f t="shared" si="262"/>
        <v>80.116120896881185</v>
      </c>
      <c r="Z581" s="150">
        <f t="shared" si="262"/>
        <v>85.114435537737563</v>
      </c>
      <c r="AA581" s="150">
        <f t="shared" si="262"/>
        <v>87.686432998471005</v>
      </c>
      <c r="AB581" s="150">
        <f t="shared" si="262"/>
        <v>94.242093101167413</v>
      </c>
      <c r="AC581" s="150">
        <f t="shared" si="262"/>
        <v>124.99406869768933</v>
      </c>
      <c r="AD581" s="150">
        <f t="shared" si="262"/>
        <v>118.69103963121651</v>
      </c>
      <c r="AE581" s="150">
        <f t="shared" si="262"/>
        <v>0</v>
      </c>
      <c r="AF581" s="150">
        <f t="shared" si="262"/>
        <v>0</v>
      </c>
      <c r="AG581" s="150">
        <f t="shared" si="262"/>
        <v>0</v>
      </c>
      <c r="AH581" s="150">
        <f t="shared" si="262"/>
        <v>0</v>
      </c>
      <c r="AI581" s="150">
        <f t="shared" si="262"/>
        <v>0</v>
      </c>
      <c r="AJ581" s="150">
        <f t="shared" si="262"/>
        <v>0</v>
      </c>
      <c r="AK581" s="150">
        <f t="shared" si="262"/>
        <v>0</v>
      </c>
      <c r="AL581" s="150">
        <f t="shared" si="262"/>
        <v>0</v>
      </c>
      <c r="AM581" s="150">
        <f t="shared" si="262"/>
        <v>0</v>
      </c>
      <c r="AN581" s="150">
        <f t="shared" si="262"/>
        <v>0</v>
      </c>
      <c r="AO581" s="150">
        <f t="shared" si="262"/>
        <v>0</v>
      </c>
      <c r="AP581" s="150">
        <f t="shared" si="262"/>
        <v>0</v>
      </c>
      <c r="AQ581" s="150">
        <f t="shared" si="262"/>
        <v>0</v>
      </c>
      <c r="AR581" s="150">
        <f t="shared" si="262"/>
        <v>0</v>
      </c>
      <c r="AS581" s="150">
        <f t="shared" si="262"/>
        <v>0</v>
      </c>
      <c r="AT581" s="150">
        <f t="shared" si="262"/>
        <v>0</v>
      </c>
      <c r="AU581" s="150">
        <f t="shared" si="262"/>
        <v>0</v>
      </c>
      <c r="AV581" s="150">
        <f t="shared" si="262"/>
        <v>0</v>
      </c>
    </row>
    <row r="582" spans="1:48" s="150" customFormat="1" ht="15" customHeight="1">
      <c r="A582" s="189"/>
      <c r="B582" s="189"/>
      <c r="C582" s="151"/>
      <c r="D582" s="854"/>
      <c r="E582" s="150" t="str">
        <f t="shared" ref="E582:AV582" si="263" xml:space="preserve"> E$578</f>
        <v xml:space="preserve">Minimum Income Tax  </v>
      </c>
      <c r="F582" s="150">
        <f t="shared" si="263"/>
        <v>0</v>
      </c>
      <c r="G582" s="150" t="str">
        <f t="shared" si="263"/>
        <v>$ mn</v>
      </c>
      <c r="H582" s="150">
        <f t="shared" si="263"/>
        <v>0</v>
      </c>
      <c r="I582" s="150">
        <f t="shared" si="263"/>
        <v>0</v>
      </c>
      <c r="J582" s="150">
        <f t="shared" si="263"/>
        <v>190.11922098404625</v>
      </c>
      <c r="K582" s="150">
        <f t="shared" si="263"/>
        <v>0</v>
      </c>
      <c r="L582" s="150">
        <f t="shared" si="263"/>
        <v>0</v>
      </c>
      <c r="M582" s="150">
        <f t="shared" si="263"/>
        <v>0</v>
      </c>
      <c r="N582" s="150">
        <f t="shared" si="263"/>
        <v>0</v>
      </c>
      <c r="O582" s="150">
        <f t="shared" si="263"/>
        <v>0</v>
      </c>
      <c r="P582" s="150">
        <f t="shared" si="263"/>
        <v>0.6713625392942747</v>
      </c>
      <c r="Q582" s="150">
        <f t="shared" si="263"/>
        <v>9.4659558436977953</v>
      </c>
      <c r="R582" s="150">
        <f t="shared" si="263"/>
        <v>8.0097287781965729</v>
      </c>
      <c r="S582" s="150">
        <f t="shared" si="263"/>
        <v>15.54927232437954</v>
      </c>
      <c r="T582" s="150">
        <f t="shared" si="263"/>
        <v>17.90254007985714</v>
      </c>
      <c r="U582" s="150">
        <f t="shared" si="263"/>
        <v>12.869954809814114</v>
      </c>
      <c r="V582" s="150">
        <f t="shared" si="263"/>
        <v>11.976567216301939</v>
      </c>
      <c r="W582" s="150">
        <f t="shared" si="263"/>
        <v>14.037590036412423</v>
      </c>
      <c r="X582" s="150">
        <f t="shared" si="263"/>
        <v>13.911347298918573</v>
      </c>
      <c r="Y582" s="150">
        <f t="shared" si="263"/>
        <v>13.692168626342282</v>
      </c>
      <c r="Z582" s="150">
        <f t="shared" si="263"/>
        <v>13.983349958679574</v>
      </c>
      <c r="AA582" s="150">
        <f t="shared" si="263"/>
        <v>13.933516863531169</v>
      </c>
      <c r="AB582" s="150">
        <f t="shared" si="263"/>
        <v>14.006663216951804</v>
      </c>
      <c r="AC582" s="150">
        <f t="shared" si="263"/>
        <v>14.904682157878392</v>
      </c>
      <c r="AD582" s="150">
        <f t="shared" si="263"/>
        <v>15.204521233790643</v>
      </c>
      <c r="AE582" s="150">
        <f t="shared" si="263"/>
        <v>0</v>
      </c>
      <c r="AF582" s="150">
        <f t="shared" si="263"/>
        <v>0</v>
      </c>
      <c r="AG582" s="150">
        <f t="shared" si="263"/>
        <v>0</v>
      </c>
      <c r="AH582" s="150">
        <f t="shared" si="263"/>
        <v>0</v>
      </c>
      <c r="AI582" s="150">
        <f t="shared" si="263"/>
        <v>0</v>
      </c>
      <c r="AJ582" s="150">
        <f t="shared" si="263"/>
        <v>0</v>
      </c>
      <c r="AK582" s="150">
        <f t="shared" si="263"/>
        <v>0</v>
      </c>
      <c r="AL582" s="150">
        <f t="shared" si="263"/>
        <v>0</v>
      </c>
      <c r="AM582" s="150">
        <f t="shared" si="263"/>
        <v>0</v>
      </c>
      <c r="AN582" s="150">
        <f t="shared" si="263"/>
        <v>0</v>
      </c>
      <c r="AO582" s="150">
        <f t="shared" si="263"/>
        <v>0</v>
      </c>
      <c r="AP582" s="150">
        <f t="shared" si="263"/>
        <v>0</v>
      </c>
      <c r="AQ582" s="150">
        <f t="shared" si="263"/>
        <v>0</v>
      </c>
      <c r="AR582" s="150">
        <f t="shared" si="263"/>
        <v>0</v>
      </c>
      <c r="AS582" s="150">
        <f t="shared" si="263"/>
        <v>0</v>
      </c>
      <c r="AT582" s="150">
        <f t="shared" si="263"/>
        <v>0</v>
      </c>
      <c r="AU582" s="150">
        <f t="shared" si="263"/>
        <v>0</v>
      </c>
      <c r="AV582" s="150">
        <f t="shared" si="263"/>
        <v>0</v>
      </c>
    </row>
    <row r="583" spans="1:48" s="320" customFormat="1" ht="15" customHeight="1">
      <c r="A583" s="351"/>
      <c r="B583" s="134"/>
      <c r="C583" s="322"/>
      <c r="D583" s="724"/>
      <c r="E583" s="320" t="s">
        <v>667</v>
      </c>
      <c r="G583" s="320" t="s">
        <v>29</v>
      </c>
      <c r="J583" s="320">
        <f xml:space="preserve"> SUM(L583:AV583)</f>
        <v>1375.6952723039724</v>
      </c>
      <c r="L583" s="320">
        <f t="shared" ref="L583:AV583" si="264" xml:space="preserve"> MAX(L581, L582)</f>
        <v>0</v>
      </c>
      <c r="M583" s="320">
        <f t="shared" si="264"/>
        <v>0</v>
      </c>
      <c r="N583" s="320">
        <f t="shared" si="264"/>
        <v>0</v>
      </c>
      <c r="O583" s="320">
        <f t="shared" si="264"/>
        <v>0</v>
      </c>
      <c r="P583" s="320">
        <f t="shared" si="264"/>
        <v>0.6713625392942747</v>
      </c>
      <c r="Q583" s="320">
        <f t="shared" si="264"/>
        <v>183.17829112570044</v>
      </c>
      <c r="R583" s="320">
        <f t="shared" si="264"/>
        <v>37.162397854489413</v>
      </c>
      <c r="S583" s="320">
        <f t="shared" si="264"/>
        <v>171.7373177444376</v>
      </c>
      <c r="T583" s="320">
        <f t="shared" si="264"/>
        <v>175.18703567870509</v>
      </c>
      <c r="U583" s="320">
        <f t="shared" si="264"/>
        <v>34.153976633190744</v>
      </c>
      <c r="V583" s="320">
        <f t="shared" si="264"/>
        <v>11.976567216301939</v>
      </c>
      <c r="W583" s="320">
        <f t="shared" si="264"/>
        <v>85.016741604265363</v>
      </c>
      <c r="X583" s="320">
        <f t="shared" si="264"/>
        <v>85.767391044424485</v>
      </c>
      <c r="Y583" s="320">
        <f t="shared" si="264"/>
        <v>80.116120896881185</v>
      </c>
      <c r="Z583" s="320">
        <f t="shared" si="264"/>
        <v>85.114435537737563</v>
      </c>
      <c r="AA583" s="320">
        <f t="shared" si="264"/>
        <v>87.686432998471005</v>
      </c>
      <c r="AB583" s="320">
        <f t="shared" si="264"/>
        <v>94.242093101167413</v>
      </c>
      <c r="AC583" s="320">
        <f t="shared" si="264"/>
        <v>124.99406869768933</v>
      </c>
      <c r="AD583" s="320">
        <f t="shared" si="264"/>
        <v>118.69103963121651</v>
      </c>
      <c r="AE583" s="320">
        <f t="shared" si="264"/>
        <v>0</v>
      </c>
      <c r="AF583" s="320">
        <f t="shared" si="264"/>
        <v>0</v>
      </c>
      <c r="AG583" s="320">
        <f t="shared" si="264"/>
        <v>0</v>
      </c>
      <c r="AH583" s="320">
        <f t="shared" si="264"/>
        <v>0</v>
      </c>
      <c r="AI583" s="320">
        <f t="shared" si="264"/>
        <v>0</v>
      </c>
      <c r="AJ583" s="320">
        <f t="shared" si="264"/>
        <v>0</v>
      </c>
      <c r="AK583" s="320">
        <f t="shared" si="264"/>
        <v>0</v>
      </c>
      <c r="AL583" s="320">
        <f t="shared" si="264"/>
        <v>0</v>
      </c>
      <c r="AM583" s="320">
        <f t="shared" si="264"/>
        <v>0</v>
      </c>
      <c r="AN583" s="320">
        <f t="shared" si="264"/>
        <v>0</v>
      </c>
      <c r="AO583" s="320">
        <f t="shared" si="264"/>
        <v>0</v>
      </c>
      <c r="AP583" s="320">
        <f t="shared" si="264"/>
        <v>0</v>
      </c>
      <c r="AQ583" s="320">
        <f t="shared" si="264"/>
        <v>0</v>
      </c>
      <c r="AR583" s="320">
        <f t="shared" si="264"/>
        <v>0</v>
      </c>
      <c r="AS583" s="320">
        <f t="shared" si="264"/>
        <v>0</v>
      </c>
      <c r="AT583" s="320">
        <f t="shared" si="264"/>
        <v>0</v>
      </c>
      <c r="AU583" s="320">
        <f t="shared" si="264"/>
        <v>0</v>
      </c>
      <c r="AV583" s="320">
        <f t="shared" si="264"/>
        <v>0</v>
      </c>
    </row>
    <row r="584" spans="1:48" s="320" customFormat="1" ht="15" customHeight="1">
      <c r="A584" s="351"/>
      <c r="B584" s="134"/>
      <c r="C584" s="322"/>
      <c r="D584" s="724"/>
      <c r="E584" s="320" t="str">
        <f xml:space="preserve"> E583</f>
        <v>CIT payable</v>
      </c>
      <c r="F584" s="320">
        <f xml:space="preserve"> SUM(L583:AV583)</f>
        <v>1375.6952723039724</v>
      </c>
      <c r="G584" s="320" t="s">
        <v>29</v>
      </c>
    </row>
    <row r="585" spans="1:48" s="320" customFormat="1" ht="15" customHeight="1">
      <c r="A585" s="351"/>
      <c r="B585" s="134"/>
      <c r="C585" s="322"/>
      <c r="D585" s="724"/>
    </row>
    <row r="586" spans="1:48" s="160" customFormat="1" ht="15" customHeight="1">
      <c r="A586" s="164" t="s">
        <v>1257</v>
      </c>
      <c r="B586" s="162"/>
      <c r="C586" s="315"/>
      <c r="D586" s="386"/>
      <c r="E586" s="162"/>
      <c r="F586" s="162"/>
      <c r="G586" s="162"/>
      <c r="H586" s="162"/>
    </row>
    <row r="587" spans="1:48" s="320" customFormat="1" ht="15" customHeight="1">
      <c r="A587" s="351"/>
      <c r="B587" s="134"/>
      <c r="C587" s="322"/>
      <c r="D587" s="724"/>
    </row>
    <row r="588" spans="1:48" s="6" customFormat="1" ht="15" customHeight="1">
      <c r="A588" s="347"/>
      <c r="B588" s="95"/>
      <c r="C588" s="96"/>
      <c r="D588" s="369"/>
      <c r="E588" s="6" t="str">
        <f t="shared" ref="E588:AV588" si="265" xml:space="preserve"> E$189</f>
        <v>Copper plus Cobalt revenue</v>
      </c>
      <c r="F588" s="6">
        <f t="shared" si="265"/>
        <v>0</v>
      </c>
      <c r="G588" s="6" t="str">
        <f t="shared" si="265"/>
        <v>$ mn</v>
      </c>
      <c r="H588" s="6">
        <f t="shared" si="265"/>
        <v>0</v>
      </c>
      <c r="I588" s="6">
        <f t="shared" si="265"/>
        <v>0</v>
      </c>
      <c r="J588" s="6">
        <f t="shared" si="265"/>
        <v>19011.922098404622</v>
      </c>
      <c r="K588" s="6">
        <f t="shared" si="265"/>
        <v>0</v>
      </c>
      <c r="L588" s="6">
        <f t="shared" si="265"/>
        <v>0</v>
      </c>
      <c r="M588" s="6">
        <f t="shared" si="265"/>
        <v>0</v>
      </c>
      <c r="N588" s="6">
        <f t="shared" si="265"/>
        <v>0</v>
      </c>
      <c r="O588" s="6">
        <f t="shared" si="265"/>
        <v>0</v>
      </c>
      <c r="P588" s="6">
        <f t="shared" si="265"/>
        <v>67.136253929427468</v>
      </c>
      <c r="Q588" s="6">
        <f t="shared" si="265"/>
        <v>946.59558436977954</v>
      </c>
      <c r="R588" s="6">
        <f t="shared" si="265"/>
        <v>800.97287781965736</v>
      </c>
      <c r="S588" s="6">
        <f t="shared" si="265"/>
        <v>1554.927232437954</v>
      </c>
      <c r="T588" s="6">
        <f t="shared" si="265"/>
        <v>1790.254007985714</v>
      </c>
      <c r="U588" s="6">
        <f t="shared" si="265"/>
        <v>1286.9954809814114</v>
      </c>
      <c r="V588" s="6">
        <f t="shared" si="265"/>
        <v>1197.6567216301939</v>
      </c>
      <c r="W588" s="6">
        <f t="shared" si="265"/>
        <v>1403.7590036412423</v>
      </c>
      <c r="X588" s="6">
        <f t="shared" si="265"/>
        <v>1391.1347298918572</v>
      </c>
      <c r="Y588" s="6">
        <f t="shared" si="265"/>
        <v>1369.2168626342282</v>
      </c>
      <c r="Z588" s="6">
        <f t="shared" si="265"/>
        <v>1398.3349958679573</v>
      </c>
      <c r="AA588" s="6">
        <f t="shared" si="265"/>
        <v>1393.351686353117</v>
      </c>
      <c r="AB588" s="6">
        <f t="shared" si="265"/>
        <v>1400.6663216951804</v>
      </c>
      <c r="AC588" s="6">
        <f t="shared" si="265"/>
        <v>1490.4682157878392</v>
      </c>
      <c r="AD588" s="6">
        <f t="shared" si="265"/>
        <v>1520.4521233790642</v>
      </c>
      <c r="AE588" s="6">
        <f t="shared" si="265"/>
        <v>0</v>
      </c>
      <c r="AF588" s="6">
        <f t="shared" si="265"/>
        <v>0</v>
      </c>
      <c r="AG588" s="6">
        <f t="shared" si="265"/>
        <v>0</v>
      </c>
      <c r="AH588" s="6">
        <f t="shared" si="265"/>
        <v>0</v>
      </c>
      <c r="AI588" s="6">
        <f t="shared" si="265"/>
        <v>0</v>
      </c>
      <c r="AJ588" s="6">
        <f t="shared" si="265"/>
        <v>0</v>
      </c>
      <c r="AK588" s="6">
        <f t="shared" si="265"/>
        <v>0</v>
      </c>
      <c r="AL588" s="6">
        <f t="shared" si="265"/>
        <v>0</v>
      </c>
      <c r="AM588" s="6">
        <f t="shared" si="265"/>
        <v>0</v>
      </c>
      <c r="AN588" s="6">
        <f t="shared" si="265"/>
        <v>0</v>
      </c>
      <c r="AO588" s="6">
        <f t="shared" si="265"/>
        <v>0</v>
      </c>
      <c r="AP588" s="6">
        <f t="shared" si="265"/>
        <v>0</v>
      </c>
      <c r="AQ588" s="6">
        <f t="shared" si="265"/>
        <v>0</v>
      </c>
      <c r="AR588" s="6">
        <f t="shared" si="265"/>
        <v>0</v>
      </c>
      <c r="AS588" s="6">
        <f t="shared" si="265"/>
        <v>0</v>
      </c>
      <c r="AT588" s="6">
        <f t="shared" si="265"/>
        <v>0</v>
      </c>
      <c r="AU588" s="6">
        <f t="shared" si="265"/>
        <v>0</v>
      </c>
      <c r="AV588" s="6">
        <f t="shared" si="265"/>
        <v>0</v>
      </c>
    </row>
    <row r="589" spans="1:48" s="183" customFormat="1" ht="15" customHeight="1">
      <c r="A589" s="348"/>
      <c r="B589" s="92"/>
      <c r="C589" s="197"/>
      <c r="D589" s="852"/>
      <c r="E589" s="183" t="str">
        <f t="shared" ref="E589:AV589" si="266" xml:space="preserve"> E$205</f>
        <v>Freight, Insurance &amp; Sales 2019TR: Cu</v>
      </c>
      <c r="F589" s="183">
        <f t="shared" si="266"/>
        <v>0</v>
      </c>
      <c r="G589" s="183" t="str">
        <f t="shared" si="266"/>
        <v>$ mn</v>
      </c>
      <c r="H589" s="183">
        <f t="shared" si="266"/>
        <v>0</v>
      </c>
      <c r="I589" s="183">
        <f t="shared" si="266"/>
        <v>0</v>
      </c>
      <c r="J589" s="183">
        <f t="shared" si="266"/>
        <v>0</v>
      </c>
      <c r="K589" s="183">
        <f t="shared" si="266"/>
        <v>0</v>
      </c>
      <c r="L589" s="183">
        <f t="shared" si="266"/>
        <v>0</v>
      </c>
      <c r="M589" s="183">
        <f t="shared" si="266"/>
        <v>0</v>
      </c>
      <c r="N589" s="183">
        <f t="shared" si="266"/>
        <v>0</v>
      </c>
      <c r="O589" s="183">
        <f t="shared" si="266"/>
        <v>0</v>
      </c>
      <c r="P589" s="183">
        <f t="shared" si="266"/>
        <v>0</v>
      </c>
      <c r="Q589" s="183">
        <f t="shared" si="266"/>
        <v>0</v>
      </c>
      <c r="R589" s="183">
        <f t="shared" si="266"/>
        <v>0</v>
      </c>
      <c r="S589" s="183">
        <f t="shared" si="266"/>
        <v>0</v>
      </c>
      <c r="T589" s="183">
        <f t="shared" si="266"/>
        <v>0</v>
      </c>
      <c r="U589" s="183">
        <f t="shared" si="266"/>
        <v>0</v>
      </c>
      <c r="V589" s="183">
        <f t="shared" si="266"/>
        <v>0</v>
      </c>
      <c r="W589" s="183">
        <f t="shared" si="266"/>
        <v>0</v>
      </c>
      <c r="X589" s="183">
        <f t="shared" si="266"/>
        <v>0</v>
      </c>
      <c r="Y589" s="183">
        <f t="shared" si="266"/>
        <v>0</v>
      </c>
      <c r="Z589" s="183">
        <f t="shared" si="266"/>
        <v>0</v>
      </c>
      <c r="AA589" s="183">
        <f t="shared" si="266"/>
        <v>0</v>
      </c>
      <c r="AB589" s="183">
        <f t="shared" si="266"/>
        <v>0</v>
      </c>
      <c r="AC589" s="183">
        <f t="shared" si="266"/>
        <v>0</v>
      </c>
      <c r="AD589" s="183">
        <f t="shared" si="266"/>
        <v>0</v>
      </c>
      <c r="AE589" s="183">
        <f t="shared" si="266"/>
        <v>0</v>
      </c>
      <c r="AF589" s="183">
        <f t="shared" si="266"/>
        <v>0</v>
      </c>
      <c r="AG589" s="183">
        <f t="shared" si="266"/>
        <v>0</v>
      </c>
      <c r="AH589" s="183">
        <f t="shared" si="266"/>
        <v>0</v>
      </c>
      <c r="AI589" s="183">
        <f t="shared" si="266"/>
        <v>0</v>
      </c>
      <c r="AJ589" s="183">
        <f t="shared" si="266"/>
        <v>0</v>
      </c>
      <c r="AK589" s="183">
        <f t="shared" si="266"/>
        <v>0</v>
      </c>
      <c r="AL589" s="183">
        <f t="shared" si="266"/>
        <v>0</v>
      </c>
      <c r="AM589" s="183">
        <f t="shared" si="266"/>
        <v>0</v>
      </c>
      <c r="AN589" s="183">
        <f t="shared" si="266"/>
        <v>0</v>
      </c>
      <c r="AO589" s="183">
        <f t="shared" si="266"/>
        <v>0</v>
      </c>
      <c r="AP589" s="183">
        <f t="shared" si="266"/>
        <v>0</v>
      </c>
      <c r="AQ589" s="183">
        <f t="shared" si="266"/>
        <v>0</v>
      </c>
      <c r="AR589" s="183">
        <f t="shared" si="266"/>
        <v>0</v>
      </c>
      <c r="AS589" s="183">
        <f t="shared" si="266"/>
        <v>0</v>
      </c>
      <c r="AT589" s="183">
        <f t="shared" si="266"/>
        <v>0</v>
      </c>
      <c r="AU589" s="183">
        <f t="shared" si="266"/>
        <v>0</v>
      </c>
      <c r="AV589" s="183">
        <f t="shared" si="266"/>
        <v>0</v>
      </c>
    </row>
    <row r="590" spans="1:48" s="183" customFormat="1" ht="15" customHeight="1">
      <c r="A590" s="348"/>
      <c r="B590" s="92"/>
      <c r="C590" s="197"/>
      <c r="D590" s="852"/>
      <c r="E590" s="183" t="str">
        <f t="shared" ref="E590:AV590" si="267" xml:space="preserve"> E$209</f>
        <v>Freight, Insurance &amp; Sales 2019TR: Co</v>
      </c>
      <c r="F590" s="183">
        <f t="shared" si="267"/>
        <v>0</v>
      </c>
      <c r="G590" s="183" t="str">
        <f t="shared" si="267"/>
        <v>$ mn</v>
      </c>
      <c r="H590" s="183">
        <f t="shared" si="267"/>
        <v>0</v>
      </c>
      <c r="I590" s="183">
        <f t="shared" si="267"/>
        <v>0</v>
      </c>
      <c r="J590" s="183">
        <f t="shared" si="267"/>
        <v>0</v>
      </c>
      <c r="K590" s="183">
        <f t="shared" si="267"/>
        <v>0</v>
      </c>
      <c r="L590" s="183">
        <f t="shared" si="267"/>
        <v>0</v>
      </c>
      <c r="M590" s="183">
        <f t="shared" si="267"/>
        <v>0</v>
      </c>
      <c r="N590" s="183">
        <f t="shared" si="267"/>
        <v>0</v>
      </c>
      <c r="O590" s="183">
        <f t="shared" si="267"/>
        <v>0</v>
      </c>
      <c r="P590" s="183">
        <f t="shared" si="267"/>
        <v>0</v>
      </c>
      <c r="Q590" s="183">
        <f t="shared" si="267"/>
        <v>0</v>
      </c>
      <c r="R590" s="183">
        <f t="shared" si="267"/>
        <v>0</v>
      </c>
      <c r="S590" s="183">
        <f t="shared" si="267"/>
        <v>0</v>
      </c>
      <c r="T590" s="183">
        <f t="shared" si="267"/>
        <v>0</v>
      </c>
      <c r="U590" s="183">
        <f t="shared" si="267"/>
        <v>0</v>
      </c>
      <c r="V590" s="183">
        <f t="shared" si="267"/>
        <v>0</v>
      </c>
      <c r="W590" s="183">
        <f t="shared" si="267"/>
        <v>0</v>
      </c>
      <c r="X590" s="183">
        <f t="shared" si="267"/>
        <v>0</v>
      </c>
      <c r="Y590" s="183">
        <f t="shared" si="267"/>
        <v>0</v>
      </c>
      <c r="Z590" s="183">
        <f t="shared" si="267"/>
        <v>0</v>
      </c>
      <c r="AA590" s="183">
        <f t="shared" si="267"/>
        <v>0</v>
      </c>
      <c r="AB590" s="183">
        <f t="shared" si="267"/>
        <v>0</v>
      </c>
      <c r="AC590" s="183">
        <f t="shared" si="267"/>
        <v>0</v>
      </c>
      <c r="AD590" s="183">
        <f t="shared" si="267"/>
        <v>0</v>
      </c>
      <c r="AE590" s="183">
        <f t="shared" si="267"/>
        <v>0</v>
      </c>
      <c r="AF590" s="183">
        <f t="shared" si="267"/>
        <v>0</v>
      </c>
      <c r="AG590" s="183">
        <f t="shared" si="267"/>
        <v>0</v>
      </c>
      <c r="AH590" s="183">
        <f t="shared" si="267"/>
        <v>0</v>
      </c>
      <c r="AI590" s="183">
        <f t="shared" si="267"/>
        <v>0</v>
      </c>
      <c r="AJ590" s="183">
        <f t="shared" si="267"/>
        <v>0</v>
      </c>
      <c r="AK590" s="183">
        <f t="shared" si="267"/>
        <v>0</v>
      </c>
      <c r="AL590" s="183">
        <f t="shared" si="267"/>
        <v>0</v>
      </c>
      <c r="AM590" s="183">
        <f t="shared" si="267"/>
        <v>0</v>
      </c>
      <c r="AN590" s="183">
        <f t="shared" si="267"/>
        <v>0</v>
      </c>
      <c r="AO590" s="183">
        <f t="shared" si="267"/>
        <v>0</v>
      </c>
      <c r="AP590" s="183">
        <f t="shared" si="267"/>
        <v>0</v>
      </c>
      <c r="AQ590" s="183">
        <f t="shared" si="267"/>
        <v>0</v>
      </c>
      <c r="AR590" s="183">
        <f t="shared" si="267"/>
        <v>0</v>
      </c>
      <c r="AS590" s="183">
        <f t="shared" si="267"/>
        <v>0</v>
      </c>
      <c r="AT590" s="183">
        <f t="shared" si="267"/>
        <v>0</v>
      </c>
      <c r="AU590" s="183">
        <f t="shared" si="267"/>
        <v>0</v>
      </c>
      <c r="AV590" s="183">
        <f t="shared" si="267"/>
        <v>0</v>
      </c>
    </row>
    <row r="591" spans="1:48" s="310" customFormat="1" ht="15" customHeight="1">
      <c r="A591" s="346"/>
      <c r="B591" s="220"/>
      <c r="C591" s="309"/>
      <c r="D591" s="844"/>
      <c r="E591" s="310" t="str">
        <f t="shared" ref="E591:AV591" si="268" xml:space="preserve"> E$216</f>
        <v>Copper &amp; Cobalt net revenue</v>
      </c>
      <c r="F591" s="310">
        <f t="shared" si="268"/>
        <v>0</v>
      </c>
      <c r="G591" s="310" t="str">
        <f t="shared" si="268"/>
        <v>$ mn</v>
      </c>
      <c r="H591" s="310">
        <f t="shared" si="268"/>
        <v>0</v>
      </c>
      <c r="I591" s="310">
        <f t="shared" si="268"/>
        <v>0</v>
      </c>
      <c r="J591" s="310">
        <f t="shared" si="268"/>
        <v>19011.922098404622</v>
      </c>
      <c r="K591" s="310">
        <f t="shared" si="268"/>
        <v>0</v>
      </c>
      <c r="L591" s="310">
        <f t="shared" si="268"/>
        <v>0</v>
      </c>
      <c r="M591" s="310">
        <f t="shared" si="268"/>
        <v>0</v>
      </c>
      <c r="N591" s="310">
        <f t="shared" si="268"/>
        <v>0</v>
      </c>
      <c r="O591" s="310">
        <f t="shared" si="268"/>
        <v>0</v>
      </c>
      <c r="P591" s="310">
        <f t="shared" si="268"/>
        <v>67.136253929427468</v>
      </c>
      <c r="Q591" s="310">
        <f t="shared" si="268"/>
        <v>946.59558436977954</v>
      </c>
      <c r="R591" s="310">
        <f t="shared" si="268"/>
        <v>800.97287781965736</v>
      </c>
      <c r="S591" s="310">
        <f t="shared" si="268"/>
        <v>1554.927232437954</v>
      </c>
      <c r="T591" s="310">
        <f t="shared" si="268"/>
        <v>1790.254007985714</v>
      </c>
      <c r="U591" s="310">
        <f t="shared" si="268"/>
        <v>1286.9954809814114</v>
      </c>
      <c r="V591" s="310">
        <f t="shared" si="268"/>
        <v>1197.6567216301939</v>
      </c>
      <c r="W591" s="310">
        <f t="shared" si="268"/>
        <v>1403.7590036412423</v>
      </c>
      <c r="X591" s="310">
        <f t="shared" si="268"/>
        <v>1391.1347298918572</v>
      </c>
      <c r="Y591" s="310">
        <f t="shared" si="268"/>
        <v>1369.2168626342282</v>
      </c>
      <c r="Z591" s="310">
        <f t="shared" si="268"/>
        <v>1398.3349958679573</v>
      </c>
      <c r="AA591" s="310">
        <f t="shared" si="268"/>
        <v>1393.351686353117</v>
      </c>
      <c r="AB591" s="310">
        <f t="shared" si="268"/>
        <v>1400.6663216951804</v>
      </c>
      <c r="AC591" s="310">
        <f t="shared" si="268"/>
        <v>1490.4682157878392</v>
      </c>
      <c r="AD591" s="310">
        <f t="shared" si="268"/>
        <v>1520.4521233790642</v>
      </c>
      <c r="AE591" s="310">
        <f t="shared" si="268"/>
        <v>0</v>
      </c>
      <c r="AF591" s="310">
        <f t="shared" si="268"/>
        <v>0</v>
      </c>
      <c r="AG591" s="310">
        <f t="shared" si="268"/>
        <v>0</v>
      </c>
      <c r="AH591" s="310">
        <f t="shared" si="268"/>
        <v>0</v>
      </c>
      <c r="AI591" s="310">
        <f t="shared" si="268"/>
        <v>0</v>
      </c>
      <c r="AJ591" s="310">
        <f t="shared" si="268"/>
        <v>0</v>
      </c>
      <c r="AK591" s="310">
        <f t="shared" si="268"/>
        <v>0</v>
      </c>
      <c r="AL591" s="310">
        <f t="shared" si="268"/>
        <v>0</v>
      </c>
      <c r="AM591" s="310">
        <f t="shared" si="268"/>
        <v>0</v>
      </c>
      <c r="AN591" s="310">
        <f t="shared" si="268"/>
        <v>0</v>
      </c>
      <c r="AO591" s="310">
        <f t="shared" si="268"/>
        <v>0</v>
      </c>
      <c r="AP591" s="310">
        <f t="shared" si="268"/>
        <v>0</v>
      </c>
      <c r="AQ591" s="310">
        <f t="shared" si="268"/>
        <v>0</v>
      </c>
      <c r="AR591" s="310">
        <f t="shared" si="268"/>
        <v>0</v>
      </c>
      <c r="AS591" s="310">
        <f t="shared" si="268"/>
        <v>0</v>
      </c>
      <c r="AT591" s="310">
        <f t="shared" si="268"/>
        <v>0</v>
      </c>
      <c r="AU591" s="310">
        <f t="shared" si="268"/>
        <v>0</v>
      </c>
      <c r="AV591" s="310">
        <f t="shared" si="268"/>
        <v>0</v>
      </c>
    </row>
    <row r="593" spans="1:48" s="6" customFormat="1" ht="15" customHeight="1">
      <c r="A593" s="347"/>
      <c r="B593" s="95"/>
      <c r="C593" s="96"/>
      <c r="D593" s="369"/>
      <c r="E593" s="6" t="str">
        <f t="shared" ref="E593:AV593" si="269" xml:space="preserve"> E$241</f>
        <v>Cu + Co government royalty</v>
      </c>
      <c r="F593" s="6">
        <f t="shared" si="269"/>
        <v>0</v>
      </c>
      <c r="G593" s="6" t="str">
        <f t="shared" si="269"/>
        <v>$ mn</v>
      </c>
      <c r="H593" s="6">
        <f t="shared" si="269"/>
        <v>0</v>
      </c>
      <c r="I593" s="6">
        <f t="shared" si="269"/>
        <v>0</v>
      </c>
      <c r="J593" s="6">
        <f t="shared" si="269"/>
        <v>1154.1185307309543</v>
      </c>
      <c r="K593" s="6">
        <f t="shared" si="269"/>
        <v>0</v>
      </c>
      <c r="L593" s="6">
        <f t="shared" si="269"/>
        <v>0</v>
      </c>
      <c r="M593" s="6">
        <f t="shared" si="269"/>
        <v>0</v>
      </c>
      <c r="N593" s="6">
        <f t="shared" si="269"/>
        <v>0</v>
      </c>
      <c r="O593" s="6">
        <f t="shared" si="269"/>
        <v>0</v>
      </c>
      <c r="P593" s="6">
        <f t="shared" si="269"/>
        <v>1.3427250785885494</v>
      </c>
      <c r="Q593" s="6">
        <f t="shared" si="269"/>
        <v>59.696032281620234</v>
      </c>
      <c r="R593" s="6">
        <f t="shared" si="269"/>
        <v>49.751271941506673</v>
      </c>
      <c r="S593" s="6">
        <f t="shared" si="269"/>
        <v>100.44151821818988</v>
      </c>
      <c r="T593" s="6">
        <f t="shared" si="269"/>
        <v>125.24236751817006</v>
      </c>
      <c r="U593" s="6">
        <f t="shared" si="269"/>
        <v>74.909657127852839</v>
      </c>
      <c r="V593" s="6">
        <f t="shared" si="269"/>
        <v>64.166519191185927</v>
      </c>
      <c r="W593" s="6">
        <f t="shared" si="269"/>
        <v>83.797779767771601</v>
      </c>
      <c r="X593" s="6">
        <f t="shared" si="269"/>
        <v>82.486579491115037</v>
      </c>
      <c r="Y593" s="6">
        <f t="shared" si="269"/>
        <v>79.838713164114836</v>
      </c>
      <c r="Z593" s="6">
        <f t="shared" si="269"/>
        <v>83.346107494918243</v>
      </c>
      <c r="AA593" s="6">
        <f t="shared" si="269"/>
        <v>83.122063374167709</v>
      </c>
      <c r="AB593" s="6">
        <f t="shared" si="269"/>
        <v>82.215048780097291</v>
      </c>
      <c r="AC593" s="6">
        <f t="shared" si="269"/>
        <v>90.275004523844174</v>
      </c>
      <c r="AD593" s="6">
        <f t="shared" si="269"/>
        <v>93.487142777811286</v>
      </c>
      <c r="AE593" s="6">
        <f t="shared" si="269"/>
        <v>0</v>
      </c>
      <c r="AF593" s="6">
        <f t="shared" si="269"/>
        <v>0</v>
      </c>
      <c r="AG593" s="6">
        <f t="shared" si="269"/>
        <v>0</v>
      </c>
      <c r="AH593" s="6">
        <f t="shared" si="269"/>
        <v>0</v>
      </c>
      <c r="AI593" s="6">
        <f t="shared" si="269"/>
        <v>0</v>
      </c>
      <c r="AJ593" s="6">
        <f t="shared" si="269"/>
        <v>0</v>
      </c>
      <c r="AK593" s="6">
        <f t="shared" si="269"/>
        <v>0</v>
      </c>
      <c r="AL593" s="6">
        <f t="shared" si="269"/>
        <v>0</v>
      </c>
      <c r="AM593" s="6">
        <f t="shared" si="269"/>
        <v>0</v>
      </c>
      <c r="AN593" s="6">
        <f t="shared" si="269"/>
        <v>0</v>
      </c>
      <c r="AO593" s="6">
        <f t="shared" si="269"/>
        <v>0</v>
      </c>
      <c r="AP593" s="6">
        <f t="shared" si="269"/>
        <v>0</v>
      </c>
      <c r="AQ593" s="6">
        <f t="shared" si="269"/>
        <v>0</v>
      </c>
      <c r="AR593" s="6">
        <f t="shared" si="269"/>
        <v>0</v>
      </c>
      <c r="AS593" s="6">
        <f t="shared" si="269"/>
        <v>0</v>
      </c>
      <c r="AT593" s="6">
        <f t="shared" si="269"/>
        <v>0</v>
      </c>
      <c r="AU593" s="6">
        <f t="shared" si="269"/>
        <v>0</v>
      </c>
      <c r="AV593" s="6">
        <f t="shared" si="269"/>
        <v>0</v>
      </c>
    </row>
    <row r="594" spans="1:48" s="6" customFormat="1" ht="15" customHeight="1">
      <c r="A594" s="347"/>
      <c r="B594" s="95"/>
      <c r="C594" s="96"/>
      <c r="D594" s="369"/>
      <c r="E594" s="6" t="str">
        <f t="shared" ref="E594:AV594" si="270" xml:space="preserve"> E$249</f>
        <v>Cu + Co private royalty (treat as distribution of profit)</v>
      </c>
      <c r="F594" s="6">
        <f t="shared" si="270"/>
        <v>0</v>
      </c>
      <c r="G594" s="6" t="str">
        <f t="shared" si="270"/>
        <v>$ mn</v>
      </c>
      <c r="H594" s="6">
        <f t="shared" si="270"/>
        <v>0</v>
      </c>
      <c r="I594" s="6">
        <f t="shared" si="270"/>
        <v>0</v>
      </c>
      <c r="J594" s="6">
        <f t="shared" si="270"/>
        <v>475.29805246011557</v>
      </c>
      <c r="K594" s="6">
        <f t="shared" si="270"/>
        <v>0</v>
      </c>
      <c r="L594" s="6">
        <f t="shared" si="270"/>
        <v>0</v>
      </c>
      <c r="M594" s="6">
        <f t="shared" si="270"/>
        <v>0</v>
      </c>
      <c r="N594" s="6">
        <f t="shared" si="270"/>
        <v>0</v>
      </c>
      <c r="O594" s="6">
        <f t="shared" si="270"/>
        <v>0</v>
      </c>
      <c r="P594" s="6">
        <f t="shared" si="270"/>
        <v>1.6784063482356868</v>
      </c>
      <c r="Q594" s="6">
        <f t="shared" si="270"/>
        <v>23.66488960924449</v>
      </c>
      <c r="R594" s="6">
        <f t="shared" si="270"/>
        <v>20.024321945491437</v>
      </c>
      <c r="S594" s="6">
        <f t="shared" si="270"/>
        <v>38.873180810948853</v>
      </c>
      <c r="T594" s="6">
        <f t="shared" si="270"/>
        <v>44.756350199642853</v>
      </c>
      <c r="U594" s="6">
        <f t="shared" si="270"/>
        <v>32.174887024535288</v>
      </c>
      <c r="V594" s="6">
        <f t="shared" si="270"/>
        <v>29.941418040754854</v>
      </c>
      <c r="W594" s="6">
        <f t="shared" si="270"/>
        <v>35.093975091031062</v>
      </c>
      <c r="X594" s="6">
        <f t="shared" si="270"/>
        <v>34.778368247296427</v>
      </c>
      <c r="Y594" s="6">
        <f t="shared" si="270"/>
        <v>34.230421565855707</v>
      </c>
      <c r="Z594" s="6">
        <f t="shared" si="270"/>
        <v>34.958374896698942</v>
      </c>
      <c r="AA594" s="6">
        <f t="shared" si="270"/>
        <v>34.833792158827926</v>
      </c>
      <c r="AB594" s="6">
        <f t="shared" si="270"/>
        <v>35.016658042379511</v>
      </c>
      <c r="AC594" s="6">
        <f t="shared" si="270"/>
        <v>37.26170539469598</v>
      </c>
      <c r="AD594" s="6">
        <f t="shared" si="270"/>
        <v>38.011303084476609</v>
      </c>
      <c r="AE594" s="6">
        <f t="shared" si="270"/>
        <v>0</v>
      </c>
      <c r="AF594" s="6">
        <f t="shared" si="270"/>
        <v>0</v>
      </c>
      <c r="AG594" s="6">
        <f t="shared" si="270"/>
        <v>0</v>
      </c>
      <c r="AH594" s="6">
        <f t="shared" si="270"/>
        <v>0</v>
      </c>
      <c r="AI594" s="6">
        <f t="shared" si="270"/>
        <v>0</v>
      </c>
      <c r="AJ594" s="6">
        <f t="shared" si="270"/>
        <v>0</v>
      </c>
      <c r="AK594" s="6">
        <f t="shared" si="270"/>
        <v>0</v>
      </c>
      <c r="AL594" s="6">
        <f t="shared" si="270"/>
        <v>0</v>
      </c>
      <c r="AM594" s="6">
        <f t="shared" si="270"/>
        <v>0</v>
      </c>
      <c r="AN594" s="6">
        <f t="shared" si="270"/>
        <v>0</v>
      </c>
      <c r="AO594" s="6">
        <f t="shared" si="270"/>
        <v>0</v>
      </c>
      <c r="AP594" s="6">
        <f t="shared" si="270"/>
        <v>0</v>
      </c>
      <c r="AQ594" s="6">
        <f t="shared" si="270"/>
        <v>0</v>
      </c>
      <c r="AR594" s="6">
        <f t="shared" si="270"/>
        <v>0</v>
      </c>
      <c r="AS594" s="6">
        <f t="shared" si="270"/>
        <v>0</v>
      </c>
      <c r="AT594" s="6">
        <f t="shared" si="270"/>
        <v>0</v>
      </c>
      <c r="AU594" s="6">
        <f t="shared" si="270"/>
        <v>0</v>
      </c>
      <c r="AV594" s="6">
        <f t="shared" si="270"/>
        <v>0</v>
      </c>
    </row>
    <row r="595" spans="1:48" s="6" customFormat="1" ht="15" customHeight="1">
      <c r="A595" s="347"/>
      <c r="B595" s="95"/>
      <c r="C595" s="96"/>
      <c r="D595" s="369"/>
      <c r="E595" s="98" t="str">
        <f t="shared" ref="E595:AV595" si="271" xml:space="preserve"> E$307</f>
        <v>Turnover tax (Chiffre d'Affaires 0.3PC)</v>
      </c>
      <c r="F595" s="98">
        <f t="shared" si="271"/>
        <v>0</v>
      </c>
      <c r="G595" s="98" t="str">
        <f t="shared" si="271"/>
        <v>$ mn</v>
      </c>
      <c r="H595" s="98">
        <f t="shared" si="271"/>
        <v>0</v>
      </c>
      <c r="I595" s="98">
        <f t="shared" si="271"/>
        <v>0</v>
      </c>
      <c r="J595" s="98">
        <f t="shared" si="271"/>
        <v>57.035766295213875</v>
      </c>
      <c r="K595" s="98">
        <f t="shared" si="271"/>
        <v>0</v>
      </c>
      <c r="L595" s="98">
        <f t="shared" si="271"/>
        <v>0</v>
      </c>
      <c r="M595" s="98">
        <f t="shared" si="271"/>
        <v>0</v>
      </c>
      <c r="N595" s="98">
        <f t="shared" si="271"/>
        <v>0</v>
      </c>
      <c r="O595" s="98">
        <f t="shared" si="271"/>
        <v>0</v>
      </c>
      <c r="P595" s="98">
        <f t="shared" si="271"/>
        <v>0.2014087617882824</v>
      </c>
      <c r="Q595" s="98">
        <f t="shared" si="271"/>
        <v>2.8397867531093386</v>
      </c>
      <c r="R595" s="98">
        <f t="shared" si="271"/>
        <v>2.4029186334589721</v>
      </c>
      <c r="S595" s="98">
        <f t="shared" si="271"/>
        <v>4.6647816973138623</v>
      </c>
      <c r="T595" s="98">
        <f t="shared" si="271"/>
        <v>5.3707620239571421</v>
      </c>
      <c r="U595" s="98">
        <f t="shared" si="271"/>
        <v>3.8609864429442342</v>
      </c>
      <c r="V595" s="98">
        <f t="shared" si="271"/>
        <v>3.5929701648905819</v>
      </c>
      <c r="W595" s="98">
        <f t="shared" si="271"/>
        <v>4.2112770109237267</v>
      </c>
      <c r="X595" s="98">
        <f t="shared" si="271"/>
        <v>4.1734041896755718</v>
      </c>
      <c r="Y595" s="98">
        <f t="shared" si="271"/>
        <v>4.1076505879026843</v>
      </c>
      <c r="Z595" s="98">
        <f t="shared" si="271"/>
        <v>4.1950049876038724</v>
      </c>
      <c r="AA595" s="98">
        <f t="shared" si="271"/>
        <v>4.1800550590593506</v>
      </c>
      <c r="AB595" s="98">
        <f t="shared" si="271"/>
        <v>4.2019989650855409</v>
      </c>
      <c r="AC595" s="98">
        <f t="shared" si="271"/>
        <v>4.4714046473635181</v>
      </c>
      <c r="AD595" s="98">
        <f t="shared" si="271"/>
        <v>4.5613563701371929</v>
      </c>
      <c r="AE595" s="98">
        <f t="shared" si="271"/>
        <v>0</v>
      </c>
      <c r="AF595" s="98">
        <f t="shared" si="271"/>
        <v>0</v>
      </c>
      <c r="AG595" s="98">
        <f t="shared" si="271"/>
        <v>0</v>
      </c>
      <c r="AH595" s="98">
        <f t="shared" si="271"/>
        <v>0</v>
      </c>
      <c r="AI595" s="98">
        <f t="shared" si="271"/>
        <v>0</v>
      </c>
      <c r="AJ595" s="98">
        <f t="shared" si="271"/>
        <v>0</v>
      </c>
      <c r="AK595" s="98">
        <f t="shared" si="271"/>
        <v>0</v>
      </c>
      <c r="AL595" s="98">
        <f t="shared" si="271"/>
        <v>0</v>
      </c>
      <c r="AM595" s="98">
        <f t="shared" si="271"/>
        <v>0</v>
      </c>
      <c r="AN595" s="98">
        <f t="shared" si="271"/>
        <v>0</v>
      </c>
      <c r="AO595" s="98">
        <f t="shared" si="271"/>
        <v>0</v>
      </c>
      <c r="AP595" s="98">
        <f t="shared" si="271"/>
        <v>0</v>
      </c>
      <c r="AQ595" s="98">
        <f t="shared" si="271"/>
        <v>0</v>
      </c>
      <c r="AR595" s="98">
        <f t="shared" si="271"/>
        <v>0</v>
      </c>
      <c r="AS595" s="98">
        <f t="shared" si="271"/>
        <v>0</v>
      </c>
      <c r="AT595" s="98">
        <f t="shared" si="271"/>
        <v>0</v>
      </c>
      <c r="AU595" s="98">
        <f t="shared" si="271"/>
        <v>0</v>
      </c>
      <c r="AV595" s="98">
        <f t="shared" si="271"/>
        <v>0</v>
      </c>
    </row>
    <row r="596" spans="1:48" s="98" customFormat="1" ht="15" customHeight="1">
      <c r="A596" s="385"/>
      <c r="B596" s="357"/>
      <c r="C596" s="366"/>
      <c r="D596" s="317"/>
      <c r="E596" s="98" t="str">
        <f t="shared" ref="E596:AV596" si="272" xml:space="preserve"> E$390</f>
        <v>Alternative Operating Cost Profile</v>
      </c>
      <c r="F596" s="98" t="str">
        <f t="shared" si="272"/>
        <v>Alt Opex</v>
      </c>
      <c r="G596" s="98" t="str">
        <f t="shared" si="272"/>
        <v>$ mn</v>
      </c>
      <c r="H596" s="98">
        <f t="shared" si="272"/>
        <v>0</v>
      </c>
      <c r="I596" s="98">
        <f t="shared" si="272"/>
        <v>0</v>
      </c>
      <c r="J596" s="98">
        <f t="shared" si="272"/>
        <v>9907.4531304831744</v>
      </c>
      <c r="K596" s="98">
        <f t="shared" si="272"/>
        <v>0</v>
      </c>
      <c r="L596" s="98">
        <f t="shared" si="272"/>
        <v>0</v>
      </c>
      <c r="M596" s="98">
        <f t="shared" si="272"/>
        <v>0</v>
      </c>
      <c r="N596" s="98">
        <f t="shared" si="272"/>
        <v>0</v>
      </c>
      <c r="O596" s="98">
        <f t="shared" si="272"/>
        <v>0</v>
      </c>
      <c r="P596" s="98">
        <f t="shared" si="272"/>
        <v>0</v>
      </c>
      <c r="Q596" s="98">
        <f t="shared" si="272"/>
        <v>0</v>
      </c>
      <c r="R596" s="98">
        <f t="shared" si="272"/>
        <v>427.00000000000006</v>
      </c>
      <c r="S596" s="98">
        <f t="shared" si="272"/>
        <v>532</v>
      </c>
      <c r="T596" s="98">
        <f t="shared" si="272"/>
        <v>705</v>
      </c>
      <c r="U596" s="98">
        <f t="shared" si="272"/>
        <v>724.29157127871883</v>
      </c>
      <c r="V596" s="98">
        <f t="shared" si="272"/>
        <v>760.56406616996242</v>
      </c>
      <c r="W596" s="98">
        <f t="shared" si="272"/>
        <v>785.45450684568095</v>
      </c>
      <c r="X596" s="98">
        <f t="shared" si="272"/>
        <v>800.92213977533436</v>
      </c>
      <c r="Y596" s="98">
        <f t="shared" si="272"/>
        <v>816.87383726665769</v>
      </c>
      <c r="Z596" s="98">
        <f t="shared" si="272"/>
        <v>837.83662691634106</v>
      </c>
      <c r="AA596" s="98">
        <f t="shared" si="272"/>
        <v>851.22045364034364</v>
      </c>
      <c r="AB596" s="98">
        <f t="shared" si="272"/>
        <v>866.62268025643698</v>
      </c>
      <c r="AC596" s="98">
        <f t="shared" si="272"/>
        <v>897.22565631293298</v>
      </c>
      <c r="AD596" s="98">
        <f t="shared" si="272"/>
        <v>902.44159202076582</v>
      </c>
      <c r="AE596" s="98">
        <f t="shared" si="272"/>
        <v>0</v>
      </c>
      <c r="AF596" s="98">
        <f t="shared" si="272"/>
        <v>0</v>
      </c>
      <c r="AG596" s="98">
        <f t="shared" si="272"/>
        <v>0</v>
      </c>
      <c r="AH596" s="98">
        <f t="shared" si="272"/>
        <v>0</v>
      </c>
      <c r="AI596" s="98">
        <f t="shared" si="272"/>
        <v>0</v>
      </c>
      <c r="AJ596" s="98">
        <f t="shared" si="272"/>
        <v>0</v>
      </c>
      <c r="AK596" s="98">
        <f t="shared" si="272"/>
        <v>0</v>
      </c>
      <c r="AL596" s="98">
        <f t="shared" si="272"/>
        <v>0</v>
      </c>
      <c r="AM596" s="98">
        <f t="shared" si="272"/>
        <v>0</v>
      </c>
      <c r="AN596" s="98">
        <f t="shared" si="272"/>
        <v>0</v>
      </c>
      <c r="AO596" s="98">
        <f t="shared" si="272"/>
        <v>0</v>
      </c>
      <c r="AP596" s="98">
        <f t="shared" si="272"/>
        <v>0</v>
      </c>
      <c r="AQ596" s="98">
        <f t="shared" si="272"/>
        <v>0</v>
      </c>
      <c r="AR596" s="98">
        <f t="shared" si="272"/>
        <v>0</v>
      </c>
      <c r="AS596" s="98">
        <f t="shared" si="272"/>
        <v>0</v>
      </c>
      <c r="AT596" s="98">
        <f t="shared" si="272"/>
        <v>0</v>
      </c>
      <c r="AU596" s="98">
        <f t="shared" si="272"/>
        <v>0</v>
      </c>
      <c r="AV596" s="98">
        <f t="shared" si="272"/>
        <v>0</v>
      </c>
    </row>
    <row r="597" spans="1:48" s="6" customFormat="1" ht="15" customHeight="1">
      <c r="A597" s="347"/>
      <c r="B597" s="95"/>
      <c r="C597" s="96"/>
      <c r="D597" s="369"/>
      <c r="E597" s="6" t="str">
        <f t="shared" ref="E597:AV597" si="273" xml:space="preserve"> E$410</f>
        <v>Capital Costs inc. Sens.</v>
      </c>
      <c r="F597" s="6">
        <f t="shared" si="273"/>
        <v>0</v>
      </c>
      <c r="G597" s="6" t="str">
        <f t="shared" si="273"/>
        <v>$ mn</v>
      </c>
      <c r="H597" s="6">
        <f t="shared" si="273"/>
        <v>0</v>
      </c>
      <c r="I597" s="6">
        <f t="shared" si="273"/>
        <v>0</v>
      </c>
      <c r="J597" s="6">
        <f t="shared" si="273"/>
        <v>1501.9969697316285</v>
      </c>
      <c r="K597" s="6">
        <f t="shared" si="273"/>
        <v>0</v>
      </c>
      <c r="L597" s="6">
        <f t="shared" si="273"/>
        <v>0</v>
      </c>
      <c r="M597" s="6">
        <f t="shared" si="273"/>
        <v>0</v>
      </c>
      <c r="N597" s="6">
        <f t="shared" si="273"/>
        <v>0</v>
      </c>
      <c r="O597" s="6">
        <f t="shared" si="273"/>
        <v>0</v>
      </c>
      <c r="P597" s="6">
        <f t="shared" si="273"/>
        <v>1010.1999999999999</v>
      </c>
      <c r="Q597" s="6">
        <f t="shared" si="273"/>
        <v>175.6</v>
      </c>
      <c r="R597" s="6">
        <f t="shared" si="273"/>
        <v>59.637940489648081</v>
      </c>
      <c r="S597" s="6">
        <f t="shared" si="273"/>
        <v>19.714240787317188</v>
      </c>
      <c r="T597" s="6">
        <f t="shared" si="273"/>
        <v>22.205587260857488</v>
      </c>
      <c r="U597" s="6">
        <f t="shared" si="273"/>
        <v>7.270379772582368</v>
      </c>
      <c r="V597" s="6">
        <f t="shared" si="273"/>
        <v>32.762129135977283</v>
      </c>
      <c r="W597" s="6">
        <f t="shared" si="273"/>
        <v>14.785349673189831</v>
      </c>
      <c r="X597" s="6">
        <f t="shared" si="273"/>
        <v>37.291985621134906</v>
      </c>
      <c r="Y597" s="6">
        <f t="shared" si="273"/>
        <v>11.106368397789192</v>
      </c>
      <c r="Z597" s="6">
        <f t="shared" si="273"/>
        <v>24.717558956867318</v>
      </c>
      <c r="AA597" s="6">
        <f t="shared" si="273"/>
        <v>10.625875307545776</v>
      </c>
      <c r="AB597" s="6">
        <f t="shared" si="273"/>
        <v>47.657903486366287</v>
      </c>
      <c r="AC597" s="6">
        <f t="shared" si="273"/>
        <v>9.2044613597337044</v>
      </c>
      <c r="AD597" s="6">
        <f t="shared" si="273"/>
        <v>19.217189482619023</v>
      </c>
      <c r="AE597" s="6">
        <f t="shared" si="273"/>
        <v>0</v>
      </c>
      <c r="AF597" s="6">
        <f t="shared" si="273"/>
        <v>0</v>
      </c>
      <c r="AG597" s="6">
        <f t="shared" si="273"/>
        <v>0</v>
      </c>
      <c r="AH597" s="6">
        <f t="shared" si="273"/>
        <v>0</v>
      </c>
      <c r="AI597" s="6">
        <f t="shared" si="273"/>
        <v>0</v>
      </c>
      <c r="AJ597" s="6">
        <f t="shared" si="273"/>
        <v>0</v>
      </c>
      <c r="AK597" s="6">
        <f t="shared" si="273"/>
        <v>0</v>
      </c>
      <c r="AL597" s="6">
        <f t="shared" si="273"/>
        <v>0</v>
      </c>
      <c r="AM597" s="6">
        <f t="shared" si="273"/>
        <v>0</v>
      </c>
      <c r="AN597" s="6">
        <f t="shared" si="273"/>
        <v>0</v>
      </c>
      <c r="AO597" s="6">
        <f t="shared" si="273"/>
        <v>0</v>
      </c>
      <c r="AP597" s="6">
        <f t="shared" si="273"/>
        <v>0</v>
      </c>
      <c r="AQ597" s="6">
        <f t="shared" si="273"/>
        <v>0</v>
      </c>
      <c r="AR597" s="6">
        <f t="shared" si="273"/>
        <v>0</v>
      </c>
      <c r="AS597" s="6">
        <f t="shared" si="273"/>
        <v>0</v>
      </c>
      <c r="AT597" s="6">
        <f t="shared" si="273"/>
        <v>0</v>
      </c>
      <c r="AU597" s="6">
        <f t="shared" si="273"/>
        <v>0</v>
      </c>
      <c r="AV597" s="6">
        <f t="shared" si="273"/>
        <v>0</v>
      </c>
    </row>
    <row r="598" spans="1:48" s="6" customFormat="1" ht="15" customHeight="1">
      <c r="A598" s="347"/>
      <c r="B598" s="95"/>
      <c r="C598" s="96"/>
      <c r="D598" s="369"/>
      <c r="E598" s="6" t="str">
        <f t="shared" ref="E598:AV598" si="274" xml:space="preserve"> E$583</f>
        <v>CIT payable</v>
      </c>
      <c r="F598" s="6">
        <f t="shared" si="274"/>
        <v>0</v>
      </c>
      <c r="G598" s="6" t="str">
        <f t="shared" si="274"/>
        <v>$ mn</v>
      </c>
      <c r="H598" s="6">
        <f t="shared" si="274"/>
        <v>0</v>
      </c>
      <c r="I598" s="6">
        <f t="shared" si="274"/>
        <v>0</v>
      </c>
      <c r="J598" s="6">
        <f t="shared" si="274"/>
        <v>1375.6952723039724</v>
      </c>
      <c r="K598" s="6">
        <f t="shared" si="274"/>
        <v>0</v>
      </c>
      <c r="L598" s="6">
        <f t="shared" si="274"/>
        <v>0</v>
      </c>
      <c r="M598" s="6">
        <f t="shared" si="274"/>
        <v>0</v>
      </c>
      <c r="N598" s="6">
        <f t="shared" si="274"/>
        <v>0</v>
      </c>
      <c r="O598" s="6">
        <f t="shared" si="274"/>
        <v>0</v>
      </c>
      <c r="P598" s="6">
        <f t="shared" si="274"/>
        <v>0.6713625392942747</v>
      </c>
      <c r="Q598" s="6">
        <f t="shared" si="274"/>
        <v>183.17829112570044</v>
      </c>
      <c r="R598" s="6">
        <f t="shared" si="274"/>
        <v>37.162397854489413</v>
      </c>
      <c r="S598" s="6">
        <f t="shared" si="274"/>
        <v>171.7373177444376</v>
      </c>
      <c r="T598" s="6">
        <f t="shared" si="274"/>
        <v>175.18703567870509</v>
      </c>
      <c r="U598" s="6">
        <f t="shared" si="274"/>
        <v>34.153976633190744</v>
      </c>
      <c r="V598" s="6">
        <f t="shared" si="274"/>
        <v>11.976567216301939</v>
      </c>
      <c r="W598" s="6">
        <f t="shared" si="274"/>
        <v>85.016741604265363</v>
      </c>
      <c r="X598" s="6">
        <f t="shared" si="274"/>
        <v>85.767391044424485</v>
      </c>
      <c r="Y598" s="6">
        <f t="shared" si="274"/>
        <v>80.116120896881185</v>
      </c>
      <c r="Z598" s="6">
        <f t="shared" si="274"/>
        <v>85.114435537737563</v>
      </c>
      <c r="AA598" s="6">
        <f t="shared" si="274"/>
        <v>87.686432998471005</v>
      </c>
      <c r="AB598" s="6">
        <f t="shared" si="274"/>
        <v>94.242093101167413</v>
      </c>
      <c r="AC598" s="6">
        <f t="shared" si="274"/>
        <v>124.99406869768933</v>
      </c>
      <c r="AD598" s="6">
        <f t="shared" si="274"/>
        <v>118.69103963121651</v>
      </c>
      <c r="AE598" s="6">
        <f t="shared" si="274"/>
        <v>0</v>
      </c>
      <c r="AF598" s="6">
        <f t="shared" si="274"/>
        <v>0</v>
      </c>
      <c r="AG598" s="6">
        <f t="shared" si="274"/>
        <v>0</v>
      </c>
      <c r="AH598" s="6">
        <f t="shared" si="274"/>
        <v>0</v>
      </c>
      <c r="AI598" s="6">
        <f t="shared" si="274"/>
        <v>0</v>
      </c>
      <c r="AJ598" s="6">
        <f t="shared" si="274"/>
        <v>0</v>
      </c>
      <c r="AK598" s="6">
        <f t="shared" si="274"/>
        <v>0</v>
      </c>
      <c r="AL598" s="6">
        <f t="shared" si="274"/>
        <v>0</v>
      </c>
      <c r="AM598" s="6">
        <f t="shared" si="274"/>
        <v>0</v>
      </c>
      <c r="AN598" s="6">
        <f t="shared" si="274"/>
        <v>0</v>
      </c>
      <c r="AO598" s="6">
        <f t="shared" si="274"/>
        <v>0</v>
      </c>
      <c r="AP598" s="6">
        <f t="shared" si="274"/>
        <v>0</v>
      </c>
      <c r="AQ598" s="6">
        <f t="shared" si="274"/>
        <v>0</v>
      </c>
      <c r="AR598" s="6">
        <f t="shared" si="274"/>
        <v>0</v>
      </c>
      <c r="AS598" s="6">
        <f t="shared" si="274"/>
        <v>0</v>
      </c>
      <c r="AT598" s="6">
        <f t="shared" si="274"/>
        <v>0</v>
      </c>
      <c r="AU598" s="6">
        <f t="shared" si="274"/>
        <v>0</v>
      </c>
      <c r="AV598" s="6">
        <f t="shared" si="274"/>
        <v>0</v>
      </c>
    </row>
    <row r="599" spans="1:48" s="6" customFormat="1" ht="15" customHeight="1">
      <c r="A599" s="347"/>
      <c r="B599" s="95"/>
      <c r="C599" s="96"/>
      <c r="D599" s="369"/>
      <c r="E599" s="6" t="str">
        <f t="shared" ref="E599:AV599" si="275" xml:space="preserve"> E$530</f>
        <v>Special Tax On Excess Profits</v>
      </c>
      <c r="F599" s="6">
        <f t="shared" si="275"/>
        <v>0</v>
      </c>
      <c r="G599" s="6" t="str">
        <f t="shared" si="275"/>
        <v>$ mn</v>
      </c>
      <c r="H599" s="6">
        <f t="shared" si="275"/>
        <v>0</v>
      </c>
      <c r="I599" s="6">
        <f t="shared" si="275"/>
        <v>0</v>
      </c>
      <c r="J599" s="6">
        <f t="shared" si="275"/>
        <v>0</v>
      </c>
      <c r="K599" s="6">
        <f t="shared" si="275"/>
        <v>0</v>
      </c>
      <c r="L599" s="6">
        <f t="shared" si="275"/>
        <v>0</v>
      </c>
      <c r="M599" s="6">
        <f t="shared" si="275"/>
        <v>0</v>
      </c>
      <c r="N599" s="6">
        <f t="shared" si="275"/>
        <v>0</v>
      </c>
      <c r="O599" s="6">
        <f t="shared" si="275"/>
        <v>0</v>
      </c>
      <c r="P599" s="6">
        <f t="shared" si="275"/>
        <v>0</v>
      </c>
      <c r="Q599" s="6">
        <f t="shared" si="275"/>
        <v>0</v>
      </c>
      <c r="R599" s="6">
        <f t="shared" si="275"/>
        <v>0</v>
      </c>
      <c r="S599" s="6">
        <f t="shared" si="275"/>
        <v>0</v>
      </c>
      <c r="T599" s="6">
        <f t="shared" si="275"/>
        <v>0</v>
      </c>
      <c r="U599" s="6">
        <f t="shared" si="275"/>
        <v>0</v>
      </c>
      <c r="V599" s="6">
        <f t="shared" si="275"/>
        <v>0</v>
      </c>
      <c r="W599" s="6">
        <f t="shared" si="275"/>
        <v>0</v>
      </c>
      <c r="X599" s="6">
        <f t="shared" si="275"/>
        <v>0</v>
      </c>
      <c r="Y599" s="6">
        <f t="shared" si="275"/>
        <v>0</v>
      </c>
      <c r="Z599" s="6">
        <f t="shared" si="275"/>
        <v>0</v>
      </c>
      <c r="AA599" s="6">
        <f t="shared" si="275"/>
        <v>0</v>
      </c>
      <c r="AB599" s="6">
        <f t="shared" si="275"/>
        <v>0</v>
      </c>
      <c r="AC599" s="6">
        <f t="shared" si="275"/>
        <v>0</v>
      </c>
      <c r="AD599" s="6">
        <f t="shared" si="275"/>
        <v>0</v>
      </c>
      <c r="AE599" s="6">
        <f t="shared" si="275"/>
        <v>0</v>
      </c>
      <c r="AF599" s="6">
        <f t="shared" si="275"/>
        <v>0</v>
      </c>
      <c r="AG599" s="6">
        <f t="shared" si="275"/>
        <v>0</v>
      </c>
      <c r="AH599" s="6">
        <f t="shared" si="275"/>
        <v>0</v>
      </c>
      <c r="AI599" s="6">
        <f t="shared" si="275"/>
        <v>0</v>
      </c>
      <c r="AJ599" s="6">
        <f t="shared" si="275"/>
        <v>0</v>
      </c>
      <c r="AK599" s="6">
        <f t="shared" si="275"/>
        <v>0</v>
      </c>
      <c r="AL599" s="6">
        <f t="shared" si="275"/>
        <v>0</v>
      </c>
      <c r="AM599" s="6">
        <f t="shared" si="275"/>
        <v>0</v>
      </c>
      <c r="AN599" s="6">
        <f t="shared" si="275"/>
        <v>0</v>
      </c>
      <c r="AO599" s="6">
        <f t="shared" si="275"/>
        <v>0</v>
      </c>
      <c r="AP599" s="6">
        <f t="shared" si="275"/>
        <v>0</v>
      </c>
      <c r="AQ599" s="6">
        <f t="shared" si="275"/>
        <v>0</v>
      </c>
      <c r="AR599" s="6">
        <f t="shared" si="275"/>
        <v>0</v>
      </c>
      <c r="AS599" s="6">
        <f t="shared" si="275"/>
        <v>0</v>
      </c>
      <c r="AT599" s="6">
        <f t="shared" si="275"/>
        <v>0</v>
      </c>
      <c r="AU599" s="6">
        <f t="shared" si="275"/>
        <v>0</v>
      </c>
      <c r="AV599" s="6">
        <f t="shared" si="275"/>
        <v>0</v>
      </c>
    </row>
    <row r="600" spans="1:48" s="310" customFormat="1" ht="15" customHeight="1">
      <c r="A600" s="346"/>
      <c r="B600" s="220"/>
      <c r="C600" s="309"/>
      <c r="D600" s="844"/>
      <c r="E600" s="310" t="s">
        <v>123</v>
      </c>
      <c r="G600" s="310" t="s">
        <v>29</v>
      </c>
      <c r="I600" s="339"/>
      <c r="J600" s="310">
        <f xml:space="preserve"> SUM(L600:AV600)</f>
        <v>14471.597722005059</v>
      </c>
      <c r="L600" s="339">
        <f t="shared" ref="L600:AV600" si="276">SUM(L593:L599)</f>
        <v>0</v>
      </c>
      <c r="M600" s="339">
        <f t="shared" si="276"/>
        <v>0</v>
      </c>
      <c r="N600" s="339">
        <f t="shared" si="276"/>
        <v>0</v>
      </c>
      <c r="O600" s="339">
        <f t="shared" si="276"/>
        <v>0</v>
      </c>
      <c r="P600" s="339">
        <f t="shared" si="276"/>
        <v>1014.0939027279067</v>
      </c>
      <c r="Q600" s="339">
        <f t="shared" si="276"/>
        <v>444.97899976967449</v>
      </c>
      <c r="R600" s="339">
        <f t="shared" si="276"/>
        <v>595.97885086459462</v>
      </c>
      <c r="S600" s="339">
        <f t="shared" si="276"/>
        <v>867.43103925820742</v>
      </c>
      <c r="T600" s="339">
        <f t="shared" si="276"/>
        <v>1077.7621026813326</v>
      </c>
      <c r="U600" s="339">
        <f t="shared" si="276"/>
        <v>876.66145827982427</v>
      </c>
      <c r="V600" s="339">
        <f t="shared" si="276"/>
        <v>903.00366991907299</v>
      </c>
      <c r="W600" s="339">
        <f t="shared" si="276"/>
        <v>1008.3596299928624</v>
      </c>
      <c r="X600" s="339">
        <f t="shared" si="276"/>
        <v>1045.4198683689808</v>
      </c>
      <c r="Y600" s="339">
        <f t="shared" si="276"/>
        <v>1026.2731118792012</v>
      </c>
      <c r="Z600" s="339">
        <f t="shared" si="276"/>
        <v>1070.168108790167</v>
      </c>
      <c r="AA600" s="339">
        <f t="shared" si="276"/>
        <v>1071.6686725384154</v>
      </c>
      <c r="AB600" s="339">
        <f t="shared" si="276"/>
        <v>1129.956382631533</v>
      </c>
      <c r="AC600" s="339">
        <f t="shared" si="276"/>
        <v>1163.4323009362595</v>
      </c>
      <c r="AD600" s="339">
        <f t="shared" si="276"/>
        <v>1176.4096233670264</v>
      </c>
      <c r="AE600" s="339">
        <f t="shared" si="276"/>
        <v>0</v>
      </c>
      <c r="AF600" s="339">
        <f t="shared" si="276"/>
        <v>0</v>
      </c>
      <c r="AG600" s="339">
        <f t="shared" si="276"/>
        <v>0</v>
      </c>
      <c r="AH600" s="339">
        <f t="shared" si="276"/>
        <v>0</v>
      </c>
      <c r="AI600" s="339">
        <f t="shared" si="276"/>
        <v>0</v>
      </c>
      <c r="AJ600" s="339">
        <f t="shared" si="276"/>
        <v>0</v>
      </c>
      <c r="AK600" s="339">
        <f t="shared" si="276"/>
        <v>0</v>
      </c>
      <c r="AL600" s="339">
        <f t="shared" si="276"/>
        <v>0</v>
      </c>
      <c r="AM600" s="339">
        <f t="shared" si="276"/>
        <v>0</v>
      </c>
      <c r="AN600" s="339">
        <f t="shared" si="276"/>
        <v>0</v>
      </c>
      <c r="AO600" s="339">
        <f t="shared" si="276"/>
        <v>0</v>
      </c>
      <c r="AP600" s="339">
        <f t="shared" si="276"/>
        <v>0</v>
      </c>
      <c r="AQ600" s="339">
        <f t="shared" si="276"/>
        <v>0</v>
      </c>
      <c r="AR600" s="339">
        <f t="shared" si="276"/>
        <v>0</v>
      </c>
      <c r="AS600" s="339">
        <f t="shared" si="276"/>
        <v>0</v>
      </c>
      <c r="AT600" s="339">
        <f t="shared" si="276"/>
        <v>0</v>
      </c>
      <c r="AU600" s="339">
        <f t="shared" si="276"/>
        <v>0</v>
      </c>
      <c r="AV600" s="339">
        <f t="shared" si="276"/>
        <v>0</v>
      </c>
    </row>
    <row r="601" spans="1:48" s="6" customFormat="1" ht="15" customHeight="1">
      <c r="A601" s="347"/>
      <c r="B601" s="95"/>
      <c r="C601" s="96"/>
      <c r="D601" s="369"/>
      <c r="I601" s="98"/>
    </row>
    <row r="602" spans="1:48" s="136" customFormat="1" ht="15" customHeight="1">
      <c r="A602" s="574"/>
      <c r="B602" s="574"/>
      <c r="C602" s="575"/>
      <c r="D602" s="576"/>
      <c r="E602" s="136" t="s">
        <v>1260</v>
      </c>
      <c r="F602" s="576"/>
      <c r="G602" s="136" t="s">
        <v>29</v>
      </c>
      <c r="J602" s="136">
        <f xml:space="preserve"> SUM(L602:AV602)</f>
        <v>4540.3243763995642</v>
      </c>
      <c r="L602" s="136">
        <f t="shared" ref="L602:AV602" si="277" xml:space="preserve"> L591 - L600</f>
        <v>0</v>
      </c>
      <c r="M602" s="136">
        <f t="shared" si="277"/>
        <v>0</v>
      </c>
      <c r="N602" s="136">
        <f t="shared" si="277"/>
        <v>0</v>
      </c>
      <c r="O602" s="136">
        <f t="shared" si="277"/>
        <v>0</v>
      </c>
      <c r="P602" s="136">
        <f t="shared" si="277"/>
        <v>-946.95764879847923</v>
      </c>
      <c r="Q602" s="136">
        <f t="shared" si="277"/>
        <v>501.61658460010506</v>
      </c>
      <c r="R602" s="136">
        <f t="shared" si="277"/>
        <v>204.99402695506274</v>
      </c>
      <c r="S602" s="136">
        <f t="shared" si="277"/>
        <v>687.49619317974657</v>
      </c>
      <c r="T602" s="136">
        <f t="shared" si="277"/>
        <v>712.49190530438136</v>
      </c>
      <c r="U602" s="136">
        <f t="shared" si="277"/>
        <v>410.33402270158717</v>
      </c>
      <c r="V602" s="136">
        <f t="shared" si="277"/>
        <v>294.65305171112095</v>
      </c>
      <c r="W602" s="136">
        <f t="shared" si="277"/>
        <v>395.39937364837988</v>
      </c>
      <c r="X602" s="136">
        <f t="shared" si="277"/>
        <v>345.71486152287639</v>
      </c>
      <c r="Y602" s="136">
        <f t="shared" si="277"/>
        <v>342.94375075502694</v>
      </c>
      <c r="Z602" s="136">
        <f t="shared" si="277"/>
        <v>328.16688707779031</v>
      </c>
      <c r="AA602" s="136">
        <f t="shared" si="277"/>
        <v>321.68301381470155</v>
      </c>
      <c r="AB602" s="136">
        <f t="shared" si="277"/>
        <v>270.70993906364743</v>
      </c>
      <c r="AC602" s="136">
        <f t="shared" si="277"/>
        <v>327.03591485157972</v>
      </c>
      <c r="AD602" s="136">
        <f t="shared" si="277"/>
        <v>344.04250001203786</v>
      </c>
      <c r="AE602" s="136">
        <f t="shared" si="277"/>
        <v>0</v>
      </c>
      <c r="AF602" s="136">
        <f t="shared" si="277"/>
        <v>0</v>
      </c>
      <c r="AG602" s="136">
        <f t="shared" si="277"/>
        <v>0</v>
      </c>
      <c r="AH602" s="136">
        <f t="shared" si="277"/>
        <v>0</v>
      </c>
      <c r="AI602" s="136">
        <f t="shared" si="277"/>
        <v>0</v>
      </c>
      <c r="AJ602" s="442">
        <f t="shared" si="277"/>
        <v>0</v>
      </c>
      <c r="AK602" s="442">
        <f t="shared" si="277"/>
        <v>0</v>
      </c>
      <c r="AL602" s="442">
        <f t="shared" si="277"/>
        <v>0</v>
      </c>
      <c r="AM602" s="442">
        <f t="shared" si="277"/>
        <v>0</v>
      </c>
      <c r="AN602" s="442">
        <f t="shared" si="277"/>
        <v>0</v>
      </c>
      <c r="AO602" s="136">
        <f t="shared" si="277"/>
        <v>0</v>
      </c>
      <c r="AP602" s="136">
        <f t="shared" si="277"/>
        <v>0</v>
      </c>
      <c r="AQ602" s="136">
        <f t="shared" si="277"/>
        <v>0</v>
      </c>
      <c r="AR602" s="136">
        <f t="shared" si="277"/>
        <v>0</v>
      </c>
      <c r="AS602" s="136">
        <f t="shared" si="277"/>
        <v>0</v>
      </c>
      <c r="AT602" s="136">
        <f t="shared" si="277"/>
        <v>0</v>
      </c>
      <c r="AU602" s="136">
        <f t="shared" si="277"/>
        <v>0</v>
      </c>
      <c r="AV602" s="136">
        <f t="shared" si="277"/>
        <v>0</v>
      </c>
    </row>
    <row r="603" spans="1:48" s="229" customFormat="1" ht="15" customHeight="1">
      <c r="A603" s="385"/>
      <c r="B603" s="357"/>
      <c r="C603" s="366"/>
      <c r="D603" s="317"/>
      <c r="E603" s="98"/>
      <c r="F603" s="98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  <c r="AA603" s="98"/>
      <c r="AB603" s="98"/>
      <c r="AC603" s="98"/>
      <c r="AD603" s="98"/>
      <c r="AE603" s="98"/>
      <c r="AF603" s="98"/>
      <c r="AG603" s="98"/>
      <c r="AH603" s="98"/>
      <c r="AI603" s="98"/>
      <c r="AJ603" s="98"/>
      <c r="AK603" s="98"/>
      <c r="AL603" s="98"/>
      <c r="AM603" s="98"/>
      <c r="AN603" s="98"/>
      <c r="AO603" s="98"/>
      <c r="AP603" s="98"/>
      <c r="AQ603" s="98"/>
      <c r="AR603" s="98"/>
      <c r="AS603" s="98"/>
      <c r="AT603" s="98"/>
      <c r="AU603" s="98"/>
      <c r="AV603" s="98"/>
    </row>
    <row r="604" spans="1:48" s="160" customFormat="1" ht="15" customHeight="1">
      <c r="A604" s="164" t="s">
        <v>881</v>
      </c>
      <c r="B604" s="162"/>
      <c r="C604" s="315"/>
      <c r="D604" s="386"/>
      <c r="E604" s="162"/>
      <c r="F604" s="162"/>
      <c r="G604" s="162"/>
      <c r="H604" s="162"/>
    </row>
    <row r="605" spans="1:48" s="6" customFormat="1" ht="15" customHeight="1">
      <c r="A605" s="347"/>
      <c r="B605" s="95"/>
      <c r="C605" s="96"/>
      <c r="D605" s="369"/>
    </row>
    <row r="606" spans="1:48" s="6" customFormat="1" ht="15" customHeight="1">
      <c r="A606" s="347"/>
      <c r="B606" s="95" t="s">
        <v>785</v>
      </c>
      <c r="C606" s="96"/>
      <c r="D606" s="369"/>
    </row>
    <row r="607" spans="1:48" s="98" customFormat="1" ht="15" customHeight="1">
      <c r="A607" s="385"/>
      <c r="B607" s="357"/>
      <c r="C607" s="366"/>
      <c r="D607" s="317"/>
      <c r="E607" s="98" t="str">
        <f t="shared" ref="E607:AV607" si="278" xml:space="preserve"> E$390</f>
        <v>Alternative Operating Cost Profile</v>
      </c>
      <c r="F607" s="98" t="str">
        <f t="shared" si="278"/>
        <v>Alt Opex</v>
      </c>
      <c r="G607" s="98" t="str">
        <f t="shared" si="278"/>
        <v>$ mn</v>
      </c>
      <c r="H607" s="98">
        <f t="shared" si="278"/>
        <v>0</v>
      </c>
      <c r="I607" s="98">
        <f t="shared" si="278"/>
        <v>0</v>
      </c>
      <c r="J607" s="98">
        <f t="shared" si="278"/>
        <v>9907.4531304831744</v>
      </c>
      <c r="K607" s="98">
        <f t="shared" si="278"/>
        <v>0</v>
      </c>
      <c r="L607" s="98">
        <f t="shared" si="278"/>
        <v>0</v>
      </c>
      <c r="M607" s="98">
        <f t="shared" si="278"/>
        <v>0</v>
      </c>
      <c r="N607" s="98">
        <f t="shared" si="278"/>
        <v>0</v>
      </c>
      <c r="O607" s="98">
        <f t="shared" si="278"/>
        <v>0</v>
      </c>
      <c r="P607" s="98">
        <f t="shared" si="278"/>
        <v>0</v>
      </c>
      <c r="Q607" s="98">
        <f t="shared" si="278"/>
        <v>0</v>
      </c>
      <c r="R607" s="98">
        <f t="shared" si="278"/>
        <v>427.00000000000006</v>
      </c>
      <c r="S607" s="98">
        <f t="shared" si="278"/>
        <v>532</v>
      </c>
      <c r="T607" s="98">
        <f t="shared" si="278"/>
        <v>705</v>
      </c>
      <c r="U607" s="98">
        <f t="shared" si="278"/>
        <v>724.29157127871883</v>
      </c>
      <c r="V607" s="98">
        <f t="shared" si="278"/>
        <v>760.56406616996242</v>
      </c>
      <c r="W607" s="98">
        <f t="shared" si="278"/>
        <v>785.45450684568095</v>
      </c>
      <c r="X607" s="98">
        <f t="shared" si="278"/>
        <v>800.92213977533436</v>
      </c>
      <c r="Y607" s="98">
        <f t="shared" si="278"/>
        <v>816.87383726665769</v>
      </c>
      <c r="Z607" s="98">
        <f t="shared" si="278"/>
        <v>837.83662691634106</v>
      </c>
      <c r="AA607" s="98">
        <f t="shared" si="278"/>
        <v>851.22045364034364</v>
      </c>
      <c r="AB607" s="98">
        <f t="shared" si="278"/>
        <v>866.62268025643698</v>
      </c>
      <c r="AC607" s="98">
        <f t="shared" si="278"/>
        <v>897.22565631293298</v>
      </c>
      <c r="AD607" s="98">
        <f t="shared" si="278"/>
        <v>902.44159202076582</v>
      </c>
      <c r="AE607" s="98">
        <f t="shared" si="278"/>
        <v>0</v>
      </c>
      <c r="AF607" s="98">
        <f t="shared" si="278"/>
        <v>0</v>
      </c>
      <c r="AG607" s="98">
        <f t="shared" si="278"/>
        <v>0</v>
      </c>
      <c r="AH607" s="98">
        <f t="shared" si="278"/>
        <v>0</v>
      </c>
      <c r="AI607" s="98">
        <f t="shared" si="278"/>
        <v>0</v>
      </c>
      <c r="AJ607" s="98">
        <f t="shared" si="278"/>
        <v>0</v>
      </c>
      <c r="AK607" s="98">
        <f t="shared" si="278"/>
        <v>0</v>
      </c>
      <c r="AL607" s="98">
        <f t="shared" si="278"/>
        <v>0</v>
      </c>
      <c r="AM607" s="98">
        <f t="shared" si="278"/>
        <v>0</v>
      </c>
      <c r="AN607" s="98">
        <f t="shared" si="278"/>
        <v>0</v>
      </c>
      <c r="AO607" s="98">
        <f t="shared" si="278"/>
        <v>0</v>
      </c>
      <c r="AP607" s="98">
        <f t="shared" si="278"/>
        <v>0</v>
      </c>
      <c r="AQ607" s="98">
        <f t="shared" si="278"/>
        <v>0</v>
      </c>
      <c r="AR607" s="98">
        <f t="shared" si="278"/>
        <v>0</v>
      </c>
      <c r="AS607" s="98">
        <f t="shared" si="278"/>
        <v>0</v>
      </c>
      <c r="AT607" s="98">
        <f t="shared" si="278"/>
        <v>0</v>
      </c>
      <c r="AU607" s="98">
        <f t="shared" si="278"/>
        <v>0</v>
      </c>
      <c r="AV607" s="98">
        <f t="shared" si="278"/>
        <v>0</v>
      </c>
    </row>
    <row r="608" spans="1:48" s="6" customFormat="1" ht="15" customHeight="1">
      <c r="A608" s="347"/>
      <c r="B608" s="95"/>
      <c r="C608" s="96"/>
      <c r="D608" s="369"/>
      <c r="E608" s="6" t="str">
        <f t="shared" ref="E608:AV608" si="279" xml:space="preserve"> E$410</f>
        <v>Capital Costs inc. Sens.</v>
      </c>
      <c r="F608" s="6">
        <f t="shared" si="279"/>
        <v>0</v>
      </c>
      <c r="G608" s="6" t="str">
        <f t="shared" si="279"/>
        <v>$ mn</v>
      </c>
      <c r="H608" s="6">
        <f t="shared" si="279"/>
        <v>0</v>
      </c>
      <c r="I608" s="6">
        <f t="shared" si="279"/>
        <v>0</v>
      </c>
      <c r="J608" s="6">
        <f t="shared" si="279"/>
        <v>1501.9969697316285</v>
      </c>
      <c r="K608" s="6">
        <f t="shared" si="279"/>
        <v>0</v>
      </c>
      <c r="L608" s="6">
        <f t="shared" si="279"/>
        <v>0</v>
      </c>
      <c r="M608" s="6">
        <f t="shared" si="279"/>
        <v>0</v>
      </c>
      <c r="N608" s="6">
        <f t="shared" si="279"/>
        <v>0</v>
      </c>
      <c r="O608" s="6">
        <f t="shared" si="279"/>
        <v>0</v>
      </c>
      <c r="P608" s="6">
        <f t="shared" si="279"/>
        <v>1010.1999999999999</v>
      </c>
      <c r="Q608" s="6">
        <f t="shared" si="279"/>
        <v>175.6</v>
      </c>
      <c r="R608" s="6">
        <f t="shared" si="279"/>
        <v>59.637940489648081</v>
      </c>
      <c r="S608" s="6">
        <f t="shared" si="279"/>
        <v>19.714240787317188</v>
      </c>
      <c r="T608" s="6">
        <f t="shared" si="279"/>
        <v>22.205587260857488</v>
      </c>
      <c r="U608" s="6">
        <f t="shared" si="279"/>
        <v>7.270379772582368</v>
      </c>
      <c r="V608" s="6">
        <f t="shared" si="279"/>
        <v>32.762129135977283</v>
      </c>
      <c r="W608" s="6">
        <f t="shared" si="279"/>
        <v>14.785349673189831</v>
      </c>
      <c r="X608" s="6">
        <f t="shared" si="279"/>
        <v>37.291985621134906</v>
      </c>
      <c r="Y608" s="6">
        <f t="shared" si="279"/>
        <v>11.106368397789192</v>
      </c>
      <c r="Z608" s="6">
        <f t="shared" si="279"/>
        <v>24.717558956867318</v>
      </c>
      <c r="AA608" s="6">
        <f t="shared" si="279"/>
        <v>10.625875307545776</v>
      </c>
      <c r="AB608" s="6">
        <f t="shared" si="279"/>
        <v>47.657903486366287</v>
      </c>
      <c r="AC608" s="6">
        <f t="shared" si="279"/>
        <v>9.2044613597337044</v>
      </c>
      <c r="AD608" s="6">
        <f t="shared" si="279"/>
        <v>19.217189482619023</v>
      </c>
      <c r="AE608" s="6">
        <f t="shared" si="279"/>
        <v>0</v>
      </c>
      <c r="AF608" s="6">
        <f t="shared" si="279"/>
        <v>0</v>
      </c>
      <c r="AG608" s="6">
        <f t="shared" si="279"/>
        <v>0</v>
      </c>
      <c r="AH608" s="6">
        <f t="shared" si="279"/>
        <v>0</v>
      </c>
      <c r="AI608" s="6">
        <f t="shared" si="279"/>
        <v>0</v>
      </c>
      <c r="AJ608" s="6">
        <f t="shared" si="279"/>
        <v>0</v>
      </c>
      <c r="AK608" s="6">
        <f t="shared" si="279"/>
        <v>0</v>
      </c>
      <c r="AL608" s="6">
        <f t="shared" si="279"/>
        <v>0</v>
      </c>
      <c r="AM608" s="6">
        <f t="shared" si="279"/>
        <v>0</v>
      </c>
      <c r="AN608" s="6">
        <f t="shared" si="279"/>
        <v>0</v>
      </c>
      <c r="AO608" s="6">
        <f t="shared" si="279"/>
        <v>0</v>
      </c>
      <c r="AP608" s="6">
        <f t="shared" si="279"/>
        <v>0</v>
      </c>
      <c r="AQ608" s="6">
        <f t="shared" si="279"/>
        <v>0</v>
      </c>
      <c r="AR608" s="6">
        <f t="shared" si="279"/>
        <v>0</v>
      </c>
      <c r="AS608" s="6">
        <f t="shared" si="279"/>
        <v>0</v>
      </c>
      <c r="AT608" s="6">
        <f t="shared" si="279"/>
        <v>0</v>
      </c>
      <c r="AU608" s="6">
        <f t="shared" si="279"/>
        <v>0</v>
      </c>
      <c r="AV608" s="6">
        <f t="shared" si="279"/>
        <v>0</v>
      </c>
    </row>
    <row r="609" spans="1:48" s="6" customFormat="1" ht="15" customHeight="1">
      <c r="A609" s="347"/>
      <c r="B609" s="95"/>
      <c r="C609" s="96"/>
      <c r="D609" s="369"/>
      <c r="E609" s="6" t="s">
        <v>882</v>
      </c>
      <c r="G609" s="6" t="s">
        <v>29</v>
      </c>
      <c r="J609" s="6">
        <f xml:space="preserve"> SUM(L609:AV609)</f>
        <v>11409.450100214803</v>
      </c>
      <c r="L609" s="6">
        <f t="shared" ref="L609:AV609" si="280">SUM(L607:L608)</f>
        <v>0</v>
      </c>
      <c r="M609" s="6">
        <f t="shared" si="280"/>
        <v>0</v>
      </c>
      <c r="N609" s="6">
        <f t="shared" si="280"/>
        <v>0</v>
      </c>
      <c r="O609" s="6">
        <f t="shared" si="280"/>
        <v>0</v>
      </c>
      <c r="P609" s="6">
        <f t="shared" si="280"/>
        <v>1010.1999999999999</v>
      </c>
      <c r="Q609" s="6">
        <f t="shared" si="280"/>
        <v>175.6</v>
      </c>
      <c r="R609" s="6">
        <f t="shared" si="280"/>
        <v>486.63794048964814</v>
      </c>
      <c r="S609" s="6">
        <f t="shared" si="280"/>
        <v>551.71424078731718</v>
      </c>
      <c r="T609" s="6">
        <f t="shared" si="280"/>
        <v>727.20558726085744</v>
      </c>
      <c r="U609" s="6">
        <f t="shared" si="280"/>
        <v>731.56195105130121</v>
      </c>
      <c r="V609" s="6">
        <f t="shared" si="280"/>
        <v>793.32619530593968</v>
      </c>
      <c r="W609" s="6">
        <f t="shared" si="280"/>
        <v>800.23985651887074</v>
      </c>
      <c r="X609" s="6">
        <f t="shared" si="280"/>
        <v>838.21412539646929</v>
      </c>
      <c r="Y609" s="6">
        <f t="shared" si="280"/>
        <v>827.98020566444688</v>
      </c>
      <c r="Z609" s="6">
        <f t="shared" si="280"/>
        <v>862.55418587320833</v>
      </c>
      <c r="AA609" s="6">
        <f t="shared" si="280"/>
        <v>861.84632894788945</v>
      </c>
      <c r="AB609" s="6">
        <f t="shared" si="280"/>
        <v>914.28058374280329</v>
      </c>
      <c r="AC609" s="6">
        <f t="shared" si="280"/>
        <v>906.43011767266671</v>
      </c>
      <c r="AD609" s="6">
        <f t="shared" si="280"/>
        <v>921.65878150338483</v>
      </c>
      <c r="AE609" s="6">
        <f t="shared" si="280"/>
        <v>0</v>
      </c>
      <c r="AF609" s="6">
        <f t="shared" si="280"/>
        <v>0</v>
      </c>
      <c r="AG609" s="6">
        <f t="shared" si="280"/>
        <v>0</v>
      </c>
      <c r="AH609" s="6">
        <f t="shared" si="280"/>
        <v>0</v>
      </c>
      <c r="AI609" s="6">
        <f t="shared" si="280"/>
        <v>0</v>
      </c>
      <c r="AJ609" s="6">
        <f t="shared" si="280"/>
        <v>0</v>
      </c>
      <c r="AK609" s="6">
        <f t="shared" si="280"/>
        <v>0</v>
      </c>
      <c r="AL609" s="6">
        <f t="shared" si="280"/>
        <v>0</v>
      </c>
      <c r="AM609" s="6">
        <f t="shared" si="280"/>
        <v>0</v>
      </c>
      <c r="AN609" s="6">
        <f t="shared" si="280"/>
        <v>0</v>
      </c>
      <c r="AO609" s="6">
        <f t="shared" si="280"/>
        <v>0</v>
      </c>
      <c r="AP609" s="6">
        <f t="shared" si="280"/>
        <v>0</v>
      </c>
      <c r="AQ609" s="6">
        <f t="shared" si="280"/>
        <v>0</v>
      </c>
      <c r="AR609" s="6">
        <f t="shared" si="280"/>
        <v>0</v>
      </c>
      <c r="AS609" s="6">
        <f t="shared" si="280"/>
        <v>0</v>
      </c>
      <c r="AT609" s="6">
        <f t="shared" si="280"/>
        <v>0</v>
      </c>
      <c r="AU609" s="6">
        <f t="shared" si="280"/>
        <v>0</v>
      </c>
      <c r="AV609" s="6">
        <f t="shared" si="280"/>
        <v>0</v>
      </c>
    </row>
    <row r="610" spans="1:48" s="6" customFormat="1" ht="15" customHeight="1">
      <c r="A610" s="347"/>
      <c r="B610" s="95"/>
      <c r="C610" s="96"/>
      <c r="D610" s="369"/>
    </row>
    <row r="611" spans="1:48" s="81" customFormat="1" ht="15" customHeight="1">
      <c r="A611" s="411"/>
      <c r="B611" s="79"/>
      <c r="C611" s="80"/>
      <c r="D611" s="845"/>
      <c r="E611" s="186" t="str">
        <f xml:space="preserve"> InputsTS!E$347</f>
        <v>Import duties: combined actual and forecast</v>
      </c>
      <c r="F611" s="186">
        <f xml:space="preserve"> InputsTS!F$347</f>
        <v>0</v>
      </c>
      <c r="G611" s="186" t="str">
        <f xml:space="preserve"> InputsTS!G$347</f>
        <v>% aggregate costs</v>
      </c>
      <c r="H611" s="186">
        <f xml:space="preserve"> InputsTS!H$347</f>
        <v>0</v>
      </c>
      <c r="I611" s="186">
        <f xml:space="preserve"> InputsTS!I$347</f>
        <v>0</v>
      </c>
      <c r="J611" s="186">
        <f xml:space="preserve"> InputsTS!J$347</f>
        <v>0</v>
      </c>
      <c r="K611" s="186">
        <f xml:space="preserve"> InputsTS!K$347</f>
        <v>0</v>
      </c>
      <c r="L611" s="186">
        <f xml:space="preserve"> InputsTS!L$347</f>
        <v>0</v>
      </c>
      <c r="M611" s="186">
        <f xml:space="preserve"> InputsTS!M$347</f>
        <v>0</v>
      </c>
      <c r="N611" s="186">
        <f xml:space="preserve"> InputsTS!N$347</f>
        <v>0</v>
      </c>
      <c r="O611" s="186">
        <f xml:space="preserve"> InputsTS!O$347</f>
        <v>0</v>
      </c>
      <c r="P611" s="186">
        <f xml:space="preserve"> InputsTS!P$347</f>
        <v>1.757706471710204E-3</v>
      </c>
      <c r="Q611" s="186">
        <f xml:space="preserve"> InputsTS!Q$347</f>
        <v>1.982929984337866E-2</v>
      </c>
      <c r="R611" s="186">
        <f xml:space="preserve"> InputsTS!R$347</f>
        <v>0</v>
      </c>
      <c r="S611" s="186">
        <f xml:space="preserve"> InputsTS!S$347</f>
        <v>0</v>
      </c>
      <c r="T611" s="186">
        <f xml:space="preserve"> InputsTS!T$347</f>
        <v>1.3832054498030572E-2</v>
      </c>
      <c r="U611" s="186">
        <f xml:space="preserve"> InputsTS!U$347</f>
        <v>0</v>
      </c>
      <c r="V611" s="186">
        <f xml:space="preserve"> InputsTS!V$347</f>
        <v>0</v>
      </c>
      <c r="W611" s="186">
        <f xml:space="preserve"> InputsTS!W$347</f>
        <v>0</v>
      </c>
      <c r="X611" s="186">
        <f xml:space="preserve"> InputsTS!X$347</f>
        <v>0</v>
      </c>
      <c r="Y611" s="186">
        <f xml:space="preserve"> InputsTS!Y$347</f>
        <v>0</v>
      </c>
      <c r="Z611" s="186">
        <f xml:space="preserve"> InputsTS!Z$347</f>
        <v>0</v>
      </c>
      <c r="AA611" s="186">
        <f xml:space="preserve"> InputsTS!AA$347</f>
        <v>0</v>
      </c>
      <c r="AB611" s="186">
        <f xml:space="preserve"> InputsTS!AB$347</f>
        <v>0</v>
      </c>
      <c r="AC611" s="186">
        <f xml:space="preserve"> InputsTS!AC$347</f>
        <v>0</v>
      </c>
      <c r="AD611" s="186">
        <f xml:space="preserve"> InputsTS!AD$347</f>
        <v>0</v>
      </c>
      <c r="AE611" s="186">
        <f xml:space="preserve"> InputsTS!AE$347</f>
        <v>0</v>
      </c>
      <c r="AF611" s="186">
        <f xml:space="preserve"> InputsTS!AF$347</f>
        <v>0</v>
      </c>
      <c r="AG611" s="186">
        <f xml:space="preserve"> InputsTS!AG$347</f>
        <v>0</v>
      </c>
      <c r="AH611" s="186">
        <f xml:space="preserve"> InputsTS!AH$347</f>
        <v>0</v>
      </c>
      <c r="AI611" s="186">
        <f xml:space="preserve"> InputsTS!AI$347</f>
        <v>0</v>
      </c>
      <c r="AJ611" s="186">
        <f xml:space="preserve"> InputsTS!AJ$347</f>
        <v>0</v>
      </c>
      <c r="AK611" s="186">
        <f xml:space="preserve"> InputsTS!AK$347</f>
        <v>0</v>
      </c>
      <c r="AL611" s="186">
        <f xml:space="preserve"> InputsTS!AL$347</f>
        <v>0</v>
      </c>
      <c r="AM611" s="186">
        <f xml:space="preserve"> InputsTS!AM$347</f>
        <v>0</v>
      </c>
      <c r="AN611" s="186">
        <f xml:space="preserve"> InputsTS!AN$347</f>
        <v>0</v>
      </c>
      <c r="AO611" s="186">
        <f xml:space="preserve"> InputsTS!AO$347</f>
        <v>0</v>
      </c>
      <c r="AP611" s="186">
        <f xml:space="preserve"> InputsTS!AP$347</f>
        <v>0</v>
      </c>
      <c r="AQ611" s="186">
        <f xml:space="preserve"> InputsTS!AQ$347</f>
        <v>0</v>
      </c>
      <c r="AR611" s="186">
        <f xml:space="preserve"> InputsTS!AR$347</f>
        <v>0</v>
      </c>
      <c r="AS611" s="186">
        <f xml:space="preserve"> InputsTS!AS$347</f>
        <v>0</v>
      </c>
      <c r="AT611" s="186">
        <f xml:space="preserve"> InputsTS!AT$347</f>
        <v>0</v>
      </c>
      <c r="AU611" s="186">
        <f xml:space="preserve"> InputsTS!AU$347</f>
        <v>0</v>
      </c>
      <c r="AV611" s="186">
        <f xml:space="preserve"> InputsTS!AV$347</f>
        <v>0</v>
      </c>
    </row>
    <row r="612" spans="1:48" s="6" customFormat="1" ht="15" customHeight="1">
      <c r="A612" s="347"/>
      <c r="B612" s="95"/>
      <c r="C612" s="96"/>
      <c r="D612" s="369"/>
    </row>
    <row r="613" spans="1:48" s="6" customFormat="1" ht="15" customHeight="1">
      <c r="A613" s="347"/>
      <c r="B613" s="95"/>
      <c r="C613" s="96"/>
      <c r="D613" s="369"/>
      <c r="E613" s="70" t="str">
        <f xml:space="preserve"> InputsTS!E$349</f>
        <v>Include Import Duties in forecast (1 = yes)</v>
      </c>
      <c r="F613" s="70">
        <f xml:space="preserve"> InputsTS!F$349</f>
        <v>1</v>
      </c>
      <c r="G613" s="70" t="str">
        <f xml:space="preserve"> InputsTS!G$349</f>
        <v>flag</v>
      </c>
    </row>
    <row r="614" spans="1:48" s="6" customFormat="1" ht="15" customHeight="1">
      <c r="A614" s="347"/>
      <c r="B614" s="95"/>
      <c r="C614" s="96"/>
      <c r="D614" s="369"/>
      <c r="E614" s="6" t="s">
        <v>871</v>
      </c>
      <c r="G614" s="6" t="s">
        <v>29</v>
      </c>
      <c r="J614" s="6">
        <f xml:space="preserve"> SUM(L614:AV614)</f>
        <v>15.316407444483447</v>
      </c>
      <c r="L614" s="6">
        <f t="shared" ref="L614:AV614" si="281" xml:space="preserve"> L611 * L609 * $F613</f>
        <v>0</v>
      </c>
      <c r="M614" s="6">
        <f t="shared" si="281"/>
        <v>0</v>
      </c>
      <c r="N614" s="6">
        <f t="shared" si="281"/>
        <v>0</v>
      </c>
      <c r="O614" s="6">
        <f t="shared" si="281"/>
        <v>0</v>
      </c>
      <c r="P614" s="6">
        <f t="shared" si="281"/>
        <v>1.7756350777216481</v>
      </c>
      <c r="Q614" s="6">
        <f t="shared" si="281"/>
        <v>3.4820250524972924</v>
      </c>
      <c r="R614" s="6">
        <f t="shared" si="281"/>
        <v>0</v>
      </c>
      <c r="S614" s="6">
        <f t="shared" si="281"/>
        <v>0</v>
      </c>
      <c r="T614" s="6">
        <f t="shared" si="281"/>
        <v>10.058747314264506</v>
      </c>
      <c r="U614" s="6">
        <f t="shared" si="281"/>
        <v>0</v>
      </c>
      <c r="V614" s="6">
        <f t="shared" si="281"/>
        <v>0</v>
      </c>
      <c r="W614" s="6">
        <f t="shared" si="281"/>
        <v>0</v>
      </c>
      <c r="X614" s="6">
        <f t="shared" si="281"/>
        <v>0</v>
      </c>
      <c r="Y614" s="6">
        <f t="shared" si="281"/>
        <v>0</v>
      </c>
      <c r="Z614" s="6">
        <f t="shared" si="281"/>
        <v>0</v>
      </c>
      <c r="AA614" s="6">
        <f t="shared" si="281"/>
        <v>0</v>
      </c>
      <c r="AB614" s="6">
        <f t="shared" si="281"/>
        <v>0</v>
      </c>
      <c r="AC614" s="6">
        <f t="shared" si="281"/>
        <v>0</v>
      </c>
      <c r="AD614" s="6">
        <f t="shared" si="281"/>
        <v>0</v>
      </c>
      <c r="AE614" s="6">
        <f t="shared" si="281"/>
        <v>0</v>
      </c>
      <c r="AF614" s="6">
        <f t="shared" si="281"/>
        <v>0</v>
      </c>
      <c r="AG614" s="6">
        <f t="shared" si="281"/>
        <v>0</v>
      </c>
      <c r="AH614" s="6">
        <f t="shared" si="281"/>
        <v>0</v>
      </c>
      <c r="AI614" s="6">
        <f t="shared" si="281"/>
        <v>0</v>
      </c>
      <c r="AJ614" s="6">
        <f t="shared" si="281"/>
        <v>0</v>
      </c>
      <c r="AK614" s="6">
        <f t="shared" si="281"/>
        <v>0</v>
      </c>
      <c r="AL614" s="6">
        <f t="shared" si="281"/>
        <v>0</v>
      </c>
      <c r="AM614" s="6">
        <f t="shared" si="281"/>
        <v>0</v>
      </c>
      <c r="AN614" s="6">
        <f t="shared" si="281"/>
        <v>0</v>
      </c>
      <c r="AO614" s="6">
        <f t="shared" si="281"/>
        <v>0</v>
      </c>
      <c r="AP614" s="6">
        <f t="shared" si="281"/>
        <v>0</v>
      </c>
      <c r="AQ614" s="6">
        <f t="shared" si="281"/>
        <v>0</v>
      </c>
      <c r="AR614" s="6">
        <f t="shared" si="281"/>
        <v>0</v>
      </c>
      <c r="AS614" s="6">
        <f t="shared" si="281"/>
        <v>0</v>
      </c>
      <c r="AT614" s="6">
        <f t="shared" si="281"/>
        <v>0</v>
      </c>
      <c r="AU614" s="6">
        <f t="shared" si="281"/>
        <v>0</v>
      </c>
      <c r="AV614" s="6">
        <f t="shared" si="281"/>
        <v>0</v>
      </c>
    </row>
    <row r="615" spans="1:48" s="6" customFormat="1" ht="15" customHeight="1">
      <c r="A615" s="347"/>
      <c r="B615" s="95"/>
      <c r="C615" s="96"/>
      <c r="D615" s="369"/>
    </row>
    <row r="616" spans="1:48" s="160" customFormat="1" ht="15" customHeight="1">
      <c r="A616" s="164" t="s">
        <v>1140</v>
      </c>
      <c r="B616" s="162"/>
      <c r="C616" s="315"/>
      <c r="D616" s="386"/>
      <c r="E616" s="162"/>
      <c r="F616" s="162"/>
      <c r="G616" s="162"/>
      <c r="H616" s="162"/>
    </row>
    <row r="617" spans="1:48" s="6" customFormat="1" ht="15" customHeight="1">
      <c r="A617" s="347"/>
      <c r="B617" s="95"/>
      <c r="C617" s="96"/>
      <c r="D617" s="369"/>
    </row>
    <row r="618" spans="1:48" s="6" customFormat="1" ht="15" customHeight="1">
      <c r="A618" s="347"/>
      <c r="B618" s="95" t="s">
        <v>785</v>
      </c>
      <c r="C618" s="96"/>
      <c r="D618" s="369"/>
    </row>
    <row r="619" spans="1:48" s="98" customFormat="1" ht="15" customHeight="1">
      <c r="A619" s="385"/>
      <c r="B619" s="357"/>
      <c r="C619" s="366"/>
      <c r="D619" s="317"/>
      <c r="E619" s="98" t="str">
        <f t="shared" ref="E619:AV619" si="282" xml:space="preserve"> E$390</f>
        <v>Alternative Operating Cost Profile</v>
      </c>
      <c r="F619" s="98" t="str">
        <f t="shared" si="282"/>
        <v>Alt Opex</v>
      </c>
      <c r="G619" s="98" t="str">
        <f t="shared" si="282"/>
        <v>$ mn</v>
      </c>
      <c r="H619" s="98">
        <f t="shared" si="282"/>
        <v>0</v>
      </c>
      <c r="I619" s="98">
        <f t="shared" si="282"/>
        <v>0</v>
      </c>
      <c r="J619" s="98">
        <f t="shared" si="282"/>
        <v>9907.4531304831744</v>
      </c>
      <c r="K619" s="98">
        <f t="shared" si="282"/>
        <v>0</v>
      </c>
      <c r="L619" s="98">
        <f t="shared" si="282"/>
        <v>0</v>
      </c>
      <c r="M619" s="98">
        <f t="shared" si="282"/>
        <v>0</v>
      </c>
      <c r="N619" s="98">
        <f t="shared" si="282"/>
        <v>0</v>
      </c>
      <c r="O619" s="98">
        <f t="shared" si="282"/>
        <v>0</v>
      </c>
      <c r="P619" s="98">
        <f t="shared" si="282"/>
        <v>0</v>
      </c>
      <c r="Q619" s="98">
        <f t="shared" si="282"/>
        <v>0</v>
      </c>
      <c r="R619" s="98">
        <f t="shared" si="282"/>
        <v>427.00000000000006</v>
      </c>
      <c r="S619" s="98">
        <f t="shared" si="282"/>
        <v>532</v>
      </c>
      <c r="T619" s="98">
        <f t="shared" si="282"/>
        <v>705</v>
      </c>
      <c r="U619" s="98">
        <f t="shared" si="282"/>
        <v>724.29157127871883</v>
      </c>
      <c r="V619" s="98">
        <f t="shared" si="282"/>
        <v>760.56406616996242</v>
      </c>
      <c r="W619" s="98">
        <f t="shared" si="282"/>
        <v>785.45450684568095</v>
      </c>
      <c r="X619" s="98">
        <f t="shared" si="282"/>
        <v>800.92213977533436</v>
      </c>
      <c r="Y619" s="98">
        <f t="shared" si="282"/>
        <v>816.87383726665769</v>
      </c>
      <c r="Z619" s="98">
        <f t="shared" si="282"/>
        <v>837.83662691634106</v>
      </c>
      <c r="AA619" s="98">
        <f t="shared" si="282"/>
        <v>851.22045364034364</v>
      </c>
      <c r="AB619" s="98">
        <f t="shared" si="282"/>
        <v>866.62268025643698</v>
      </c>
      <c r="AC619" s="98">
        <f t="shared" si="282"/>
        <v>897.22565631293298</v>
      </c>
      <c r="AD619" s="98">
        <f t="shared" si="282"/>
        <v>902.44159202076582</v>
      </c>
      <c r="AE619" s="98">
        <f t="shared" si="282"/>
        <v>0</v>
      </c>
      <c r="AF619" s="98">
        <f t="shared" si="282"/>
        <v>0</v>
      </c>
      <c r="AG619" s="98">
        <f t="shared" si="282"/>
        <v>0</v>
      </c>
      <c r="AH619" s="98">
        <f t="shared" si="282"/>
        <v>0</v>
      </c>
      <c r="AI619" s="98">
        <f t="shared" si="282"/>
        <v>0</v>
      </c>
      <c r="AJ619" s="98">
        <f t="shared" si="282"/>
        <v>0</v>
      </c>
      <c r="AK619" s="98">
        <f t="shared" si="282"/>
        <v>0</v>
      </c>
      <c r="AL619" s="98">
        <f t="shared" si="282"/>
        <v>0</v>
      </c>
      <c r="AM619" s="98">
        <f t="shared" si="282"/>
        <v>0</v>
      </c>
      <c r="AN619" s="98">
        <f t="shared" si="282"/>
        <v>0</v>
      </c>
      <c r="AO619" s="98">
        <f t="shared" si="282"/>
        <v>0</v>
      </c>
      <c r="AP619" s="98">
        <f t="shared" si="282"/>
        <v>0</v>
      </c>
      <c r="AQ619" s="98">
        <f t="shared" si="282"/>
        <v>0</v>
      </c>
      <c r="AR619" s="98">
        <f t="shared" si="282"/>
        <v>0</v>
      </c>
      <c r="AS619" s="98">
        <f t="shared" si="282"/>
        <v>0</v>
      </c>
      <c r="AT619" s="98">
        <f t="shared" si="282"/>
        <v>0</v>
      </c>
      <c r="AU619" s="98">
        <f t="shared" si="282"/>
        <v>0</v>
      </c>
      <c r="AV619" s="98">
        <f t="shared" si="282"/>
        <v>0</v>
      </c>
    </row>
    <row r="620" spans="1:48" s="6" customFormat="1" ht="15" customHeight="1">
      <c r="A620" s="347"/>
      <c r="B620" s="95"/>
      <c r="C620" s="96"/>
      <c r="D620" s="369"/>
      <c r="E620" s="6" t="str">
        <f t="shared" ref="E620:AV620" si="283" xml:space="preserve"> E$410</f>
        <v>Capital Costs inc. Sens.</v>
      </c>
      <c r="F620" s="6">
        <f t="shared" si="283"/>
        <v>0</v>
      </c>
      <c r="G620" s="6" t="str">
        <f t="shared" si="283"/>
        <v>$ mn</v>
      </c>
      <c r="H620" s="6">
        <f t="shared" si="283"/>
        <v>0</v>
      </c>
      <c r="I620" s="6">
        <f t="shared" si="283"/>
        <v>0</v>
      </c>
      <c r="J620" s="6">
        <f t="shared" si="283"/>
        <v>1501.9969697316285</v>
      </c>
      <c r="K620" s="6">
        <f t="shared" si="283"/>
        <v>0</v>
      </c>
      <c r="L620" s="6">
        <f t="shared" si="283"/>
        <v>0</v>
      </c>
      <c r="M620" s="6">
        <f t="shared" si="283"/>
        <v>0</v>
      </c>
      <c r="N620" s="6">
        <f t="shared" si="283"/>
        <v>0</v>
      </c>
      <c r="O620" s="6">
        <f t="shared" si="283"/>
        <v>0</v>
      </c>
      <c r="P620" s="6">
        <f t="shared" si="283"/>
        <v>1010.1999999999999</v>
      </c>
      <c r="Q620" s="6">
        <f t="shared" si="283"/>
        <v>175.6</v>
      </c>
      <c r="R620" s="6">
        <f t="shared" si="283"/>
        <v>59.637940489648081</v>
      </c>
      <c r="S620" s="6">
        <f t="shared" si="283"/>
        <v>19.714240787317188</v>
      </c>
      <c r="T620" s="6">
        <f t="shared" si="283"/>
        <v>22.205587260857488</v>
      </c>
      <c r="U620" s="6">
        <f t="shared" si="283"/>
        <v>7.270379772582368</v>
      </c>
      <c r="V620" s="6">
        <f t="shared" si="283"/>
        <v>32.762129135977283</v>
      </c>
      <c r="W620" s="6">
        <f t="shared" si="283"/>
        <v>14.785349673189831</v>
      </c>
      <c r="X620" s="6">
        <f t="shared" si="283"/>
        <v>37.291985621134906</v>
      </c>
      <c r="Y620" s="6">
        <f t="shared" si="283"/>
        <v>11.106368397789192</v>
      </c>
      <c r="Z620" s="6">
        <f t="shared" si="283"/>
        <v>24.717558956867318</v>
      </c>
      <c r="AA620" s="6">
        <f t="shared" si="283"/>
        <v>10.625875307545776</v>
      </c>
      <c r="AB620" s="6">
        <f t="shared" si="283"/>
        <v>47.657903486366287</v>
      </c>
      <c r="AC620" s="6">
        <f t="shared" si="283"/>
        <v>9.2044613597337044</v>
      </c>
      <c r="AD620" s="6">
        <f t="shared" si="283"/>
        <v>19.217189482619023</v>
      </c>
      <c r="AE620" s="6">
        <f t="shared" si="283"/>
        <v>0</v>
      </c>
      <c r="AF620" s="6">
        <f t="shared" si="283"/>
        <v>0</v>
      </c>
      <c r="AG620" s="6">
        <f t="shared" si="283"/>
        <v>0</v>
      </c>
      <c r="AH620" s="6">
        <f t="shared" si="283"/>
        <v>0</v>
      </c>
      <c r="AI620" s="6">
        <f t="shared" si="283"/>
        <v>0</v>
      </c>
      <c r="AJ620" s="6">
        <f t="shared" si="283"/>
        <v>0</v>
      </c>
      <c r="AK620" s="6">
        <f t="shared" si="283"/>
        <v>0</v>
      </c>
      <c r="AL620" s="6">
        <f t="shared" si="283"/>
        <v>0</v>
      </c>
      <c r="AM620" s="6">
        <f t="shared" si="283"/>
        <v>0</v>
      </c>
      <c r="AN620" s="6">
        <f t="shared" si="283"/>
        <v>0</v>
      </c>
      <c r="AO620" s="6">
        <f t="shared" si="283"/>
        <v>0</v>
      </c>
      <c r="AP620" s="6">
        <f t="shared" si="283"/>
        <v>0</v>
      </c>
      <c r="AQ620" s="6">
        <f t="shared" si="283"/>
        <v>0</v>
      </c>
      <c r="AR620" s="6">
        <f t="shared" si="283"/>
        <v>0</v>
      </c>
      <c r="AS620" s="6">
        <f t="shared" si="283"/>
        <v>0</v>
      </c>
      <c r="AT620" s="6">
        <f t="shared" si="283"/>
        <v>0</v>
      </c>
      <c r="AU620" s="6">
        <f t="shared" si="283"/>
        <v>0</v>
      </c>
      <c r="AV620" s="6">
        <f t="shared" si="283"/>
        <v>0</v>
      </c>
    </row>
    <row r="621" spans="1:48" s="6" customFormat="1" ht="15" customHeight="1">
      <c r="A621" s="347"/>
      <c r="B621" s="95"/>
      <c r="C621" s="96"/>
      <c r="D621" s="369"/>
      <c r="E621" s="6" t="s">
        <v>882</v>
      </c>
      <c r="G621" s="6" t="s">
        <v>29</v>
      </c>
      <c r="J621" s="6">
        <f xml:space="preserve"> SUM(L621:AV621)</f>
        <v>11409.450100214803</v>
      </c>
      <c r="L621" s="6">
        <f t="shared" ref="L621:AV621" si="284">SUM(L619:L620)</f>
        <v>0</v>
      </c>
      <c r="M621" s="6">
        <f t="shared" si="284"/>
        <v>0</v>
      </c>
      <c r="N621" s="6">
        <f t="shared" si="284"/>
        <v>0</v>
      </c>
      <c r="O621" s="6">
        <f t="shared" si="284"/>
        <v>0</v>
      </c>
      <c r="P621" s="6">
        <f t="shared" si="284"/>
        <v>1010.1999999999999</v>
      </c>
      <c r="Q621" s="6">
        <f t="shared" si="284"/>
        <v>175.6</v>
      </c>
      <c r="R621" s="6">
        <f t="shared" si="284"/>
        <v>486.63794048964814</v>
      </c>
      <c r="S621" s="6">
        <f t="shared" si="284"/>
        <v>551.71424078731718</v>
      </c>
      <c r="T621" s="6">
        <f t="shared" si="284"/>
        <v>727.20558726085744</v>
      </c>
      <c r="U621" s="6">
        <f t="shared" si="284"/>
        <v>731.56195105130121</v>
      </c>
      <c r="V621" s="6">
        <f t="shared" si="284"/>
        <v>793.32619530593968</v>
      </c>
      <c r="W621" s="6">
        <f t="shared" si="284"/>
        <v>800.23985651887074</v>
      </c>
      <c r="X621" s="6">
        <f t="shared" si="284"/>
        <v>838.21412539646929</v>
      </c>
      <c r="Y621" s="6">
        <f t="shared" si="284"/>
        <v>827.98020566444688</v>
      </c>
      <c r="Z621" s="6">
        <f t="shared" si="284"/>
        <v>862.55418587320833</v>
      </c>
      <c r="AA621" s="6">
        <f t="shared" si="284"/>
        <v>861.84632894788945</v>
      </c>
      <c r="AB621" s="6">
        <f t="shared" si="284"/>
        <v>914.28058374280329</v>
      </c>
      <c r="AC621" s="6">
        <f t="shared" si="284"/>
        <v>906.43011767266671</v>
      </c>
      <c r="AD621" s="6">
        <f t="shared" si="284"/>
        <v>921.65878150338483</v>
      </c>
      <c r="AE621" s="6">
        <f t="shared" si="284"/>
        <v>0</v>
      </c>
      <c r="AF621" s="6">
        <f t="shared" si="284"/>
        <v>0</v>
      </c>
      <c r="AG621" s="6">
        <f t="shared" si="284"/>
        <v>0</v>
      </c>
      <c r="AH621" s="6">
        <f t="shared" si="284"/>
        <v>0</v>
      </c>
      <c r="AI621" s="6">
        <f t="shared" si="284"/>
        <v>0</v>
      </c>
      <c r="AJ621" s="6">
        <f t="shared" si="284"/>
        <v>0</v>
      </c>
      <c r="AK621" s="6">
        <f t="shared" si="284"/>
        <v>0</v>
      </c>
      <c r="AL621" s="6">
        <f t="shared" si="284"/>
        <v>0</v>
      </c>
      <c r="AM621" s="6">
        <f t="shared" si="284"/>
        <v>0</v>
      </c>
      <c r="AN621" s="6">
        <f t="shared" si="284"/>
        <v>0</v>
      </c>
      <c r="AO621" s="6">
        <f t="shared" si="284"/>
        <v>0</v>
      </c>
      <c r="AP621" s="6">
        <f t="shared" si="284"/>
        <v>0</v>
      </c>
      <c r="AQ621" s="6">
        <f t="shared" si="284"/>
        <v>0</v>
      </c>
      <c r="AR621" s="6">
        <f t="shared" si="284"/>
        <v>0</v>
      </c>
      <c r="AS621" s="6">
        <f t="shared" si="284"/>
        <v>0</v>
      </c>
      <c r="AT621" s="6">
        <f t="shared" si="284"/>
        <v>0</v>
      </c>
      <c r="AU621" s="6">
        <f t="shared" si="284"/>
        <v>0</v>
      </c>
      <c r="AV621" s="6">
        <f t="shared" si="284"/>
        <v>0</v>
      </c>
    </row>
    <row r="622" spans="1:48" s="6" customFormat="1" ht="15" customHeight="1">
      <c r="A622" s="347"/>
      <c r="B622" s="95"/>
      <c r="C622" s="96"/>
      <c r="D622" s="369"/>
    </row>
    <row r="623" spans="1:48" s="6" customFormat="1" ht="15" customHeight="1">
      <c r="A623" s="347"/>
      <c r="B623" s="95"/>
      <c r="C623" s="96"/>
      <c r="D623" s="369"/>
      <c r="E623" s="6" t="s">
        <v>1129</v>
      </c>
      <c r="F623" s="321">
        <v>0.5</v>
      </c>
      <c r="G623" s="6" t="s">
        <v>26</v>
      </c>
    </row>
    <row r="624" spans="1:48" s="6" customFormat="1" ht="15" customHeight="1">
      <c r="A624" s="347"/>
      <c r="B624" s="95"/>
      <c r="C624" s="96"/>
      <c r="D624" s="369"/>
      <c r="E624" s="6" t="s">
        <v>1130</v>
      </c>
      <c r="F624" s="321">
        <v>0.7</v>
      </c>
      <c r="G624" s="6" t="s">
        <v>26</v>
      </c>
    </row>
    <row r="625" spans="1:48" s="6" customFormat="1" ht="15" customHeight="1">
      <c r="A625" s="347"/>
      <c r="B625" s="95"/>
      <c r="C625" s="96"/>
      <c r="D625" s="369"/>
    </row>
    <row r="626" spans="1:48" s="6" customFormat="1" ht="15" customHeight="1">
      <c r="A626" s="347"/>
      <c r="B626" s="95"/>
      <c r="C626" s="96"/>
      <c r="D626" s="369"/>
      <c r="E626" s="6" t="s">
        <v>1131</v>
      </c>
      <c r="F626" s="321">
        <v>0.25</v>
      </c>
      <c r="G626" s="6" t="s">
        <v>26</v>
      </c>
    </row>
    <row r="627" spans="1:48" s="6" customFormat="1" ht="15" customHeight="1">
      <c r="A627" s="347"/>
      <c r="B627" s="95"/>
      <c r="C627" s="96"/>
      <c r="D627" s="369"/>
      <c r="E627" s="6" t="s">
        <v>1132</v>
      </c>
      <c r="F627" s="321">
        <v>0.4</v>
      </c>
      <c r="G627" s="6" t="s">
        <v>26</v>
      </c>
    </row>
    <row r="628" spans="1:48" s="6" customFormat="1" ht="15" customHeight="1">
      <c r="A628" s="347"/>
      <c r="B628" s="95"/>
      <c r="C628" s="96"/>
      <c r="D628" s="369"/>
    </row>
    <row r="629" spans="1:48" s="6" customFormat="1" ht="15" customHeight="1">
      <c r="A629" s="347"/>
      <c r="B629" s="95"/>
      <c r="C629" s="96"/>
      <c r="D629" s="369"/>
      <c r="E629" s="6" t="s">
        <v>1133</v>
      </c>
      <c r="F629" s="321">
        <v>0.5</v>
      </c>
      <c r="G629" s="6" t="s">
        <v>26</v>
      </c>
    </row>
    <row r="630" spans="1:48" s="6" customFormat="1" ht="15" customHeight="1">
      <c r="A630" s="347"/>
      <c r="B630" s="95"/>
      <c r="C630" s="96"/>
      <c r="D630" s="369"/>
    </row>
    <row r="631" spans="1:48" s="6" customFormat="1" ht="15" customHeight="1">
      <c r="A631" s="347"/>
      <c r="B631" s="95"/>
      <c r="C631" s="96"/>
      <c r="D631" s="369"/>
      <c r="E631" s="6" t="s">
        <v>1134</v>
      </c>
      <c r="G631" s="6" t="s">
        <v>29</v>
      </c>
      <c r="J631" s="6">
        <f xml:space="preserve"> SUM(L631:AV631)</f>
        <v>619.2158206551984</v>
      </c>
      <c r="L631" s="6">
        <f t="shared" ref="L631:AV631" si="285" xml:space="preserve"> L619 * $F623 * $F626 * $F629</f>
        <v>0</v>
      </c>
      <c r="M631" s="6">
        <f t="shared" si="285"/>
        <v>0</v>
      </c>
      <c r="N631" s="6">
        <f t="shared" si="285"/>
        <v>0</v>
      </c>
      <c r="O631" s="6">
        <f t="shared" si="285"/>
        <v>0</v>
      </c>
      <c r="P631" s="6">
        <f t="shared" si="285"/>
        <v>0</v>
      </c>
      <c r="Q631" s="6">
        <f t="shared" si="285"/>
        <v>0</v>
      </c>
      <c r="R631" s="6">
        <f t="shared" si="285"/>
        <v>26.687500000000004</v>
      </c>
      <c r="S631" s="6">
        <f t="shared" si="285"/>
        <v>33.25</v>
      </c>
      <c r="T631" s="6">
        <f t="shared" si="285"/>
        <v>44.0625</v>
      </c>
      <c r="U631" s="6">
        <f t="shared" si="285"/>
        <v>45.268223204919927</v>
      </c>
      <c r="V631" s="6">
        <f t="shared" si="285"/>
        <v>47.535254135622651</v>
      </c>
      <c r="W631" s="6">
        <f t="shared" si="285"/>
        <v>49.09090667785506</v>
      </c>
      <c r="X631" s="6">
        <f t="shared" si="285"/>
        <v>50.057633735958397</v>
      </c>
      <c r="Y631" s="6">
        <f t="shared" si="285"/>
        <v>51.054614829166105</v>
      </c>
      <c r="Z631" s="6">
        <f t="shared" si="285"/>
        <v>52.364789182271316</v>
      </c>
      <c r="AA631" s="6">
        <f t="shared" si="285"/>
        <v>53.201278352521477</v>
      </c>
      <c r="AB631" s="6">
        <f t="shared" si="285"/>
        <v>54.163917516027311</v>
      </c>
      <c r="AC631" s="6">
        <f t="shared" si="285"/>
        <v>56.076603519558311</v>
      </c>
      <c r="AD631" s="6">
        <f t="shared" si="285"/>
        <v>56.402599501297864</v>
      </c>
      <c r="AE631" s="6">
        <f t="shared" si="285"/>
        <v>0</v>
      </c>
      <c r="AF631" s="6">
        <f t="shared" si="285"/>
        <v>0</v>
      </c>
      <c r="AG631" s="6">
        <f t="shared" si="285"/>
        <v>0</v>
      </c>
      <c r="AH631" s="6">
        <f t="shared" si="285"/>
        <v>0</v>
      </c>
      <c r="AI631" s="6">
        <f t="shared" si="285"/>
        <v>0</v>
      </c>
      <c r="AJ631" s="6">
        <f t="shared" si="285"/>
        <v>0</v>
      </c>
      <c r="AK631" s="6">
        <f t="shared" si="285"/>
        <v>0</v>
      </c>
      <c r="AL631" s="6">
        <f t="shared" si="285"/>
        <v>0</v>
      </c>
      <c r="AM631" s="6">
        <f t="shared" si="285"/>
        <v>0</v>
      </c>
      <c r="AN631" s="6">
        <f t="shared" si="285"/>
        <v>0</v>
      </c>
      <c r="AO631" s="6">
        <f t="shared" si="285"/>
        <v>0</v>
      </c>
      <c r="AP631" s="6">
        <f t="shared" si="285"/>
        <v>0</v>
      </c>
      <c r="AQ631" s="6">
        <f t="shared" si="285"/>
        <v>0</v>
      </c>
      <c r="AR631" s="6">
        <f t="shared" si="285"/>
        <v>0</v>
      </c>
      <c r="AS631" s="6">
        <f t="shared" si="285"/>
        <v>0</v>
      </c>
      <c r="AT631" s="6">
        <f t="shared" si="285"/>
        <v>0</v>
      </c>
      <c r="AU631" s="6">
        <f t="shared" si="285"/>
        <v>0</v>
      </c>
      <c r="AV631" s="6">
        <f t="shared" si="285"/>
        <v>0</v>
      </c>
    </row>
    <row r="632" spans="1:48" s="6" customFormat="1" ht="15" customHeight="1">
      <c r="A632" s="347"/>
      <c r="B632" s="95"/>
      <c r="C632" s="96"/>
      <c r="D632" s="369"/>
      <c r="E632" s="6" t="s">
        <v>1135</v>
      </c>
      <c r="G632" s="6" t="s">
        <v>29</v>
      </c>
      <c r="J632" s="6">
        <f xml:space="preserve"> SUM(L632:AV632)</f>
        <v>210.27957576242795</v>
      </c>
      <c r="L632" s="6">
        <f t="shared" ref="L632:AV632" si="286" xml:space="preserve"> L620 * $F624 * $F627 * $F629</f>
        <v>0</v>
      </c>
      <c r="M632" s="6">
        <f t="shared" si="286"/>
        <v>0</v>
      </c>
      <c r="N632" s="6">
        <f t="shared" si="286"/>
        <v>0</v>
      </c>
      <c r="O632" s="6">
        <f t="shared" si="286"/>
        <v>0</v>
      </c>
      <c r="P632" s="6">
        <f t="shared" si="286"/>
        <v>141.42799999999997</v>
      </c>
      <c r="Q632" s="6">
        <f t="shared" si="286"/>
        <v>24.584</v>
      </c>
      <c r="R632" s="6">
        <f t="shared" si="286"/>
        <v>8.3493116685507314</v>
      </c>
      <c r="S632" s="6">
        <f t="shared" si="286"/>
        <v>2.7599937102244065</v>
      </c>
      <c r="T632" s="6">
        <f t="shared" si="286"/>
        <v>3.1087822165200483</v>
      </c>
      <c r="U632" s="6">
        <f t="shared" si="286"/>
        <v>1.0178531681615315</v>
      </c>
      <c r="V632" s="6">
        <f t="shared" si="286"/>
        <v>4.5866980790368199</v>
      </c>
      <c r="W632" s="6">
        <f t="shared" si="286"/>
        <v>2.0699489542465765</v>
      </c>
      <c r="X632" s="6">
        <f t="shared" si="286"/>
        <v>5.2208779869588868</v>
      </c>
      <c r="Y632" s="6">
        <f t="shared" si="286"/>
        <v>1.5548915756904869</v>
      </c>
      <c r="Z632" s="6">
        <f t="shared" si="286"/>
        <v>3.4604582539614244</v>
      </c>
      <c r="AA632" s="6">
        <f t="shared" si="286"/>
        <v>1.4876225430564087</v>
      </c>
      <c r="AB632" s="6">
        <f t="shared" si="286"/>
        <v>6.6721064880912797</v>
      </c>
      <c r="AC632" s="6">
        <f t="shared" si="286"/>
        <v>1.2886245903627187</v>
      </c>
      <c r="AD632" s="6">
        <f t="shared" si="286"/>
        <v>2.6904065275666635</v>
      </c>
      <c r="AE632" s="6">
        <f t="shared" si="286"/>
        <v>0</v>
      </c>
      <c r="AF632" s="6">
        <f t="shared" si="286"/>
        <v>0</v>
      </c>
      <c r="AG632" s="6">
        <f t="shared" si="286"/>
        <v>0</v>
      </c>
      <c r="AH632" s="6">
        <f t="shared" si="286"/>
        <v>0</v>
      </c>
      <c r="AI632" s="6">
        <f t="shared" si="286"/>
        <v>0</v>
      </c>
      <c r="AJ632" s="6">
        <f t="shared" si="286"/>
        <v>0</v>
      </c>
      <c r="AK632" s="6">
        <f t="shared" si="286"/>
        <v>0</v>
      </c>
      <c r="AL632" s="6">
        <f t="shared" si="286"/>
        <v>0</v>
      </c>
      <c r="AM632" s="6">
        <f t="shared" si="286"/>
        <v>0</v>
      </c>
      <c r="AN632" s="6">
        <f t="shared" si="286"/>
        <v>0</v>
      </c>
      <c r="AO632" s="6">
        <f t="shared" si="286"/>
        <v>0</v>
      </c>
      <c r="AP632" s="6">
        <f t="shared" si="286"/>
        <v>0</v>
      </c>
      <c r="AQ632" s="6">
        <f t="shared" si="286"/>
        <v>0</v>
      </c>
      <c r="AR632" s="6">
        <f t="shared" si="286"/>
        <v>0</v>
      </c>
      <c r="AS632" s="6">
        <f t="shared" si="286"/>
        <v>0</v>
      </c>
      <c r="AT632" s="6">
        <f t="shared" si="286"/>
        <v>0</v>
      </c>
      <c r="AU632" s="6">
        <f t="shared" si="286"/>
        <v>0</v>
      </c>
      <c r="AV632" s="6">
        <f t="shared" si="286"/>
        <v>0</v>
      </c>
    </row>
    <row r="633" spans="1:48" s="6" customFormat="1" ht="15" customHeight="1">
      <c r="A633" s="347"/>
      <c r="B633" s="95"/>
      <c r="C633" s="96"/>
      <c r="D633" s="369"/>
      <c r="E633" s="6" t="s">
        <v>1136</v>
      </c>
      <c r="G633" s="6" t="s">
        <v>29</v>
      </c>
      <c r="J633" s="6">
        <f xml:space="preserve"> SUM(L633:AV633)</f>
        <v>829.49539641762658</v>
      </c>
      <c r="L633" s="6">
        <f t="shared" ref="L633:AV633" si="287">SUM(L631:L632)</f>
        <v>0</v>
      </c>
      <c r="M633" s="6">
        <f t="shared" si="287"/>
        <v>0</v>
      </c>
      <c r="N633" s="6">
        <f t="shared" si="287"/>
        <v>0</v>
      </c>
      <c r="O633" s="6">
        <f t="shared" si="287"/>
        <v>0</v>
      </c>
      <c r="P633" s="6">
        <f t="shared" si="287"/>
        <v>141.42799999999997</v>
      </c>
      <c r="Q633" s="6">
        <f t="shared" si="287"/>
        <v>24.584</v>
      </c>
      <c r="R633" s="6">
        <f t="shared" si="287"/>
        <v>35.036811668550733</v>
      </c>
      <c r="S633" s="6">
        <f t="shared" si="287"/>
        <v>36.009993710224407</v>
      </c>
      <c r="T633" s="6">
        <f t="shared" si="287"/>
        <v>47.171282216520048</v>
      </c>
      <c r="U633" s="6">
        <f t="shared" si="287"/>
        <v>46.286076373081457</v>
      </c>
      <c r="V633" s="6">
        <f t="shared" si="287"/>
        <v>52.121952214659473</v>
      </c>
      <c r="W633" s="6">
        <f t="shared" si="287"/>
        <v>51.160855632101637</v>
      </c>
      <c r="X633" s="6">
        <f t="shared" si="287"/>
        <v>55.278511722917287</v>
      </c>
      <c r="Y633" s="6">
        <f t="shared" si="287"/>
        <v>52.609506404856589</v>
      </c>
      <c r="Z633" s="6">
        <f t="shared" si="287"/>
        <v>55.825247436232743</v>
      </c>
      <c r="AA633" s="6">
        <f t="shared" si="287"/>
        <v>54.688900895577888</v>
      </c>
      <c r="AB633" s="6">
        <f t="shared" si="287"/>
        <v>60.836024004118592</v>
      </c>
      <c r="AC633" s="6">
        <f t="shared" si="287"/>
        <v>57.365228109921027</v>
      </c>
      <c r="AD633" s="6">
        <f t="shared" si="287"/>
        <v>59.093006028864529</v>
      </c>
      <c r="AE633" s="6">
        <f t="shared" si="287"/>
        <v>0</v>
      </c>
      <c r="AF633" s="6">
        <f t="shared" si="287"/>
        <v>0</v>
      </c>
      <c r="AG633" s="6">
        <f t="shared" si="287"/>
        <v>0</v>
      </c>
      <c r="AH633" s="6">
        <f t="shared" si="287"/>
        <v>0</v>
      </c>
      <c r="AI633" s="6">
        <f t="shared" si="287"/>
        <v>0</v>
      </c>
      <c r="AJ633" s="6">
        <f t="shared" si="287"/>
        <v>0</v>
      </c>
      <c r="AK633" s="6">
        <f t="shared" si="287"/>
        <v>0</v>
      </c>
      <c r="AL633" s="6">
        <f t="shared" si="287"/>
        <v>0</v>
      </c>
      <c r="AM633" s="6">
        <f t="shared" si="287"/>
        <v>0</v>
      </c>
      <c r="AN633" s="6">
        <f t="shared" si="287"/>
        <v>0</v>
      </c>
      <c r="AO633" s="6">
        <f t="shared" si="287"/>
        <v>0</v>
      </c>
      <c r="AP633" s="6">
        <f t="shared" si="287"/>
        <v>0</v>
      </c>
      <c r="AQ633" s="6">
        <f t="shared" si="287"/>
        <v>0</v>
      </c>
      <c r="AR633" s="6">
        <f t="shared" si="287"/>
        <v>0</v>
      </c>
      <c r="AS633" s="6">
        <f t="shared" si="287"/>
        <v>0</v>
      </c>
      <c r="AT633" s="6">
        <f t="shared" si="287"/>
        <v>0</v>
      </c>
      <c r="AU633" s="6">
        <f t="shared" si="287"/>
        <v>0</v>
      </c>
      <c r="AV633" s="6">
        <f t="shared" si="287"/>
        <v>0</v>
      </c>
    </row>
    <row r="634" spans="1:48" s="6" customFormat="1" ht="15" customHeight="1">
      <c r="A634" s="347"/>
      <c r="B634" s="95"/>
      <c r="C634" s="96"/>
      <c r="D634" s="369"/>
    </row>
    <row r="635" spans="1:48" s="6" customFormat="1" ht="15" customHeight="1">
      <c r="A635" s="347"/>
      <c r="B635" s="95"/>
      <c r="C635" s="96"/>
      <c r="D635" s="369"/>
      <c r="E635" s="186" t="str">
        <f xml:space="preserve"> InputsCon!E$133</f>
        <v>WHT rate non-resident services</v>
      </c>
      <c r="F635" s="186">
        <f xml:space="preserve"> InputsCon!F$133</f>
        <v>0.14000000000000001</v>
      </c>
      <c r="G635" s="186" t="str">
        <f xml:space="preserve"> InputsCon!G$133</f>
        <v>%</v>
      </c>
    </row>
    <row r="636" spans="1:48" s="6" customFormat="1" ht="15" customHeight="1">
      <c r="A636" s="347"/>
      <c r="B636" s="95"/>
      <c r="C636" s="96"/>
      <c r="D636" s="369"/>
    </row>
    <row r="637" spans="1:48" s="6" customFormat="1" ht="15" customHeight="1">
      <c r="A637" s="347"/>
      <c r="B637" s="95"/>
      <c r="C637" s="96"/>
      <c r="D637" s="369"/>
      <c r="E637" s="6" t="s">
        <v>1138</v>
      </c>
      <c r="G637" s="6" t="s">
        <v>29</v>
      </c>
      <c r="J637" s="6">
        <f xml:space="preserve"> SUM(L637:AV637)</f>
        <v>86.690214891727791</v>
      </c>
      <c r="L637" s="6">
        <f t="shared" ref="L637:AV637" si="288" xml:space="preserve"> L631 * $F635</f>
        <v>0</v>
      </c>
      <c r="M637" s="6">
        <f t="shared" si="288"/>
        <v>0</v>
      </c>
      <c r="N637" s="6">
        <f t="shared" si="288"/>
        <v>0</v>
      </c>
      <c r="O637" s="6">
        <f t="shared" si="288"/>
        <v>0</v>
      </c>
      <c r="P637" s="6">
        <f t="shared" si="288"/>
        <v>0</v>
      </c>
      <c r="Q637" s="6">
        <f t="shared" si="288"/>
        <v>0</v>
      </c>
      <c r="R637" s="6">
        <f t="shared" si="288"/>
        <v>3.736250000000001</v>
      </c>
      <c r="S637" s="6">
        <f t="shared" si="288"/>
        <v>4.6550000000000002</v>
      </c>
      <c r="T637" s="6">
        <f t="shared" si="288"/>
        <v>6.1687500000000002</v>
      </c>
      <c r="U637" s="6">
        <f t="shared" si="288"/>
        <v>6.3375512486887908</v>
      </c>
      <c r="V637" s="6">
        <f t="shared" si="288"/>
        <v>6.654935578987172</v>
      </c>
      <c r="W637" s="6">
        <f t="shared" si="288"/>
        <v>6.8727269348997089</v>
      </c>
      <c r="X637" s="6">
        <f t="shared" si="288"/>
        <v>7.0080687230341763</v>
      </c>
      <c r="Y637" s="6">
        <f t="shared" si="288"/>
        <v>7.1476460760832552</v>
      </c>
      <c r="Z637" s="6">
        <f t="shared" si="288"/>
        <v>7.3310704855179853</v>
      </c>
      <c r="AA637" s="6">
        <f t="shared" si="288"/>
        <v>7.4481789693530072</v>
      </c>
      <c r="AB637" s="6">
        <f t="shared" si="288"/>
        <v>7.5829484522438246</v>
      </c>
      <c r="AC637" s="6">
        <f t="shared" si="288"/>
        <v>7.8507244927381645</v>
      </c>
      <c r="AD637" s="6">
        <f t="shared" si="288"/>
        <v>7.8963639301817015</v>
      </c>
      <c r="AE637" s="6">
        <f t="shared" si="288"/>
        <v>0</v>
      </c>
      <c r="AF637" s="6">
        <f t="shared" si="288"/>
        <v>0</v>
      </c>
      <c r="AG637" s="6">
        <f t="shared" si="288"/>
        <v>0</v>
      </c>
      <c r="AH637" s="6">
        <f t="shared" si="288"/>
        <v>0</v>
      </c>
      <c r="AI637" s="6">
        <f t="shared" si="288"/>
        <v>0</v>
      </c>
      <c r="AJ637" s="6">
        <f t="shared" si="288"/>
        <v>0</v>
      </c>
      <c r="AK637" s="6">
        <f t="shared" si="288"/>
        <v>0</v>
      </c>
      <c r="AL637" s="6">
        <f t="shared" si="288"/>
        <v>0</v>
      </c>
      <c r="AM637" s="6">
        <f t="shared" si="288"/>
        <v>0</v>
      </c>
      <c r="AN637" s="6">
        <f t="shared" si="288"/>
        <v>0</v>
      </c>
      <c r="AO637" s="6">
        <f t="shared" si="288"/>
        <v>0</v>
      </c>
      <c r="AP637" s="6">
        <f t="shared" si="288"/>
        <v>0</v>
      </c>
      <c r="AQ637" s="6">
        <f t="shared" si="288"/>
        <v>0</v>
      </c>
      <c r="AR637" s="6">
        <f t="shared" si="288"/>
        <v>0</v>
      </c>
      <c r="AS637" s="6">
        <f t="shared" si="288"/>
        <v>0</v>
      </c>
      <c r="AT637" s="6">
        <f t="shared" si="288"/>
        <v>0</v>
      </c>
      <c r="AU637" s="6">
        <f t="shared" si="288"/>
        <v>0</v>
      </c>
      <c r="AV637" s="6">
        <f t="shared" si="288"/>
        <v>0</v>
      </c>
    </row>
    <row r="638" spans="1:48" s="6" customFormat="1" ht="15" customHeight="1">
      <c r="A638" s="347"/>
      <c r="B638" s="95"/>
      <c r="C638" s="96"/>
      <c r="D638" s="369"/>
      <c r="E638" s="6" t="s">
        <v>1139</v>
      </c>
      <c r="G638" s="6" t="s">
        <v>29</v>
      </c>
      <c r="J638" s="6">
        <f xml:space="preserve"> SUM(L638:AV638)</f>
        <v>29.439140606739915</v>
      </c>
      <c r="L638" s="6">
        <f t="shared" ref="L638:AV638" si="289" xml:space="preserve"> L632 * $F635</f>
        <v>0</v>
      </c>
      <c r="M638" s="6">
        <f t="shared" si="289"/>
        <v>0</v>
      </c>
      <c r="N638" s="6">
        <f t="shared" si="289"/>
        <v>0</v>
      </c>
      <c r="O638" s="6">
        <f t="shared" si="289"/>
        <v>0</v>
      </c>
      <c r="P638" s="6">
        <f t="shared" si="289"/>
        <v>19.799919999999997</v>
      </c>
      <c r="Q638" s="6">
        <f t="shared" si="289"/>
        <v>3.4417600000000004</v>
      </c>
      <c r="R638" s="6">
        <f t="shared" si="289"/>
        <v>1.1689036335971026</v>
      </c>
      <c r="S638" s="6">
        <f t="shared" si="289"/>
        <v>0.38639911943141697</v>
      </c>
      <c r="T638" s="6">
        <f t="shared" si="289"/>
        <v>0.43522951031280682</v>
      </c>
      <c r="U638" s="6">
        <f t="shared" si="289"/>
        <v>0.14249944354261443</v>
      </c>
      <c r="V638" s="6">
        <f t="shared" si="289"/>
        <v>0.64213773106515482</v>
      </c>
      <c r="W638" s="6">
        <f t="shared" si="289"/>
        <v>0.28979285359452073</v>
      </c>
      <c r="X638" s="6">
        <f t="shared" si="289"/>
        <v>0.73092291817424426</v>
      </c>
      <c r="Y638" s="6">
        <f t="shared" si="289"/>
        <v>0.21768482059666819</v>
      </c>
      <c r="Z638" s="6">
        <f t="shared" si="289"/>
        <v>0.48446415555459948</v>
      </c>
      <c r="AA638" s="6">
        <f t="shared" si="289"/>
        <v>0.20826715602789725</v>
      </c>
      <c r="AB638" s="6">
        <f t="shared" si="289"/>
        <v>0.93409490833277919</v>
      </c>
      <c r="AC638" s="6">
        <f t="shared" si="289"/>
        <v>0.18040744265078063</v>
      </c>
      <c r="AD638" s="6">
        <f t="shared" si="289"/>
        <v>0.37665691385933292</v>
      </c>
      <c r="AE638" s="6">
        <f t="shared" si="289"/>
        <v>0</v>
      </c>
      <c r="AF638" s="6">
        <f t="shared" si="289"/>
        <v>0</v>
      </c>
      <c r="AG638" s="6">
        <f t="shared" si="289"/>
        <v>0</v>
      </c>
      <c r="AH638" s="6">
        <f t="shared" si="289"/>
        <v>0</v>
      </c>
      <c r="AI638" s="6">
        <f t="shared" si="289"/>
        <v>0</v>
      </c>
      <c r="AJ638" s="6">
        <f t="shared" si="289"/>
        <v>0</v>
      </c>
      <c r="AK638" s="6">
        <f t="shared" si="289"/>
        <v>0</v>
      </c>
      <c r="AL638" s="6">
        <f t="shared" si="289"/>
        <v>0</v>
      </c>
      <c r="AM638" s="6">
        <f t="shared" si="289"/>
        <v>0</v>
      </c>
      <c r="AN638" s="6">
        <f t="shared" si="289"/>
        <v>0</v>
      </c>
      <c r="AO638" s="6">
        <f t="shared" si="289"/>
        <v>0</v>
      </c>
      <c r="AP638" s="6">
        <f t="shared" si="289"/>
        <v>0</v>
      </c>
      <c r="AQ638" s="6">
        <f t="shared" si="289"/>
        <v>0</v>
      </c>
      <c r="AR638" s="6">
        <f t="shared" si="289"/>
        <v>0</v>
      </c>
      <c r="AS638" s="6">
        <f t="shared" si="289"/>
        <v>0</v>
      </c>
      <c r="AT638" s="6">
        <f t="shared" si="289"/>
        <v>0</v>
      </c>
      <c r="AU638" s="6">
        <f t="shared" si="289"/>
        <v>0</v>
      </c>
      <c r="AV638" s="6">
        <f t="shared" si="289"/>
        <v>0</v>
      </c>
    </row>
    <row r="639" spans="1:48" s="6" customFormat="1" ht="15" customHeight="1">
      <c r="A639" s="347"/>
      <c r="B639" s="95"/>
      <c r="C639" s="96"/>
      <c r="D639" s="369"/>
      <c r="E639" s="310" t="s">
        <v>1141</v>
      </c>
      <c r="F639" s="310"/>
      <c r="G639" s="310" t="s">
        <v>29</v>
      </c>
      <c r="H639" s="310"/>
      <c r="I639" s="310"/>
      <c r="J639" s="310">
        <f xml:space="preserve"> SUM(L639:AV639)</f>
        <v>116.1293554984677</v>
      </c>
      <c r="K639" s="310"/>
      <c r="L639" s="310">
        <f t="shared" ref="L639:AV639" si="290">SUM(L637:L638)</f>
        <v>0</v>
      </c>
      <c r="M639" s="310">
        <f t="shared" si="290"/>
        <v>0</v>
      </c>
      <c r="N639" s="310">
        <f t="shared" si="290"/>
        <v>0</v>
      </c>
      <c r="O639" s="310">
        <f t="shared" si="290"/>
        <v>0</v>
      </c>
      <c r="P639" s="310">
        <f t="shared" si="290"/>
        <v>19.799919999999997</v>
      </c>
      <c r="Q639" s="310">
        <f t="shared" si="290"/>
        <v>3.4417600000000004</v>
      </c>
      <c r="R639" s="310">
        <f t="shared" si="290"/>
        <v>4.905153633597104</v>
      </c>
      <c r="S639" s="310">
        <f t="shared" si="290"/>
        <v>5.0413991194314169</v>
      </c>
      <c r="T639" s="310">
        <f t="shared" si="290"/>
        <v>6.6039795103128069</v>
      </c>
      <c r="U639" s="310">
        <f t="shared" si="290"/>
        <v>6.480050692231405</v>
      </c>
      <c r="V639" s="310">
        <f t="shared" si="290"/>
        <v>7.2970733100523271</v>
      </c>
      <c r="W639" s="310">
        <f t="shared" si="290"/>
        <v>7.1625197884942295</v>
      </c>
      <c r="X639" s="310">
        <f t="shared" si="290"/>
        <v>7.7389916412084201</v>
      </c>
      <c r="Y639" s="310">
        <f t="shared" si="290"/>
        <v>7.3653308966799234</v>
      </c>
      <c r="Z639" s="310">
        <f t="shared" si="290"/>
        <v>7.8155346410725848</v>
      </c>
      <c r="AA639" s="310">
        <f t="shared" si="290"/>
        <v>7.6564461253809046</v>
      </c>
      <c r="AB639" s="310">
        <f t="shared" si="290"/>
        <v>8.5170433605766043</v>
      </c>
      <c r="AC639" s="310">
        <f t="shared" si="290"/>
        <v>8.0311319353889452</v>
      </c>
      <c r="AD639" s="310">
        <f t="shared" si="290"/>
        <v>8.2730208440410351</v>
      </c>
      <c r="AE639" s="310">
        <f t="shared" si="290"/>
        <v>0</v>
      </c>
      <c r="AF639" s="310">
        <f t="shared" si="290"/>
        <v>0</v>
      </c>
      <c r="AG639" s="310">
        <f t="shared" si="290"/>
        <v>0</v>
      </c>
      <c r="AH639" s="310">
        <f t="shared" si="290"/>
        <v>0</v>
      </c>
      <c r="AI639" s="310">
        <f t="shared" si="290"/>
        <v>0</v>
      </c>
      <c r="AJ639" s="310">
        <f t="shared" si="290"/>
        <v>0</v>
      </c>
      <c r="AK639" s="310">
        <f t="shared" si="290"/>
        <v>0</v>
      </c>
      <c r="AL639" s="310">
        <f t="shared" si="290"/>
        <v>0</v>
      </c>
      <c r="AM639" s="310">
        <f t="shared" si="290"/>
        <v>0</v>
      </c>
      <c r="AN639" s="310">
        <f t="shared" si="290"/>
        <v>0</v>
      </c>
      <c r="AO639" s="310">
        <f t="shared" si="290"/>
        <v>0</v>
      </c>
      <c r="AP639" s="310">
        <f t="shared" si="290"/>
        <v>0</v>
      </c>
      <c r="AQ639" s="310">
        <f t="shared" si="290"/>
        <v>0</v>
      </c>
      <c r="AR639" s="310">
        <f t="shared" si="290"/>
        <v>0</v>
      </c>
      <c r="AS639" s="310">
        <f t="shared" si="290"/>
        <v>0</v>
      </c>
      <c r="AT639" s="310">
        <f t="shared" si="290"/>
        <v>0</v>
      </c>
      <c r="AU639" s="310">
        <f t="shared" si="290"/>
        <v>0</v>
      </c>
      <c r="AV639" s="310">
        <f t="shared" si="290"/>
        <v>0</v>
      </c>
    </row>
    <row r="640" spans="1:48" s="6" customFormat="1" ht="15" customHeight="1">
      <c r="A640" s="347"/>
      <c r="B640" s="95"/>
      <c r="C640" s="96"/>
      <c r="D640" s="369"/>
    </row>
    <row r="641" spans="1:48" s="160" customFormat="1" ht="15" customHeight="1">
      <c r="A641" s="164" t="s">
        <v>904</v>
      </c>
      <c r="B641" s="162"/>
      <c r="C641" s="315"/>
      <c r="D641" s="386"/>
      <c r="E641" s="162"/>
      <c r="F641" s="162"/>
      <c r="G641" s="162"/>
      <c r="H641" s="162"/>
    </row>
    <row r="642" spans="1:48" s="6" customFormat="1" ht="15" customHeight="1">
      <c r="A642" s="347"/>
      <c r="B642" s="95"/>
      <c r="C642" s="96"/>
      <c r="D642" s="369"/>
    </row>
    <row r="643" spans="1:48" s="6" customFormat="1" ht="15" customHeight="1">
      <c r="A643" s="347"/>
      <c r="B643" s="95" t="s">
        <v>785</v>
      </c>
      <c r="C643" s="96"/>
      <c r="D643" s="369"/>
    </row>
    <row r="644" spans="1:48" s="98" customFormat="1" ht="15" customHeight="1">
      <c r="A644" s="385"/>
      <c r="B644" s="357"/>
      <c r="C644" s="366"/>
      <c r="D644" s="317"/>
      <c r="E644" s="98" t="str">
        <f t="shared" ref="E644:AV644" si="291" xml:space="preserve"> E$390</f>
        <v>Alternative Operating Cost Profile</v>
      </c>
      <c r="F644" s="98" t="str">
        <f t="shared" si="291"/>
        <v>Alt Opex</v>
      </c>
      <c r="G644" s="98" t="str">
        <f t="shared" si="291"/>
        <v>$ mn</v>
      </c>
      <c r="H644" s="98">
        <f t="shared" si="291"/>
        <v>0</v>
      </c>
      <c r="I644" s="98">
        <f t="shared" si="291"/>
        <v>0</v>
      </c>
      <c r="J644" s="98">
        <f t="shared" si="291"/>
        <v>9907.4531304831744</v>
      </c>
      <c r="K644" s="98">
        <f t="shared" si="291"/>
        <v>0</v>
      </c>
      <c r="L644" s="98">
        <f t="shared" si="291"/>
        <v>0</v>
      </c>
      <c r="M644" s="98">
        <f t="shared" si="291"/>
        <v>0</v>
      </c>
      <c r="N644" s="98">
        <f t="shared" si="291"/>
        <v>0</v>
      </c>
      <c r="O644" s="98">
        <f t="shared" si="291"/>
        <v>0</v>
      </c>
      <c r="P644" s="98">
        <f t="shared" si="291"/>
        <v>0</v>
      </c>
      <c r="Q644" s="98">
        <f t="shared" si="291"/>
        <v>0</v>
      </c>
      <c r="R644" s="98">
        <f t="shared" si="291"/>
        <v>427.00000000000006</v>
      </c>
      <c r="S644" s="98">
        <f t="shared" si="291"/>
        <v>532</v>
      </c>
      <c r="T644" s="98">
        <f t="shared" si="291"/>
        <v>705</v>
      </c>
      <c r="U644" s="98">
        <f t="shared" si="291"/>
        <v>724.29157127871883</v>
      </c>
      <c r="V644" s="98">
        <f t="shared" si="291"/>
        <v>760.56406616996242</v>
      </c>
      <c r="W644" s="98">
        <f t="shared" si="291"/>
        <v>785.45450684568095</v>
      </c>
      <c r="X644" s="98">
        <f t="shared" si="291"/>
        <v>800.92213977533436</v>
      </c>
      <c r="Y644" s="98">
        <f t="shared" si="291"/>
        <v>816.87383726665769</v>
      </c>
      <c r="Z644" s="98">
        <f t="shared" si="291"/>
        <v>837.83662691634106</v>
      </c>
      <c r="AA644" s="98">
        <f t="shared" si="291"/>
        <v>851.22045364034364</v>
      </c>
      <c r="AB644" s="98">
        <f t="shared" si="291"/>
        <v>866.62268025643698</v>
      </c>
      <c r="AC644" s="98">
        <f t="shared" si="291"/>
        <v>897.22565631293298</v>
      </c>
      <c r="AD644" s="98">
        <f t="shared" si="291"/>
        <v>902.44159202076582</v>
      </c>
      <c r="AE644" s="98">
        <f t="shared" si="291"/>
        <v>0</v>
      </c>
      <c r="AF644" s="98">
        <f t="shared" si="291"/>
        <v>0</v>
      </c>
      <c r="AG644" s="98">
        <f t="shared" si="291"/>
        <v>0</v>
      </c>
      <c r="AH644" s="98">
        <f t="shared" si="291"/>
        <v>0</v>
      </c>
      <c r="AI644" s="98">
        <f t="shared" si="291"/>
        <v>0</v>
      </c>
      <c r="AJ644" s="98">
        <f t="shared" si="291"/>
        <v>0</v>
      </c>
      <c r="AK644" s="98">
        <f t="shared" si="291"/>
        <v>0</v>
      </c>
      <c r="AL644" s="98">
        <f t="shared" si="291"/>
        <v>0</v>
      </c>
      <c r="AM644" s="98">
        <f t="shared" si="291"/>
        <v>0</v>
      </c>
      <c r="AN644" s="98">
        <f t="shared" si="291"/>
        <v>0</v>
      </c>
      <c r="AO644" s="98">
        <f t="shared" si="291"/>
        <v>0</v>
      </c>
      <c r="AP644" s="98">
        <f t="shared" si="291"/>
        <v>0</v>
      </c>
      <c r="AQ644" s="98">
        <f t="shared" si="291"/>
        <v>0</v>
      </c>
      <c r="AR644" s="98">
        <f t="shared" si="291"/>
        <v>0</v>
      </c>
      <c r="AS644" s="98">
        <f t="shared" si="291"/>
        <v>0</v>
      </c>
      <c r="AT644" s="98">
        <f t="shared" si="291"/>
        <v>0</v>
      </c>
      <c r="AU644" s="98">
        <f t="shared" si="291"/>
        <v>0</v>
      </c>
      <c r="AV644" s="98">
        <f t="shared" si="291"/>
        <v>0</v>
      </c>
    </row>
    <row r="645" spans="1:48" s="6" customFormat="1" ht="15" customHeight="1">
      <c r="A645" s="347"/>
      <c r="B645" s="95"/>
      <c r="C645" s="96"/>
      <c r="D645" s="369"/>
    </row>
    <row r="646" spans="1:48" s="81" customFormat="1" ht="15" customHeight="1">
      <c r="A646" s="411"/>
      <c r="B646" s="79"/>
      <c r="C646" s="80"/>
      <c r="D646" s="845"/>
      <c r="E646" s="186" t="str">
        <f xml:space="preserve"> InputsTS!E$359</f>
        <v>Payroll taxes: combined actual and forecast</v>
      </c>
      <c r="F646" s="186">
        <f xml:space="preserve"> InputsTS!F$359</f>
        <v>0</v>
      </c>
      <c r="G646" s="186" t="str">
        <f xml:space="preserve"> InputsTS!G$359</f>
        <v>% opex</v>
      </c>
      <c r="H646" s="186">
        <f xml:space="preserve"> InputsTS!H$359</f>
        <v>0</v>
      </c>
      <c r="I646" s="186">
        <f xml:space="preserve"> InputsTS!I$359</f>
        <v>0</v>
      </c>
      <c r="J646" s="186">
        <f xml:space="preserve"> InputsTS!J$359</f>
        <v>0</v>
      </c>
      <c r="K646" s="186">
        <f xml:space="preserve"> InputsTS!K$359</f>
        <v>0</v>
      </c>
      <c r="L646" s="186">
        <f xml:space="preserve"> InputsTS!L$359</f>
        <v>0</v>
      </c>
      <c r="M646" s="186">
        <f xml:space="preserve"> InputsTS!M$359</f>
        <v>0</v>
      </c>
      <c r="N646" s="186">
        <f xml:space="preserve"> InputsTS!N$359</f>
        <v>0</v>
      </c>
      <c r="O646" s="186">
        <f xml:space="preserve"> InputsTS!O$359</f>
        <v>0</v>
      </c>
      <c r="P646" s="186">
        <f xml:space="preserve"> InputsTS!P$359</f>
        <v>9.5662714126523885E-2</v>
      </c>
      <c r="Q646" s="186">
        <f xml:space="preserve"> InputsTS!Q$359</f>
        <v>1.2574183301582949E-2</v>
      </c>
      <c r="R646" s="186">
        <f xml:space="preserve"> InputsTS!R$359</f>
        <v>0.02</v>
      </c>
      <c r="S646" s="186">
        <f xml:space="preserve"> InputsTS!S$359</f>
        <v>0.02</v>
      </c>
      <c r="T646" s="186">
        <f xml:space="preserve"> InputsTS!T$359</f>
        <v>0.02</v>
      </c>
      <c r="U646" s="186">
        <f xml:space="preserve"> InputsTS!U$359</f>
        <v>0.02</v>
      </c>
      <c r="V646" s="186">
        <f xml:space="preserve"> InputsTS!V$359</f>
        <v>0.02</v>
      </c>
      <c r="W646" s="186">
        <f xml:space="preserve"> InputsTS!W$359</f>
        <v>0.02</v>
      </c>
      <c r="X646" s="186">
        <f xml:space="preserve"> InputsTS!X$359</f>
        <v>0.02</v>
      </c>
      <c r="Y646" s="186">
        <f xml:space="preserve"> InputsTS!Y$359</f>
        <v>0.02</v>
      </c>
      <c r="Z646" s="186">
        <f xml:space="preserve"> InputsTS!Z$359</f>
        <v>0.02</v>
      </c>
      <c r="AA646" s="186">
        <f xml:space="preserve"> InputsTS!AA$359</f>
        <v>0.02</v>
      </c>
      <c r="AB646" s="186">
        <f xml:space="preserve"> InputsTS!AB$359</f>
        <v>0.02</v>
      </c>
      <c r="AC646" s="186">
        <f xml:space="preserve"> InputsTS!AC$359</f>
        <v>0.02</v>
      </c>
      <c r="AD646" s="186">
        <f xml:space="preserve"> InputsTS!AD$359</f>
        <v>0.02</v>
      </c>
      <c r="AE646" s="186">
        <f xml:space="preserve"> InputsTS!AE$359</f>
        <v>0.02</v>
      </c>
      <c r="AF646" s="186">
        <f xml:space="preserve"> InputsTS!AF$359</f>
        <v>0.02</v>
      </c>
      <c r="AG646" s="186">
        <f xml:space="preserve"> InputsTS!AG$359</f>
        <v>0.02</v>
      </c>
      <c r="AH646" s="186">
        <f xml:space="preserve"> InputsTS!AH$359</f>
        <v>0.02</v>
      </c>
      <c r="AI646" s="186">
        <f xml:space="preserve"> InputsTS!AI$359</f>
        <v>0.02</v>
      </c>
      <c r="AJ646" s="186">
        <f xml:space="preserve"> InputsTS!AJ$359</f>
        <v>0.02</v>
      </c>
      <c r="AK646" s="186">
        <f xml:space="preserve"> InputsTS!AK$359</f>
        <v>0.02</v>
      </c>
      <c r="AL646" s="186">
        <f xml:space="preserve"> InputsTS!AL$359</f>
        <v>0.02</v>
      </c>
      <c r="AM646" s="186">
        <f xml:space="preserve"> InputsTS!AM$359</f>
        <v>0.02</v>
      </c>
      <c r="AN646" s="186">
        <f xml:space="preserve"> InputsTS!AN$359</f>
        <v>0.02</v>
      </c>
      <c r="AO646" s="186">
        <f xml:space="preserve"> InputsTS!AO$359</f>
        <v>0.02</v>
      </c>
      <c r="AP646" s="186">
        <f xml:space="preserve"> InputsTS!AP$359</f>
        <v>0.02</v>
      </c>
      <c r="AQ646" s="186">
        <f xml:space="preserve"> InputsTS!AQ$359</f>
        <v>0.02</v>
      </c>
      <c r="AR646" s="186">
        <f xml:space="preserve"> InputsTS!AR$359</f>
        <v>0.02</v>
      </c>
      <c r="AS646" s="186">
        <f xml:space="preserve"> InputsTS!AS$359</f>
        <v>0.02</v>
      </c>
      <c r="AT646" s="186">
        <f xml:space="preserve"> InputsTS!AT$359</f>
        <v>0.02</v>
      </c>
      <c r="AU646" s="186">
        <f xml:space="preserve"> InputsTS!AU$359</f>
        <v>0.02</v>
      </c>
      <c r="AV646" s="186">
        <f xml:space="preserve"> InputsTS!AV$359</f>
        <v>0.02</v>
      </c>
    </row>
    <row r="647" spans="1:48" s="6" customFormat="1" ht="15" customHeight="1">
      <c r="A647" s="347"/>
      <c r="B647" s="95"/>
      <c r="C647" s="96"/>
      <c r="D647" s="369"/>
    </row>
    <row r="648" spans="1:48" s="6" customFormat="1" ht="15" customHeight="1">
      <c r="A648" s="347"/>
      <c r="B648" s="95"/>
      <c r="C648" s="96"/>
      <c r="D648" s="369"/>
      <c r="E648" s="70" t="str">
        <f xml:space="preserve"> InputsCon!E$137</f>
        <v>Include Payroll taxes in forecast (1 = yes)</v>
      </c>
      <c r="F648" s="70">
        <f xml:space="preserve"> InputsCon!F$137</f>
        <v>1</v>
      </c>
      <c r="G648" s="70" t="str">
        <f xml:space="preserve"> InputsCon!G$137</f>
        <v>flag</v>
      </c>
    </row>
    <row r="649" spans="1:48" s="6" customFormat="1" ht="15" customHeight="1">
      <c r="A649" s="347"/>
      <c r="B649" s="95"/>
      <c r="C649" s="96"/>
      <c r="D649" s="369"/>
      <c r="E649" s="6" t="s">
        <v>905</v>
      </c>
      <c r="G649" s="6" t="s">
        <v>29</v>
      </c>
      <c r="J649" s="6">
        <f xml:space="preserve"> SUM(L649:AV649)</f>
        <v>198.14906260966347</v>
      </c>
      <c r="L649" s="6">
        <f t="shared" ref="L649:AV649" si="292">L644 * L646 * $F648</f>
        <v>0</v>
      </c>
      <c r="M649" s="6">
        <f t="shared" si="292"/>
        <v>0</v>
      </c>
      <c r="N649" s="6">
        <f t="shared" si="292"/>
        <v>0</v>
      </c>
      <c r="O649" s="6">
        <f t="shared" si="292"/>
        <v>0</v>
      </c>
      <c r="P649" s="6">
        <f t="shared" si="292"/>
        <v>0</v>
      </c>
      <c r="Q649" s="6">
        <f t="shared" si="292"/>
        <v>0</v>
      </c>
      <c r="R649" s="6">
        <f t="shared" si="292"/>
        <v>8.5400000000000009</v>
      </c>
      <c r="S649" s="6">
        <f t="shared" si="292"/>
        <v>10.64</v>
      </c>
      <c r="T649" s="6">
        <f t="shared" si="292"/>
        <v>14.1</v>
      </c>
      <c r="U649" s="6">
        <f t="shared" si="292"/>
        <v>14.485831425574377</v>
      </c>
      <c r="V649" s="6">
        <f t="shared" si="292"/>
        <v>15.211281323399248</v>
      </c>
      <c r="W649" s="6">
        <f t="shared" si="292"/>
        <v>15.70909013691362</v>
      </c>
      <c r="X649" s="6">
        <f t="shared" si="292"/>
        <v>16.018442795506687</v>
      </c>
      <c r="Y649" s="6">
        <f t="shared" si="292"/>
        <v>16.337476745333156</v>
      </c>
      <c r="Z649" s="6">
        <f t="shared" si="292"/>
        <v>16.756732538326823</v>
      </c>
      <c r="AA649" s="6">
        <f t="shared" si="292"/>
        <v>17.024409072806872</v>
      </c>
      <c r="AB649" s="6">
        <f t="shared" si="292"/>
        <v>17.332453605128741</v>
      </c>
      <c r="AC649" s="6">
        <f t="shared" si="292"/>
        <v>17.944513126258659</v>
      </c>
      <c r="AD649" s="6">
        <f t="shared" si="292"/>
        <v>18.048831840415318</v>
      </c>
      <c r="AE649" s="6">
        <f t="shared" si="292"/>
        <v>0</v>
      </c>
      <c r="AF649" s="6">
        <f t="shared" si="292"/>
        <v>0</v>
      </c>
      <c r="AG649" s="6">
        <f t="shared" si="292"/>
        <v>0</v>
      </c>
      <c r="AH649" s="6">
        <f t="shared" si="292"/>
        <v>0</v>
      </c>
      <c r="AI649" s="6">
        <f t="shared" si="292"/>
        <v>0</v>
      </c>
      <c r="AJ649" s="6">
        <f t="shared" si="292"/>
        <v>0</v>
      </c>
      <c r="AK649" s="6">
        <f t="shared" si="292"/>
        <v>0</v>
      </c>
      <c r="AL649" s="6">
        <f t="shared" si="292"/>
        <v>0</v>
      </c>
      <c r="AM649" s="6">
        <f t="shared" si="292"/>
        <v>0</v>
      </c>
      <c r="AN649" s="6">
        <f t="shared" si="292"/>
        <v>0</v>
      </c>
      <c r="AO649" s="6">
        <f t="shared" si="292"/>
        <v>0</v>
      </c>
      <c r="AP649" s="6">
        <f t="shared" si="292"/>
        <v>0</v>
      </c>
      <c r="AQ649" s="6">
        <f t="shared" si="292"/>
        <v>0</v>
      </c>
      <c r="AR649" s="6">
        <f t="shared" si="292"/>
        <v>0</v>
      </c>
      <c r="AS649" s="6">
        <f t="shared" si="292"/>
        <v>0</v>
      </c>
      <c r="AT649" s="6">
        <f t="shared" si="292"/>
        <v>0</v>
      </c>
      <c r="AU649" s="6">
        <f t="shared" si="292"/>
        <v>0</v>
      </c>
      <c r="AV649" s="6">
        <f t="shared" si="292"/>
        <v>0</v>
      </c>
    </row>
    <row r="650" spans="1:48" s="6" customFormat="1" ht="15" customHeight="1">
      <c r="A650" s="347"/>
      <c r="B650" s="95"/>
      <c r="C650" s="96"/>
      <c r="D650" s="369"/>
    </row>
    <row r="651" spans="1:48" s="160" customFormat="1" ht="15" customHeight="1">
      <c r="A651" s="164" t="s">
        <v>776</v>
      </c>
      <c r="B651" s="162"/>
      <c r="C651" s="315"/>
      <c r="D651" s="386"/>
      <c r="E651" s="162"/>
      <c r="F651" s="162"/>
      <c r="G651" s="162"/>
      <c r="H651" s="162"/>
    </row>
    <row r="652" spans="1:48" ht="15" customHeight="1">
      <c r="F652" s="320"/>
      <c r="G652" s="320"/>
      <c r="H652" s="320"/>
      <c r="I652" s="320"/>
      <c r="J652" s="320"/>
      <c r="L652" s="136" t="s">
        <v>777</v>
      </c>
      <c r="M652" s="320"/>
      <c r="N652" s="320"/>
      <c r="O652" s="320"/>
      <c r="P652" s="320"/>
      <c r="Q652" s="320"/>
      <c r="R652" s="320"/>
      <c r="S652" s="320"/>
      <c r="T652" s="320"/>
      <c r="U652" s="320"/>
      <c r="V652" s="320"/>
      <c r="W652" s="320"/>
      <c r="X652" s="320"/>
      <c r="Y652" s="320"/>
      <c r="Z652" s="320"/>
      <c r="AA652" s="320"/>
      <c r="AB652" s="320"/>
      <c r="AC652" s="320"/>
      <c r="AD652" s="320"/>
      <c r="AE652" s="320"/>
      <c r="AF652" s="320"/>
      <c r="AG652" s="320"/>
      <c r="AH652" s="320"/>
      <c r="AI652" s="320"/>
      <c r="AJ652" s="320"/>
      <c r="AK652" s="320"/>
      <c r="AL652" s="320"/>
      <c r="AM652" s="320"/>
      <c r="AN652" s="320"/>
      <c r="AO652" s="320"/>
      <c r="AP652" s="320"/>
      <c r="AQ652" s="320"/>
      <c r="AR652" s="320"/>
      <c r="AS652" s="320"/>
      <c r="AT652" s="320"/>
      <c r="AU652" s="320"/>
      <c r="AV652" s="320"/>
    </row>
    <row r="653" spans="1:48" s="6" customFormat="1" ht="15" customHeight="1">
      <c r="A653" s="347"/>
      <c r="B653" s="95"/>
      <c r="C653" s="96"/>
      <c r="D653" s="369"/>
      <c r="E653" s="98" t="str">
        <f xml:space="preserve"> E$649</f>
        <v>Payroll taxes (included in costs)</v>
      </c>
      <c r="F653" s="98">
        <f t="shared" ref="F653:AV653" si="293" xml:space="preserve"> F$649</f>
        <v>0</v>
      </c>
      <c r="G653" s="98" t="str">
        <f t="shared" si="293"/>
        <v>$ mn</v>
      </c>
      <c r="H653" s="98">
        <f t="shared" si="293"/>
        <v>0</v>
      </c>
      <c r="I653" s="98">
        <f t="shared" si="293"/>
        <v>0</v>
      </c>
      <c r="J653" s="98">
        <f t="shared" si="293"/>
        <v>198.14906260966347</v>
      </c>
      <c r="K653" s="98">
        <f t="shared" si="293"/>
        <v>0</v>
      </c>
      <c r="L653" s="98">
        <f t="shared" si="293"/>
        <v>0</v>
      </c>
      <c r="M653" s="98">
        <f t="shared" si="293"/>
        <v>0</v>
      </c>
      <c r="N653" s="98">
        <f t="shared" si="293"/>
        <v>0</v>
      </c>
      <c r="O653" s="98">
        <f t="shared" si="293"/>
        <v>0</v>
      </c>
      <c r="P653" s="98">
        <f t="shared" si="293"/>
        <v>0</v>
      </c>
      <c r="Q653" s="98">
        <f t="shared" si="293"/>
        <v>0</v>
      </c>
      <c r="R653" s="98">
        <f t="shared" si="293"/>
        <v>8.5400000000000009</v>
      </c>
      <c r="S653" s="98">
        <f t="shared" si="293"/>
        <v>10.64</v>
      </c>
      <c r="T653" s="98">
        <f t="shared" si="293"/>
        <v>14.1</v>
      </c>
      <c r="U653" s="98">
        <f t="shared" si="293"/>
        <v>14.485831425574377</v>
      </c>
      <c r="V653" s="98">
        <f t="shared" si="293"/>
        <v>15.211281323399248</v>
      </c>
      <c r="W653" s="98">
        <f t="shared" si="293"/>
        <v>15.70909013691362</v>
      </c>
      <c r="X653" s="98">
        <f t="shared" si="293"/>
        <v>16.018442795506687</v>
      </c>
      <c r="Y653" s="98">
        <f t="shared" si="293"/>
        <v>16.337476745333156</v>
      </c>
      <c r="Z653" s="98">
        <f t="shared" si="293"/>
        <v>16.756732538326823</v>
      </c>
      <c r="AA653" s="98">
        <f t="shared" si="293"/>
        <v>17.024409072806872</v>
      </c>
      <c r="AB653" s="98">
        <f t="shared" si="293"/>
        <v>17.332453605128741</v>
      </c>
      <c r="AC653" s="98">
        <f t="shared" si="293"/>
        <v>17.944513126258659</v>
      </c>
      <c r="AD653" s="98">
        <f t="shared" si="293"/>
        <v>18.048831840415318</v>
      </c>
      <c r="AE653" s="98">
        <f t="shared" si="293"/>
        <v>0</v>
      </c>
      <c r="AF653" s="98">
        <f t="shared" si="293"/>
        <v>0</v>
      </c>
      <c r="AG653" s="98">
        <f t="shared" si="293"/>
        <v>0</v>
      </c>
      <c r="AH653" s="98">
        <f t="shared" si="293"/>
        <v>0</v>
      </c>
      <c r="AI653" s="98">
        <f t="shared" si="293"/>
        <v>0</v>
      </c>
      <c r="AJ653" s="98">
        <f t="shared" si="293"/>
        <v>0</v>
      </c>
      <c r="AK653" s="98">
        <f t="shared" si="293"/>
        <v>0</v>
      </c>
      <c r="AL653" s="98">
        <f t="shared" si="293"/>
        <v>0</v>
      </c>
      <c r="AM653" s="98">
        <f t="shared" si="293"/>
        <v>0</v>
      </c>
      <c r="AN653" s="98">
        <f t="shared" si="293"/>
        <v>0</v>
      </c>
      <c r="AO653" s="98">
        <f t="shared" si="293"/>
        <v>0</v>
      </c>
      <c r="AP653" s="98">
        <f t="shared" si="293"/>
        <v>0</v>
      </c>
      <c r="AQ653" s="98">
        <f t="shared" si="293"/>
        <v>0</v>
      </c>
      <c r="AR653" s="98">
        <f t="shared" si="293"/>
        <v>0</v>
      </c>
      <c r="AS653" s="98">
        <f t="shared" si="293"/>
        <v>0</v>
      </c>
      <c r="AT653" s="98">
        <f t="shared" si="293"/>
        <v>0</v>
      </c>
      <c r="AU653" s="98">
        <f t="shared" si="293"/>
        <v>0</v>
      </c>
      <c r="AV653" s="98">
        <f t="shared" si="293"/>
        <v>0</v>
      </c>
    </row>
    <row r="654" spans="1:48" ht="15" customHeight="1">
      <c r="E654" s="98" t="str">
        <f xml:space="preserve"> E$614</f>
        <v>Import duties</v>
      </c>
      <c r="F654" s="98">
        <f t="shared" ref="F654:AV654" si="294" xml:space="preserve"> F$614</f>
        <v>0</v>
      </c>
      <c r="G654" s="98" t="str">
        <f t="shared" si="294"/>
        <v>$ mn</v>
      </c>
      <c r="H654" s="98">
        <f t="shared" si="294"/>
        <v>0</v>
      </c>
      <c r="I654" s="98">
        <f t="shared" si="294"/>
        <v>0</v>
      </c>
      <c r="J654" s="98">
        <f t="shared" si="294"/>
        <v>15.316407444483447</v>
      </c>
      <c r="K654" s="98">
        <f t="shared" si="294"/>
        <v>0</v>
      </c>
      <c r="L654" s="98">
        <f t="shared" si="294"/>
        <v>0</v>
      </c>
      <c r="M654" s="98">
        <f t="shared" si="294"/>
        <v>0</v>
      </c>
      <c r="N654" s="98">
        <f t="shared" si="294"/>
        <v>0</v>
      </c>
      <c r="O654" s="98">
        <f t="shared" si="294"/>
        <v>0</v>
      </c>
      <c r="P654" s="98">
        <f t="shared" si="294"/>
        <v>1.7756350777216481</v>
      </c>
      <c r="Q654" s="98">
        <f t="shared" si="294"/>
        <v>3.4820250524972924</v>
      </c>
      <c r="R654" s="98">
        <f t="shared" si="294"/>
        <v>0</v>
      </c>
      <c r="S654" s="98">
        <f t="shared" si="294"/>
        <v>0</v>
      </c>
      <c r="T654" s="98">
        <f t="shared" si="294"/>
        <v>10.058747314264506</v>
      </c>
      <c r="U654" s="98">
        <f t="shared" si="294"/>
        <v>0</v>
      </c>
      <c r="V654" s="98">
        <f t="shared" si="294"/>
        <v>0</v>
      </c>
      <c r="W654" s="98">
        <f t="shared" si="294"/>
        <v>0</v>
      </c>
      <c r="X654" s="98">
        <f t="shared" si="294"/>
        <v>0</v>
      </c>
      <c r="Y654" s="98">
        <f t="shared" si="294"/>
        <v>0</v>
      </c>
      <c r="Z654" s="98">
        <f t="shared" si="294"/>
        <v>0</v>
      </c>
      <c r="AA654" s="98">
        <f t="shared" si="294"/>
        <v>0</v>
      </c>
      <c r="AB654" s="98">
        <f t="shared" si="294"/>
        <v>0</v>
      </c>
      <c r="AC654" s="98">
        <f t="shared" si="294"/>
        <v>0</v>
      </c>
      <c r="AD654" s="98">
        <f t="shared" si="294"/>
        <v>0</v>
      </c>
      <c r="AE654" s="98">
        <f t="shared" si="294"/>
        <v>0</v>
      </c>
      <c r="AF654" s="98">
        <f t="shared" si="294"/>
        <v>0</v>
      </c>
      <c r="AG654" s="98">
        <f t="shared" si="294"/>
        <v>0</v>
      </c>
      <c r="AH654" s="98">
        <f t="shared" si="294"/>
        <v>0</v>
      </c>
      <c r="AI654" s="98">
        <f t="shared" si="294"/>
        <v>0</v>
      </c>
      <c r="AJ654" s="98">
        <f t="shared" si="294"/>
        <v>0</v>
      </c>
      <c r="AK654" s="98">
        <f t="shared" si="294"/>
        <v>0</v>
      </c>
      <c r="AL654" s="98">
        <f t="shared" si="294"/>
        <v>0</v>
      </c>
      <c r="AM654" s="98">
        <f t="shared" si="294"/>
        <v>0</v>
      </c>
      <c r="AN654" s="98">
        <f t="shared" si="294"/>
        <v>0</v>
      </c>
      <c r="AO654" s="98">
        <f t="shared" si="294"/>
        <v>0</v>
      </c>
      <c r="AP654" s="98">
        <f t="shared" si="294"/>
        <v>0</v>
      </c>
      <c r="AQ654" s="98">
        <f t="shared" si="294"/>
        <v>0</v>
      </c>
      <c r="AR654" s="98">
        <f t="shared" si="294"/>
        <v>0</v>
      </c>
      <c r="AS654" s="98">
        <f t="shared" si="294"/>
        <v>0</v>
      </c>
      <c r="AT654" s="98">
        <f t="shared" si="294"/>
        <v>0</v>
      </c>
      <c r="AU654" s="98">
        <f t="shared" si="294"/>
        <v>0</v>
      </c>
      <c r="AV654" s="98">
        <f t="shared" si="294"/>
        <v>0</v>
      </c>
    </row>
    <row r="655" spans="1:48" ht="15" customHeight="1">
      <c r="E655" s="98" t="str">
        <f t="shared" ref="E655:AV655" si="295" xml:space="preserve"> E$639</f>
        <v>WHT on non-resident services</v>
      </c>
      <c r="F655" s="98">
        <f t="shared" si="295"/>
        <v>0</v>
      </c>
      <c r="G655" s="98" t="str">
        <f t="shared" si="295"/>
        <v>$ mn</v>
      </c>
      <c r="H655" s="98">
        <f t="shared" si="295"/>
        <v>0</v>
      </c>
      <c r="I655" s="98">
        <f t="shared" si="295"/>
        <v>0</v>
      </c>
      <c r="J655" s="98">
        <f t="shared" si="295"/>
        <v>116.1293554984677</v>
      </c>
      <c r="K655" s="98">
        <f t="shared" si="295"/>
        <v>0</v>
      </c>
      <c r="L655" s="98">
        <f t="shared" si="295"/>
        <v>0</v>
      </c>
      <c r="M655" s="98">
        <f t="shared" si="295"/>
        <v>0</v>
      </c>
      <c r="N655" s="98">
        <f t="shared" si="295"/>
        <v>0</v>
      </c>
      <c r="O655" s="98">
        <f t="shared" si="295"/>
        <v>0</v>
      </c>
      <c r="P655" s="98">
        <f t="shared" si="295"/>
        <v>19.799919999999997</v>
      </c>
      <c r="Q655" s="98">
        <f t="shared" si="295"/>
        <v>3.4417600000000004</v>
      </c>
      <c r="R655" s="98">
        <f t="shared" si="295"/>
        <v>4.905153633597104</v>
      </c>
      <c r="S655" s="98">
        <f t="shared" si="295"/>
        <v>5.0413991194314169</v>
      </c>
      <c r="T655" s="98">
        <f t="shared" si="295"/>
        <v>6.6039795103128069</v>
      </c>
      <c r="U655" s="98">
        <f t="shared" si="295"/>
        <v>6.480050692231405</v>
      </c>
      <c r="V655" s="98">
        <f t="shared" si="295"/>
        <v>7.2970733100523271</v>
      </c>
      <c r="W655" s="98">
        <f t="shared" si="295"/>
        <v>7.1625197884942295</v>
      </c>
      <c r="X655" s="98">
        <f t="shared" si="295"/>
        <v>7.7389916412084201</v>
      </c>
      <c r="Y655" s="98">
        <f t="shared" si="295"/>
        <v>7.3653308966799234</v>
      </c>
      <c r="Z655" s="98">
        <f t="shared" si="295"/>
        <v>7.8155346410725848</v>
      </c>
      <c r="AA655" s="98">
        <f t="shared" si="295"/>
        <v>7.6564461253809046</v>
      </c>
      <c r="AB655" s="98">
        <f t="shared" si="295"/>
        <v>8.5170433605766043</v>
      </c>
      <c r="AC655" s="98">
        <f t="shared" si="295"/>
        <v>8.0311319353889452</v>
      </c>
      <c r="AD655" s="98">
        <f t="shared" si="295"/>
        <v>8.2730208440410351</v>
      </c>
      <c r="AE655" s="98">
        <f t="shared" si="295"/>
        <v>0</v>
      </c>
      <c r="AF655" s="98">
        <f t="shared" si="295"/>
        <v>0</v>
      </c>
      <c r="AG655" s="98">
        <f t="shared" si="295"/>
        <v>0</v>
      </c>
      <c r="AH655" s="98">
        <f t="shared" si="295"/>
        <v>0</v>
      </c>
      <c r="AI655" s="98">
        <f t="shared" si="295"/>
        <v>0</v>
      </c>
      <c r="AJ655" s="98">
        <f t="shared" si="295"/>
        <v>0</v>
      </c>
      <c r="AK655" s="98">
        <f t="shared" si="295"/>
        <v>0</v>
      </c>
      <c r="AL655" s="98">
        <f t="shared" si="295"/>
        <v>0</v>
      </c>
      <c r="AM655" s="98">
        <f t="shared" si="295"/>
        <v>0</v>
      </c>
      <c r="AN655" s="98">
        <f t="shared" si="295"/>
        <v>0</v>
      </c>
      <c r="AO655" s="98">
        <f t="shared" si="295"/>
        <v>0</v>
      </c>
      <c r="AP655" s="98">
        <f t="shared" si="295"/>
        <v>0</v>
      </c>
      <c r="AQ655" s="98">
        <f t="shared" si="295"/>
        <v>0</v>
      </c>
      <c r="AR655" s="98">
        <f t="shared" si="295"/>
        <v>0</v>
      </c>
      <c r="AS655" s="98">
        <f t="shared" si="295"/>
        <v>0</v>
      </c>
      <c r="AT655" s="98">
        <f t="shared" si="295"/>
        <v>0</v>
      </c>
      <c r="AU655" s="98">
        <f t="shared" si="295"/>
        <v>0</v>
      </c>
      <c r="AV655" s="98">
        <f t="shared" si="295"/>
        <v>0</v>
      </c>
    </row>
    <row r="656" spans="1:48" s="310" customFormat="1" ht="15" customHeight="1">
      <c r="A656" s="346"/>
      <c r="B656" s="220"/>
      <c r="C656" s="309"/>
      <c r="D656" s="844"/>
      <c r="E656" s="310" t="s">
        <v>921</v>
      </c>
      <c r="G656" s="310" t="s">
        <v>29</v>
      </c>
      <c r="J656" s="310">
        <f xml:space="preserve"> SUM(L656:AV656)</f>
        <v>329.59482555261462</v>
      </c>
      <c r="L656" s="310">
        <f t="shared" ref="L656:AV656" si="296">SUM(L653:L655)</f>
        <v>0</v>
      </c>
      <c r="M656" s="310">
        <f t="shared" si="296"/>
        <v>0</v>
      </c>
      <c r="N656" s="310">
        <f t="shared" si="296"/>
        <v>0</v>
      </c>
      <c r="O656" s="310">
        <f t="shared" si="296"/>
        <v>0</v>
      </c>
      <c r="P656" s="310">
        <f t="shared" si="296"/>
        <v>21.575555077721646</v>
      </c>
      <c r="Q656" s="310">
        <f t="shared" si="296"/>
        <v>6.9237850524972924</v>
      </c>
      <c r="R656" s="310">
        <f t="shared" si="296"/>
        <v>13.445153633597105</v>
      </c>
      <c r="S656" s="310">
        <f t="shared" si="296"/>
        <v>15.681399119431418</v>
      </c>
      <c r="T656" s="310">
        <f t="shared" si="296"/>
        <v>30.762726824577314</v>
      </c>
      <c r="U656" s="310">
        <f t="shared" si="296"/>
        <v>20.965882117805783</v>
      </c>
      <c r="V656" s="310">
        <f t="shared" si="296"/>
        <v>22.508354633451575</v>
      </c>
      <c r="W656" s="310">
        <f t="shared" si="296"/>
        <v>22.871609925407849</v>
      </c>
      <c r="X656" s="310">
        <f t="shared" si="296"/>
        <v>23.757434436715108</v>
      </c>
      <c r="Y656" s="310">
        <f t="shared" si="296"/>
        <v>23.702807642013077</v>
      </c>
      <c r="Z656" s="310">
        <f t="shared" si="296"/>
        <v>24.572267179399407</v>
      </c>
      <c r="AA656" s="310">
        <f t="shared" si="296"/>
        <v>24.680855198187778</v>
      </c>
      <c r="AB656" s="310">
        <f t="shared" si="296"/>
        <v>25.849496965705345</v>
      </c>
      <c r="AC656" s="310">
        <f t="shared" si="296"/>
        <v>25.975645061647604</v>
      </c>
      <c r="AD656" s="310">
        <f t="shared" si="296"/>
        <v>26.321852684456353</v>
      </c>
      <c r="AE656" s="310">
        <f t="shared" si="296"/>
        <v>0</v>
      </c>
      <c r="AF656" s="310">
        <f t="shared" si="296"/>
        <v>0</v>
      </c>
      <c r="AG656" s="310">
        <f t="shared" si="296"/>
        <v>0</v>
      </c>
      <c r="AH656" s="310">
        <f t="shared" si="296"/>
        <v>0</v>
      </c>
      <c r="AI656" s="310">
        <f t="shared" si="296"/>
        <v>0</v>
      </c>
      <c r="AJ656" s="310">
        <f t="shared" si="296"/>
        <v>0</v>
      </c>
      <c r="AK656" s="310">
        <f t="shared" si="296"/>
        <v>0</v>
      </c>
      <c r="AL656" s="310">
        <f t="shared" si="296"/>
        <v>0</v>
      </c>
      <c r="AM656" s="310">
        <f t="shared" si="296"/>
        <v>0</v>
      </c>
      <c r="AN656" s="310">
        <f t="shared" si="296"/>
        <v>0</v>
      </c>
      <c r="AO656" s="310">
        <f t="shared" si="296"/>
        <v>0</v>
      </c>
      <c r="AP656" s="310">
        <f t="shared" si="296"/>
        <v>0</v>
      </c>
      <c r="AQ656" s="310">
        <f t="shared" si="296"/>
        <v>0</v>
      </c>
      <c r="AR656" s="310">
        <f t="shared" si="296"/>
        <v>0</v>
      </c>
      <c r="AS656" s="310">
        <f t="shared" si="296"/>
        <v>0</v>
      </c>
      <c r="AT656" s="310">
        <f t="shared" si="296"/>
        <v>0</v>
      </c>
      <c r="AU656" s="310">
        <f t="shared" si="296"/>
        <v>0</v>
      </c>
      <c r="AV656" s="310">
        <f t="shared" si="296"/>
        <v>0</v>
      </c>
    </row>
    <row r="657" spans="1:48" ht="15" customHeight="1">
      <c r="F657" s="320"/>
      <c r="G657" s="320"/>
      <c r="H657" s="320"/>
      <c r="I657" s="320"/>
      <c r="J657" s="320"/>
      <c r="L657" s="320"/>
      <c r="M657" s="320"/>
      <c r="N657" s="320"/>
      <c r="O657" s="320"/>
      <c r="P657" s="320"/>
      <c r="Q657" s="320"/>
      <c r="R657" s="320"/>
      <c r="S657" s="320"/>
      <c r="T657" s="320"/>
      <c r="U657" s="320"/>
      <c r="V657" s="320"/>
      <c r="W657" s="320"/>
      <c r="X657" s="320"/>
      <c r="Y657" s="320"/>
      <c r="Z657" s="320"/>
      <c r="AA657" s="320"/>
      <c r="AB657" s="320"/>
      <c r="AC657" s="320"/>
      <c r="AD657" s="320"/>
      <c r="AE657" s="320"/>
      <c r="AF657" s="320"/>
      <c r="AG657" s="320"/>
      <c r="AH657" s="320"/>
      <c r="AI657" s="320"/>
      <c r="AJ657" s="320"/>
      <c r="AK657" s="320"/>
      <c r="AL657" s="320"/>
      <c r="AM657" s="320"/>
      <c r="AN657" s="320"/>
      <c r="AO657" s="320"/>
      <c r="AP657" s="320"/>
      <c r="AQ657" s="320"/>
      <c r="AR657" s="320"/>
      <c r="AS657" s="320"/>
      <c r="AT657" s="320"/>
      <c r="AU657" s="320"/>
      <c r="AV657" s="320"/>
    </row>
    <row r="658" spans="1:48" s="160" customFormat="1" ht="15" customHeight="1">
      <c r="A658" s="164" t="s">
        <v>673</v>
      </c>
      <c r="B658" s="162"/>
      <c r="C658" s="315"/>
      <c r="D658" s="386"/>
      <c r="E658" s="162"/>
      <c r="F658" s="162"/>
      <c r="G658" s="162"/>
      <c r="H658" s="162"/>
    </row>
    <row r="659" spans="1:48" s="229" customFormat="1" ht="15" customHeight="1">
      <c r="A659" s="385"/>
      <c r="B659" s="357"/>
      <c r="C659" s="366"/>
      <c r="D659" s="317"/>
      <c r="E659" s="98"/>
      <c r="F659" s="98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  <c r="AA659" s="98"/>
      <c r="AB659" s="98"/>
      <c r="AC659" s="98"/>
      <c r="AD659" s="98"/>
      <c r="AE659" s="98"/>
      <c r="AF659" s="98"/>
      <c r="AG659" s="98"/>
      <c r="AH659" s="98"/>
      <c r="AI659" s="98"/>
      <c r="AJ659" s="98"/>
      <c r="AK659" s="98"/>
      <c r="AL659" s="98"/>
      <c r="AM659" s="98"/>
      <c r="AN659" s="98"/>
      <c r="AO659" s="98"/>
      <c r="AP659" s="98"/>
      <c r="AQ659" s="98"/>
      <c r="AR659" s="98"/>
      <c r="AS659" s="98"/>
      <c r="AT659" s="98"/>
      <c r="AU659" s="98"/>
      <c r="AV659" s="98"/>
    </row>
    <row r="660" spans="1:48" s="229" customFormat="1" ht="15" customHeight="1">
      <c r="A660" s="385"/>
      <c r="B660" s="357" t="s">
        <v>1305</v>
      </c>
      <c r="C660" s="366"/>
      <c r="D660" s="317"/>
      <c r="E660" s="98"/>
      <c r="F660" s="98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  <c r="AA660" s="98"/>
      <c r="AB660" s="98"/>
      <c r="AC660" s="98"/>
      <c r="AD660" s="98"/>
      <c r="AE660" s="98"/>
      <c r="AF660" s="98"/>
      <c r="AG660" s="98"/>
      <c r="AH660" s="98"/>
      <c r="AI660" s="98"/>
      <c r="AJ660" s="98"/>
      <c r="AK660" s="98"/>
      <c r="AL660" s="98"/>
      <c r="AM660" s="98"/>
      <c r="AN660" s="98"/>
      <c r="AO660" s="98"/>
      <c r="AP660" s="98"/>
      <c r="AQ660" s="98"/>
      <c r="AR660" s="98"/>
      <c r="AS660" s="98"/>
      <c r="AT660" s="98"/>
      <c r="AU660" s="98"/>
      <c r="AV660" s="98"/>
    </row>
    <row r="661" spans="1:48" s="229" customFormat="1" ht="15" customHeight="1">
      <c r="A661" s="385"/>
      <c r="B661" s="357"/>
      <c r="C661" s="366"/>
      <c r="D661" s="317"/>
      <c r="E661" s="98" t="s">
        <v>1306</v>
      </c>
      <c r="F661" s="71">
        <v>0.15</v>
      </c>
      <c r="G661" s="98" t="s">
        <v>26</v>
      </c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  <c r="AA661" s="98"/>
      <c r="AB661" s="98"/>
      <c r="AC661" s="98"/>
      <c r="AD661" s="98"/>
      <c r="AE661" s="98"/>
      <c r="AF661" s="98"/>
      <c r="AG661" s="98"/>
      <c r="AH661" s="98"/>
      <c r="AI661" s="98"/>
      <c r="AJ661" s="98"/>
      <c r="AK661" s="98"/>
      <c r="AL661" s="98"/>
      <c r="AM661" s="98"/>
      <c r="AN661" s="98"/>
      <c r="AO661" s="98"/>
      <c r="AP661" s="98"/>
      <c r="AQ661" s="98"/>
      <c r="AR661" s="98"/>
      <c r="AS661" s="98"/>
      <c r="AT661" s="98"/>
      <c r="AU661" s="98"/>
      <c r="AV661" s="98"/>
    </row>
    <row r="662" spans="1:48" s="229" customFormat="1" ht="15" customHeight="1">
      <c r="A662" s="385"/>
      <c r="B662" s="357"/>
      <c r="C662" s="366"/>
      <c r="D662" s="317"/>
      <c r="E662" s="98" t="s">
        <v>1307</v>
      </c>
      <c r="F662" s="98"/>
      <c r="G662" s="98" t="s">
        <v>26</v>
      </c>
      <c r="H662" s="98"/>
      <c r="I662" s="98"/>
      <c r="J662" s="98"/>
      <c r="K662" s="98"/>
      <c r="L662" s="269">
        <f t="shared" ref="L662:AV662" si="297" xml:space="preserve"> $F$661</f>
        <v>0.15</v>
      </c>
      <c r="M662" s="269">
        <f t="shared" si="297"/>
        <v>0.15</v>
      </c>
      <c r="N662" s="269">
        <f t="shared" si="297"/>
        <v>0.15</v>
      </c>
      <c r="O662" s="269">
        <f t="shared" si="297"/>
        <v>0.15</v>
      </c>
      <c r="P662" s="269">
        <f t="shared" si="297"/>
        <v>0.15</v>
      </c>
      <c r="Q662" s="269">
        <f t="shared" si="297"/>
        <v>0.15</v>
      </c>
      <c r="R662" s="269">
        <f t="shared" si="297"/>
        <v>0.15</v>
      </c>
      <c r="S662" s="269">
        <f t="shared" si="297"/>
        <v>0.15</v>
      </c>
      <c r="T662" s="269">
        <f t="shared" si="297"/>
        <v>0.15</v>
      </c>
      <c r="U662" s="269">
        <f t="shared" si="297"/>
        <v>0.15</v>
      </c>
      <c r="V662" s="269">
        <f t="shared" si="297"/>
        <v>0.15</v>
      </c>
      <c r="W662" s="269">
        <f t="shared" si="297"/>
        <v>0.15</v>
      </c>
      <c r="X662" s="269">
        <f t="shared" si="297"/>
        <v>0.15</v>
      </c>
      <c r="Y662" s="269">
        <f t="shared" si="297"/>
        <v>0.15</v>
      </c>
      <c r="Z662" s="269">
        <f t="shared" si="297"/>
        <v>0.15</v>
      </c>
      <c r="AA662" s="269">
        <f t="shared" si="297"/>
        <v>0.15</v>
      </c>
      <c r="AB662" s="269">
        <f t="shared" si="297"/>
        <v>0.15</v>
      </c>
      <c r="AC662" s="269">
        <f t="shared" si="297"/>
        <v>0.15</v>
      </c>
      <c r="AD662" s="269">
        <f t="shared" si="297"/>
        <v>0.15</v>
      </c>
      <c r="AE662" s="269">
        <f t="shared" si="297"/>
        <v>0.15</v>
      </c>
      <c r="AF662" s="269">
        <f t="shared" si="297"/>
        <v>0.15</v>
      </c>
      <c r="AG662" s="269">
        <f t="shared" si="297"/>
        <v>0.15</v>
      </c>
      <c r="AH662" s="269">
        <f t="shared" si="297"/>
        <v>0.15</v>
      </c>
      <c r="AI662" s="269">
        <f t="shared" si="297"/>
        <v>0.15</v>
      </c>
      <c r="AJ662" s="269">
        <f t="shared" si="297"/>
        <v>0.15</v>
      </c>
      <c r="AK662" s="269">
        <f t="shared" si="297"/>
        <v>0.15</v>
      </c>
      <c r="AL662" s="269">
        <f t="shared" si="297"/>
        <v>0.15</v>
      </c>
      <c r="AM662" s="269">
        <f t="shared" si="297"/>
        <v>0.15</v>
      </c>
      <c r="AN662" s="269">
        <f t="shared" si="297"/>
        <v>0.15</v>
      </c>
      <c r="AO662" s="269">
        <f t="shared" si="297"/>
        <v>0.15</v>
      </c>
      <c r="AP662" s="269">
        <f t="shared" si="297"/>
        <v>0.15</v>
      </c>
      <c r="AQ662" s="269">
        <f t="shared" si="297"/>
        <v>0.15</v>
      </c>
      <c r="AR662" s="269">
        <f t="shared" si="297"/>
        <v>0.15</v>
      </c>
      <c r="AS662" s="269">
        <f t="shared" si="297"/>
        <v>0.15</v>
      </c>
      <c r="AT662" s="269">
        <f t="shared" si="297"/>
        <v>0.15</v>
      </c>
      <c r="AU662" s="269">
        <f t="shared" si="297"/>
        <v>0.15</v>
      </c>
      <c r="AV662" s="269">
        <f t="shared" si="297"/>
        <v>0.15</v>
      </c>
    </row>
    <row r="663" spans="1:48" s="229" customFormat="1" ht="15" customHeight="1">
      <c r="A663" s="385"/>
      <c r="B663" s="357"/>
      <c r="C663" s="366"/>
      <c r="D663" s="317"/>
      <c r="E663" s="98"/>
      <c r="F663" s="98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  <c r="AA663" s="98"/>
      <c r="AB663" s="98"/>
      <c r="AC663" s="98"/>
      <c r="AD663" s="98"/>
      <c r="AE663" s="98"/>
      <c r="AF663" s="98"/>
      <c r="AG663" s="98"/>
      <c r="AH663" s="98"/>
      <c r="AI663" s="98"/>
      <c r="AJ663" s="98"/>
      <c r="AK663" s="98"/>
      <c r="AL663" s="98"/>
      <c r="AM663" s="98"/>
      <c r="AN663" s="98"/>
      <c r="AO663" s="98"/>
      <c r="AP663" s="98"/>
      <c r="AQ663" s="98"/>
      <c r="AR663" s="98"/>
      <c r="AS663" s="98"/>
      <c r="AT663" s="98"/>
      <c r="AU663" s="98"/>
      <c r="AV663" s="98"/>
    </row>
    <row r="664" spans="1:48" s="229" customFormat="1" ht="15" customHeight="1">
      <c r="A664" s="385"/>
      <c r="B664" s="357"/>
      <c r="C664" s="366"/>
      <c r="D664" s="317"/>
      <c r="E664" s="268" t="str">
        <f xml:space="preserve"> 'T&amp;E'!E$71</f>
        <v>LIBOR  / SOFR history &amp; forecast</v>
      </c>
      <c r="F664" s="268">
        <f xml:space="preserve"> 'T&amp;E'!F$71</f>
        <v>0</v>
      </c>
      <c r="G664" s="268" t="str">
        <f xml:space="preserve"> 'T&amp;E'!G$71</f>
        <v>%</v>
      </c>
      <c r="H664" s="268">
        <f xml:space="preserve"> 'T&amp;E'!H$71</f>
        <v>0</v>
      </c>
      <c r="I664" s="268">
        <f xml:space="preserve"> 'T&amp;E'!I$71</f>
        <v>0</v>
      </c>
      <c r="J664" s="268">
        <f xml:space="preserve"> 'T&amp;E'!J$71</f>
        <v>0</v>
      </c>
      <c r="K664" s="268">
        <f xml:space="preserve"> 'T&amp;E'!K$71</f>
        <v>0</v>
      </c>
      <c r="L664" s="268">
        <f xml:space="preserve"> 'T&amp;E'!L$71</f>
        <v>3.2919249011857648E-3</v>
      </c>
      <c r="M664" s="268">
        <f xml:space="preserve"> 'T&amp;E'!M$71</f>
        <v>4.8515256916996045E-3</v>
      </c>
      <c r="N664" s="268">
        <f xml:space="preserve"> 'T&amp;E'!N$71</f>
        <v>1.0590186507936503E-2</v>
      </c>
      <c r="O664" s="268">
        <f xml:space="preserve"> 'T&amp;E'!O$71</f>
        <v>1.4752334661354583E-2</v>
      </c>
      <c r="P664" s="268">
        <f xml:space="preserve"> 'T&amp;E'!P$71</f>
        <v>2.4859274900398399E-2</v>
      </c>
      <c r="Q664" s="268">
        <f xml:space="preserve"> 'T&amp;E'!Q$71</f>
        <v>2.3175798418972337E-2</v>
      </c>
      <c r="R664" s="268">
        <f xml:space="preserve"> 'T&amp;E'!R$71</f>
        <v>8.9388713450292371E-3</v>
      </c>
      <c r="S664" s="268">
        <f xml:space="preserve"> 'T&amp;E'!S$71</f>
        <v>4.7694199999999984E-4</v>
      </c>
      <c r="T664" s="268">
        <f xml:space="preserve"> 'T&amp;E'!T$71</f>
        <v>8.1812538152610682E-3</v>
      </c>
      <c r="U664" s="268">
        <f xml:space="preserve"> 'T&amp;E'!U$71</f>
        <v>4.5826553413654623E-2</v>
      </c>
      <c r="V664" s="268">
        <f xml:space="preserve"> 'T&amp;E'!V$71</f>
        <v>5.3465279199999986E-2</v>
      </c>
      <c r="W664" s="268">
        <f xml:space="preserve"> 'T&amp;E'!W$71</f>
        <v>4.6147064102564105E-2</v>
      </c>
      <c r="X664" s="268">
        <f xml:space="preserve"> 'T&amp;E'!X$71</f>
        <v>4.0023911226669151E-2</v>
      </c>
      <c r="Y664" s="268">
        <f xml:space="preserve"> 'T&amp;E'!Y$71</f>
        <v>3.6420061322820718E-2</v>
      </c>
      <c r="Z664" s="268">
        <f xml:space="preserve"> 'T&amp;E'!Z$71</f>
        <v>3.6878196916759531E-2</v>
      </c>
      <c r="AA664" s="268">
        <f xml:space="preserve"> 'T&amp;E'!AA$71</f>
        <v>3.7016205868980245E-2</v>
      </c>
      <c r="AB664" s="268">
        <f xml:space="preserve"> 'T&amp;E'!AB$71</f>
        <v>3.707528692137374E-2</v>
      </c>
      <c r="AC664" s="268">
        <f xml:space="preserve"> 'T&amp;E'!AC$71</f>
        <v>3.5299999999999887E-2</v>
      </c>
      <c r="AD664" s="268">
        <f xml:space="preserve"> 'T&amp;E'!AD$71</f>
        <v>3.5299999999999887E-2</v>
      </c>
      <c r="AE664" s="268">
        <f xml:space="preserve"> 'T&amp;E'!AE$71</f>
        <v>3.5299999999999887E-2</v>
      </c>
      <c r="AF664" s="268">
        <f xml:space="preserve"> 'T&amp;E'!AF$71</f>
        <v>3.5299999999999887E-2</v>
      </c>
      <c r="AG664" s="268">
        <f xml:space="preserve"> 'T&amp;E'!AG$71</f>
        <v>3.5299999999999887E-2</v>
      </c>
      <c r="AH664" s="268">
        <f xml:space="preserve"> 'T&amp;E'!AH$71</f>
        <v>3.5299999999999887E-2</v>
      </c>
      <c r="AI664" s="268">
        <f xml:space="preserve"> 'T&amp;E'!AI$71</f>
        <v>3.5299999999999887E-2</v>
      </c>
      <c r="AJ664" s="268">
        <f xml:space="preserve"> 'T&amp;E'!AJ$71</f>
        <v>3.5299999999999887E-2</v>
      </c>
      <c r="AK664" s="268">
        <f xml:space="preserve"> 'T&amp;E'!AK$71</f>
        <v>3.5299999999999887E-2</v>
      </c>
      <c r="AL664" s="268">
        <f xml:space="preserve"> 'T&amp;E'!AL$71</f>
        <v>3.5299999999999887E-2</v>
      </c>
      <c r="AM664" s="268">
        <f xml:space="preserve"> 'T&amp;E'!AM$71</f>
        <v>3.5299999999999887E-2</v>
      </c>
      <c r="AN664" s="268">
        <f xml:space="preserve"> 'T&amp;E'!AN$71</f>
        <v>3.5299999999999887E-2</v>
      </c>
      <c r="AO664" s="268">
        <f xml:space="preserve"> 'T&amp;E'!AO$71</f>
        <v>3.5299999999999887E-2</v>
      </c>
      <c r="AP664" s="268">
        <f xml:space="preserve"> 'T&amp;E'!AP$71</f>
        <v>3.5299999999999887E-2</v>
      </c>
      <c r="AQ664" s="268">
        <f xml:space="preserve"> 'T&amp;E'!AQ$71</f>
        <v>3.5299999999999887E-2</v>
      </c>
      <c r="AR664" s="268">
        <f xml:space="preserve"> 'T&amp;E'!AR$71</f>
        <v>3.5299999999999887E-2</v>
      </c>
      <c r="AS664" s="268">
        <f xml:space="preserve"> 'T&amp;E'!AS$71</f>
        <v>3.5299999999999887E-2</v>
      </c>
      <c r="AT664" s="268">
        <f xml:space="preserve"> 'T&amp;E'!AT$71</f>
        <v>3.5299999999999887E-2</v>
      </c>
      <c r="AU664" s="268">
        <f xml:space="preserve"> 'T&amp;E'!AU$71</f>
        <v>3.5299999999999887E-2</v>
      </c>
      <c r="AV664" s="268">
        <f xml:space="preserve"> 'T&amp;E'!AV$71</f>
        <v>3.5299999999999887E-2</v>
      </c>
    </row>
    <row r="665" spans="1:48" s="229" customFormat="1" ht="15" customHeight="1">
      <c r="A665" s="385"/>
      <c r="B665" s="357"/>
      <c r="C665" s="366"/>
      <c r="D665" s="317"/>
      <c r="E665" s="39" t="str">
        <f xml:space="preserve"> InputsCon!E$17</f>
        <v>Normative LIBOR Premium</v>
      </c>
      <c r="F665" s="885">
        <f xml:space="preserve"> InputsCon!F$17</f>
        <v>0.04</v>
      </c>
      <c r="G665" s="39" t="str">
        <f xml:space="preserve"> InputsCon!G$17</f>
        <v>%</v>
      </c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  <c r="AA665" s="98"/>
      <c r="AB665" s="98"/>
      <c r="AC665" s="98"/>
      <c r="AD665" s="98"/>
      <c r="AE665" s="98"/>
      <c r="AF665" s="98"/>
      <c r="AG665" s="98"/>
      <c r="AH665" s="98"/>
      <c r="AI665" s="98"/>
      <c r="AJ665" s="98"/>
      <c r="AK665" s="98"/>
      <c r="AL665" s="98"/>
      <c r="AM665" s="98"/>
      <c r="AN665" s="98"/>
      <c r="AO665" s="98"/>
      <c r="AP665" s="98"/>
      <c r="AQ665" s="98"/>
      <c r="AR665" s="98"/>
      <c r="AS665" s="98"/>
      <c r="AT665" s="98"/>
      <c r="AU665" s="98"/>
      <c r="AV665" s="98"/>
    </row>
    <row r="666" spans="1:48" s="229" customFormat="1" ht="15" customHeight="1">
      <c r="A666" s="385"/>
      <c r="B666" s="357"/>
      <c r="C666" s="366"/>
      <c r="D666" s="317"/>
      <c r="E666" s="98" t="s">
        <v>1309</v>
      </c>
      <c r="F666" s="98"/>
      <c r="G666" s="98" t="s">
        <v>26</v>
      </c>
      <c r="H666" s="98"/>
      <c r="I666" s="98"/>
      <c r="J666" s="98"/>
      <c r="K666" s="98"/>
      <c r="L666" s="269">
        <f t="shared" ref="L666:AV666" si="298" xml:space="preserve"> L664 + $F$665</f>
        <v>4.3291924901185767E-2</v>
      </c>
      <c r="M666" s="269">
        <f t="shared" si="298"/>
        <v>4.4851525691699604E-2</v>
      </c>
      <c r="N666" s="269">
        <f t="shared" si="298"/>
        <v>5.0590186507936508E-2</v>
      </c>
      <c r="O666" s="269">
        <f t="shared" si="298"/>
        <v>5.4752334661354582E-2</v>
      </c>
      <c r="P666" s="269">
        <f t="shared" si="298"/>
        <v>6.4859274900398403E-2</v>
      </c>
      <c r="Q666" s="269">
        <f t="shared" si="298"/>
        <v>6.3175798418972334E-2</v>
      </c>
      <c r="R666" s="269">
        <f t="shared" si="298"/>
        <v>4.8938871345029236E-2</v>
      </c>
      <c r="S666" s="269">
        <f t="shared" si="298"/>
        <v>4.0476942000000002E-2</v>
      </c>
      <c r="T666" s="269">
        <f t="shared" si="298"/>
        <v>4.8181253815261067E-2</v>
      </c>
      <c r="U666" s="269">
        <f t="shared" si="298"/>
        <v>8.5826553413654624E-2</v>
      </c>
      <c r="V666" s="269">
        <f t="shared" si="298"/>
        <v>9.3465279199999987E-2</v>
      </c>
      <c r="W666" s="269">
        <f t="shared" si="298"/>
        <v>8.6147064102564105E-2</v>
      </c>
      <c r="X666" s="269">
        <f t="shared" si="298"/>
        <v>8.0023911226669159E-2</v>
      </c>
      <c r="Y666" s="269">
        <f t="shared" si="298"/>
        <v>7.6420061322820726E-2</v>
      </c>
      <c r="Z666" s="269">
        <f t="shared" si="298"/>
        <v>7.6878196916759539E-2</v>
      </c>
      <c r="AA666" s="269">
        <f t="shared" si="298"/>
        <v>7.7016205868980253E-2</v>
      </c>
      <c r="AB666" s="269">
        <f t="shared" si="298"/>
        <v>7.7075286921373748E-2</v>
      </c>
      <c r="AC666" s="269">
        <f t="shared" si="298"/>
        <v>7.5299999999999895E-2</v>
      </c>
      <c r="AD666" s="269">
        <f t="shared" si="298"/>
        <v>7.5299999999999895E-2</v>
      </c>
      <c r="AE666" s="269">
        <f t="shared" si="298"/>
        <v>7.5299999999999895E-2</v>
      </c>
      <c r="AF666" s="269">
        <f t="shared" si="298"/>
        <v>7.5299999999999895E-2</v>
      </c>
      <c r="AG666" s="269">
        <f t="shared" si="298"/>
        <v>7.5299999999999895E-2</v>
      </c>
      <c r="AH666" s="269">
        <f t="shared" si="298"/>
        <v>7.5299999999999895E-2</v>
      </c>
      <c r="AI666" s="269">
        <f t="shared" si="298"/>
        <v>7.5299999999999895E-2</v>
      </c>
      <c r="AJ666" s="269">
        <f t="shared" si="298"/>
        <v>7.5299999999999895E-2</v>
      </c>
      <c r="AK666" s="269">
        <f t="shared" si="298"/>
        <v>7.5299999999999895E-2</v>
      </c>
      <c r="AL666" s="269">
        <f t="shared" si="298"/>
        <v>7.5299999999999895E-2</v>
      </c>
      <c r="AM666" s="269">
        <f t="shared" si="298"/>
        <v>7.5299999999999895E-2</v>
      </c>
      <c r="AN666" s="269">
        <f t="shared" si="298"/>
        <v>7.5299999999999895E-2</v>
      </c>
      <c r="AO666" s="269">
        <f t="shared" si="298"/>
        <v>7.5299999999999895E-2</v>
      </c>
      <c r="AP666" s="269">
        <f t="shared" si="298"/>
        <v>7.5299999999999895E-2</v>
      </c>
      <c r="AQ666" s="269">
        <f t="shared" si="298"/>
        <v>7.5299999999999895E-2</v>
      </c>
      <c r="AR666" s="269">
        <f t="shared" si="298"/>
        <v>7.5299999999999895E-2</v>
      </c>
      <c r="AS666" s="269">
        <f t="shared" si="298"/>
        <v>7.5299999999999895E-2</v>
      </c>
      <c r="AT666" s="269">
        <f t="shared" si="298"/>
        <v>7.5299999999999895E-2</v>
      </c>
      <c r="AU666" s="269">
        <f t="shared" si="298"/>
        <v>7.5299999999999895E-2</v>
      </c>
      <c r="AV666" s="269">
        <f t="shared" si="298"/>
        <v>7.5299999999999895E-2</v>
      </c>
    </row>
    <row r="667" spans="1:48" s="229" customFormat="1" ht="15" customHeight="1">
      <c r="A667" s="385"/>
      <c r="B667" s="357"/>
      <c r="C667" s="366"/>
      <c r="D667" s="317"/>
      <c r="E667" s="98"/>
      <c r="F667" s="98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  <c r="AA667" s="98"/>
      <c r="AB667" s="98"/>
      <c r="AC667" s="98"/>
      <c r="AD667" s="98"/>
      <c r="AE667" s="98"/>
      <c r="AF667" s="98"/>
      <c r="AG667" s="98"/>
      <c r="AH667" s="98"/>
      <c r="AI667" s="98"/>
      <c r="AJ667" s="98"/>
      <c r="AK667" s="98"/>
      <c r="AL667" s="98"/>
      <c r="AM667" s="98"/>
      <c r="AN667" s="98"/>
      <c r="AO667" s="98"/>
      <c r="AP667" s="98"/>
      <c r="AQ667" s="98"/>
      <c r="AR667" s="98"/>
      <c r="AS667" s="98"/>
      <c r="AT667" s="98"/>
      <c r="AU667" s="98"/>
      <c r="AV667" s="98"/>
    </row>
    <row r="668" spans="1:48" s="229" customFormat="1" ht="15" customHeight="1">
      <c r="A668" s="385"/>
      <c r="B668" s="357"/>
      <c r="C668" s="366"/>
      <c r="D668" s="317"/>
      <c r="E668" s="885" t="str">
        <f xml:space="preserve"> Scenarios!B$34</f>
        <v>Base case or alternative debt interest rates</v>
      </c>
      <c r="F668" s="39" t="str">
        <f xml:space="preserve"> Scenarios!C$34</f>
        <v>Computed</v>
      </c>
      <c r="G668" s="39" t="str">
        <f xml:space="preserve"> Scenarios!D$34</f>
        <v>selected</v>
      </c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  <c r="AA668" s="98"/>
      <c r="AB668" s="98"/>
      <c r="AC668" s="98"/>
      <c r="AD668" s="98"/>
      <c r="AE668" s="98"/>
      <c r="AF668" s="98"/>
      <c r="AG668" s="98"/>
      <c r="AH668" s="98"/>
      <c r="AI668" s="98"/>
      <c r="AJ668" s="98"/>
      <c r="AK668" s="98"/>
      <c r="AL668" s="98"/>
      <c r="AM668" s="98"/>
      <c r="AN668" s="98"/>
      <c r="AO668" s="98"/>
      <c r="AP668" s="98"/>
      <c r="AQ668" s="98"/>
      <c r="AR668" s="98"/>
      <c r="AS668" s="98"/>
      <c r="AT668" s="98"/>
      <c r="AU668" s="98"/>
      <c r="AV668" s="98"/>
    </row>
    <row r="669" spans="1:48" s="229" customFormat="1" ht="15" customHeight="1">
      <c r="A669" s="385"/>
      <c r="B669" s="357"/>
      <c r="C669" s="366"/>
      <c r="D669" s="317"/>
      <c r="E669" s="98"/>
      <c r="F669" s="98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  <c r="AA669" s="98"/>
      <c r="AB669" s="98"/>
      <c r="AC669" s="98"/>
      <c r="AD669" s="98"/>
      <c r="AE669" s="98"/>
      <c r="AF669" s="98"/>
      <c r="AG669" s="98"/>
      <c r="AH669" s="98"/>
      <c r="AI669" s="98"/>
      <c r="AJ669" s="98"/>
      <c r="AK669" s="98"/>
      <c r="AL669" s="98"/>
      <c r="AM669" s="98"/>
      <c r="AN669" s="98"/>
      <c r="AO669" s="98"/>
      <c r="AP669" s="98"/>
      <c r="AQ669" s="98"/>
      <c r="AR669" s="98"/>
      <c r="AS669" s="98"/>
      <c r="AT669" s="98"/>
      <c r="AU669" s="98"/>
      <c r="AV669" s="98"/>
    </row>
    <row r="670" spans="1:48" s="229" customFormat="1" ht="15" customHeight="1">
      <c r="A670" s="385"/>
      <c r="B670" s="357" t="s">
        <v>1250</v>
      </c>
      <c r="C670" s="366"/>
      <c r="D670" s="317"/>
      <c r="E670" s="98"/>
      <c r="F670" s="98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  <c r="AA670" s="98"/>
      <c r="AB670" s="98"/>
      <c r="AC670" s="98"/>
      <c r="AD670" s="98"/>
      <c r="AE670" s="98"/>
      <c r="AF670" s="98"/>
      <c r="AG670" s="98"/>
      <c r="AH670" s="98"/>
      <c r="AI670" s="98"/>
      <c r="AJ670" s="98"/>
      <c r="AK670" s="98"/>
      <c r="AL670" s="98"/>
      <c r="AM670" s="98"/>
      <c r="AN670" s="98"/>
      <c r="AO670" s="98"/>
      <c r="AP670" s="98"/>
      <c r="AQ670" s="98"/>
      <c r="AR670" s="98"/>
      <c r="AS670" s="98"/>
      <c r="AT670" s="98"/>
      <c r="AU670" s="98"/>
      <c r="AV670" s="98"/>
    </row>
    <row r="671" spans="1:48" s="229" customFormat="1" ht="15" customHeight="1">
      <c r="A671" s="385"/>
      <c r="B671" s="357"/>
      <c r="C671" s="366"/>
      <c r="D671" s="317"/>
      <c r="E671" s="76" t="str">
        <f xml:space="preserve"> InputsCon!E$140</f>
        <v>Pre-2019 FS debt</v>
      </c>
      <c r="F671" s="39">
        <f xml:space="preserve"> InputsCon!F$140</f>
        <v>662.76</v>
      </c>
      <c r="G671" s="39" t="str">
        <f xml:space="preserve"> InputsCon!G$140</f>
        <v>$ mn</v>
      </c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  <c r="AA671" s="98"/>
      <c r="AB671" s="98"/>
      <c r="AC671" s="98"/>
      <c r="AD671" s="98"/>
      <c r="AE671" s="98"/>
      <c r="AF671" s="98"/>
      <c r="AG671" s="98"/>
      <c r="AH671" s="98"/>
      <c r="AI671" s="98"/>
      <c r="AJ671" s="98"/>
      <c r="AK671" s="98"/>
      <c r="AL671" s="98"/>
      <c r="AM671" s="98"/>
      <c r="AN671" s="98"/>
      <c r="AO671" s="98"/>
      <c r="AP671" s="98"/>
      <c r="AQ671" s="98"/>
      <c r="AR671" s="98"/>
      <c r="AS671" s="98"/>
      <c r="AT671" s="98"/>
      <c r="AU671" s="98"/>
      <c r="AV671" s="98"/>
    </row>
    <row r="672" spans="1:48" s="229" customFormat="1" ht="15" customHeight="1">
      <c r="A672" s="385"/>
      <c r="B672" s="357"/>
      <c r="C672" s="366"/>
      <c r="D672" s="317"/>
      <c r="E672" s="76" t="str">
        <f xml:space="preserve"> InputsCon!E$117</f>
        <v>FS base year</v>
      </c>
      <c r="F672" s="825">
        <f xml:space="preserve"> InputsCon!F$117</f>
        <v>2019</v>
      </c>
      <c r="G672" s="76" t="str">
        <f xml:space="preserve"> InputsCon!G$117</f>
        <v>year</v>
      </c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  <c r="AA672" s="98"/>
      <c r="AB672" s="98"/>
      <c r="AC672" s="98"/>
      <c r="AD672" s="98"/>
      <c r="AE672" s="98"/>
      <c r="AF672" s="98"/>
      <c r="AG672" s="98"/>
      <c r="AH672" s="98"/>
      <c r="AI672" s="98"/>
      <c r="AJ672" s="98"/>
      <c r="AK672" s="98"/>
      <c r="AL672" s="98"/>
      <c r="AM672" s="98"/>
      <c r="AN672" s="98"/>
      <c r="AO672" s="98"/>
      <c r="AP672" s="98"/>
      <c r="AQ672" s="98"/>
      <c r="AR672" s="98"/>
      <c r="AS672" s="98"/>
      <c r="AT672" s="98"/>
      <c r="AU672" s="98"/>
      <c r="AV672" s="98"/>
    </row>
    <row r="673" spans="1:48" s="376" customFormat="1" ht="15" customHeight="1">
      <c r="A673" s="722"/>
      <c r="B673" s="722"/>
      <c r="C673" s="384"/>
      <c r="D673" s="858"/>
      <c r="E673" s="832" t="s">
        <v>1246</v>
      </c>
      <c r="F673" s="833"/>
      <c r="G673" s="833" t="s">
        <v>29</v>
      </c>
      <c r="H673" s="832"/>
      <c r="I673" s="832"/>
      <c r="J673" s="832">
        <f xml:space="preserve"> SUM(L673:AV673)</f>
        <v>662.76</v>
      </c>
      <c r="K673" s="832"/>
      <c r="L673" s="832">
        <f t="shared" ref="L673:AV673" si="299">IF(L2 = $F$672, $F$671, 0 )</f>
        <v>0</v>
      </c>
      <c r="M673" s="832">
        <f t="shared" si="299"/>
        <v>0</v>
      </c>
      <c r="N673" s="832">
        <f t="shared" si="299"/>
        <v>0</v>
      </c>
      <c r="O673" s="832">
        <f t="shared" si="299"/>
        <v>0</v>
      </c>
      <c r="P673" s="832">
        <f t="shared" si="299"/>
        <v>0</v>
      </c>
      <c r="Q673" s="832">
        <f t="shared" si="299"/>
        <v>662.76</v>
      </c>
      <c r="R673" s="832">
        <f t="shared" si="299"/>
        <v>0</v>
      </c>
      <c r="S673" s="832">
        <f t="shared" si="299"/>
        <v>0</v>
      </c>
      <c r="T673" s="832">
        <f t="shared" si="299"/>
        <v>0</v>
      </c>
      <c r="U673" s="832">
        <f t="shared" si="299"/>
        <v>0</v>
      </c>
      <c r="V673" s="832">
        <f t="shared" si="299"/>
        <v>0</v>
      </c>
      <c r="W673" s="832">
        <f t="shared" si="299"/>
        <v>0</v>
      </c>
      <c r="X673" s="832">
        <f t="shared" si="299"/>
        <v>0</v>
      </c>
      <c r="Y673" s="832">
        <f t="shared" si="299"/>
        <v>0</v>
      </c>
      <c r="Z673" s="832">
        <f t="shared" si="299"/>
        <v>0</v>
      </c>
      <c r="AA673" s="832">
        <f t="shared" si="299"/>
        <v>0</v>
      </c>
      <c r="AB673" s="832">
        <f t="shared" si="299"/>
        <v>0</v>
      </c>
      <c r="AC673" s="832">
        <f t="shared" si="299"/>
        <v>0</v>
      </c>
      <c r="AD673" s="832">
        <f t="shared" si="299"/>
        <v>0</v>
      </c>
      <c r="AE673" s="832">
        <f t="shared" si="299"/>
        <v>0</v>
      </c>
      <c r="AF673" s="832">
        <f t="shared" si="299"/>
        <v>0</v>
      </c>
      <c r="AG673" s="832">
        <f t="shared" si="299"/>
        <v>0</v>
      </c>
      <c r="AH673" s="832">
        <f t="shared" si="299"/>
        <v>0</v>
      </c>
      <c r="AI673" s="832">
        <f t="shared" si="299"/>
        <v>0</v>
      </c>
      <c r="AJ673" s="832">
        <f t="shared" si="299"/>
        <v>0</v>
      </c>
      <c r="AK673" s="832">
        <f t="shared" si="299"/>
        <v>0</v>
      </c>
      <c r="AL673" s="832">
        <f t="shared" si="299"/>
        <v>0</v>
      </c>
      <c r="AM673" s="832">
        <f t="shared" si="299"/>
        <v>0</v>
      </c>
      <c r="AN673" s="832">
        <f t="shared" si="299"/>
        <v>0</v>
      </c>
      <c r="AO673" s="832">
        <f t="shared" si="299"/>
        <v>0</v>
      </c>
      <c r="AP673" s="832">
        <f t="shared" si="299"/>
        <v>0</v>
      </c>
      <c r="AQ673" s="832">
        <f t="shared" si="299"/>
        <v>0</v>
      </c>
      <c r="AR673" s="832">
        <f t="shared" si="299"/>
        <v>0</v>
      </c>
      <c r="AS673" s="832">
        <f t="shared" si="299"/>
        <v>0</v>
      </c>
      <c r="AT673" s="832">
        <f t="shared" si="299"/>
        <v>0</v>
      </c>
      <c r="AU673" s="832">
        <f t="shared" si="299"/>
        <v>0</v>
      </c>
      <c r="AV673" s="832">
        <f t="shared" si="299"/>
        <v>0</v>
      </c>
    </row>
    <row r="674" spans="1:48" s="229" customFormat="1" ht="15" customHeight="1">
      <c r="A674" s="385"/>
      <c r="B674" s="357"/>
      <c r="C674" s="366"/>
      <c r="D674" s="317"/>
      <c r="E674" s="76"/>
      <c r="F674" s="39"/>
      <c r="G674" s="39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  <c r="AA674" s="98"/>
      <c r="AB674" s="98"/>
      <c r="AC674" s="98"/>
      <c r="AD674" s="98"/>
      <c r="AE674" s="98"/>
      <c r="AF674" s="98"/>
      <c r="AG674" s="98"/>
      <c r="AH674" s="98"/>
      <c r="AI674" s="98"/>
      <c r="AJ674" s="98"/>
      <c r="AK674" s="98"/>
      <c r="AL674" s="98"/>
      <c r="AM674" s="98"/>
      <c r="AN674" s="98"/>
      <c r="AO674" s="98"/>
      <c r="AP674" s="98"/>
      <c r="AQ674" s="98"/>
      <c r="AR674" s="98"/>
      <c r="AS674" s="98"/>
      <c r="AT674" s="98"/>
      <c r="AU674" s="98"/>
      <c r="AV674" s="98"/>
    </row>
    <row r="675" spans="1:48" s="229" customFormat="1" ht="15" customHeight="1">
      <c r="A675" s="385"/>
      <c r="B675" s="357" t="s">
        <v>1247</v>
      </c>
      <c r="C675" s="366"/>
      <c r="D675" s="317"/>
      <c r="E675" s="98"/>
      <c r="F675" s="98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102"/>
      <c r="Y675" s="98"/>
      <c r="Z675" s="98"/>
      <c r="AA675" s="98"/>
      <c r="AB675" s="98"/>
      <c r="AC675" s="98"/>
      <c r="AD675" s="98"/>
      <c r="AE675" s="98"/>
      <c r="AF675" s="98"/>
      <c r="AG675" s="98"/>
      <c r="AH675" s="98"/>
      <c r="AI675" s="98"/>
      <c r="AJ675" s="98"/>
      <c r="AK675" s="98"/>
      <c r="AL675" s="98"/>
      <c r="AM675" s="98"/>
      <c r="AN675" s="98"/>
      <c r="AO675" s="98"/>
      <c r="AP675" s="98"/>
      <c r="AQ675" s="98"/>
      <c r="AR675" s="98"/>
      <c r="AS675" s="98"/>
      <c r="AT675" s="98"/>
      <c r="AU675" s="98"/>
      <c r="AV675" s="98"/>
    </row>
    <row r="676" spans="1:48" s="229" customFormat="1" ht="15" customHeight="1">
      <c r="A676" s="385"/>
      <c r="B676" s="357"/>
      <c r="C676" s="366"/>
      <c r="D676" s="317"/>
      <c r="E676" s="98" t="s">
        <v>707</v>
      </c>
      <c r="F676" s="98"/>
      <c r="G676" s="98" t="s">
        <v>767</v>
      </c>
      <c r="H676" s="98"/>
      <c r="I676" s="98"/>
      <c r="J676" s="98"/>
      <c r="K676" s="98"/>
      <c r="L676" s="379"/>
      <c r="M676" s="379"/>
      <c r="N676" s="379"/>
      <c r="O676" s="379"/>
      <c r="P676" s="379"/>
      <c r="Q676" s="379"/>
      <c r="R676" s="379">
        <v>1</v>
      </c>
      <c r="S676" s="379">
        <v>1</v>
      </c>
      <c r="T676" s="379">
        <v>1</v>
      </c>
      <c r="U676" s="379">
        <v>1</v>
      </c>
      <c r="V676" s="379">
        <v>1</v>
      </c>
      <c r="W676" s="379">
        <v>1</v>
      </c>
      <c r="X676" s="379">
        <v>1</v>
      </c>
      <c r="Y676" s="379">
        <v>1</v>
      </c>
      <c r="Z676" s="379">
        <v>1</v>
      </c>
      <c r="AA676" s="379">
        <v>1</v>
      </c>
      <c r="AB676" s="379"/>
      <c r="AC676" s="379"/>
      <c r="AD676" s="379"/>
      <c r="AE676" s="379"/>
      <c r="AF676" s="379"/>
      <c r="AG676" s="379"/>
      <c r="AH676" s="379"/>
      <c r="AI676" s="379"/>
      <c r="AJ676" s="379"/>
      <c r="AK676" s="379"/>
      <c r="AL676" s="379"/>
      <c r="AM676" s="379"/>
      <c r="AN676" s="379"/>
      <c r="AO676" s="379"/>
      <c r="AP676" s="379"/>
      <c r="AQ676" s="379"/>
      <c r="AR676" s="379"/>
      <c r="AS676" s="379"/>
      <c r="AT676" s="379"/>
      <c r="AU676" s="379"/>
      <c r="AV676" s="379"/>
    </row>
    <row r="677" spans="1:48" s="229" customFormat="1" ht="15" customHeight="1">
      <c r="A677" s="385"/>
      <c r="B677" s="357"/>
      <c r="C677" s="366"/>
      <c r="D677" s="317"/>
      <c r="E677" s="176" t="str">
        <f xml:space="preserve"> 'T&amp;E'!E$9</f>
        <v>Model calendar year</v>
      </c>
      <c r="F677" s="176">
        <f xml:space="preserve"> 'T&amp;E'!F$9</f>
        <v>0</v>
      </c>
      <c r="G677" s="176" t="str">
        <f xml:space="preserve"> 'T&amp;E'!G$9</f>
        <v>year</v>
      </c>
      <c r="H677" s="176">
        <f xml:space="preserve"> 'T&amp;E'!H$9</f>
        <v>0</v>
      </c>
      <c r="I677" s="176">
        <f xml:space="preserve"> 'T&amp;E'!I$9</f>
        <v>0</v>
      </c>
      <c r="J677" s="176">
        <f xml:space="preserve"> 'T&amp;E'!J$9</f>
        <v>0</v>
      </c>
      <c r="K677" s="176">
        <f xml:space="preserve"> 'T&amp;E'!K$9</f>
        <v>0</v>
      </c>
      <c r="L677" s="176">
        <f xml:space="preserve"> 'T&amp;E'!L$9</f>
        <v>2014</v>
      </c>
      <c r="M677" s="176">
        <f xml:space="preserve"> 'T&amp;E'!M$9</f>
        <v>2015</v>
      </c>
      <c r="N677" s="176">
        <f xml:space="preserve"> 'T&amp;E'!N$9</f>
        <v>2016</v>
      </c>
      <c r="O677" s="176">
        <f xml:space="preserve"> 'T&amp;E'!O$9</f>
        <v>2017</v>
      </c>
      <c r="P677" s="176">
        <f xml:space="preserve"> 'T&amp;E'!P$9</f>
        <v>2018</v>
      </c>
      <c r="Q677" s="176">
        <f xml:space="preserve"> 'T&amp;E'!Q$9</f>
        <v>2019</v>
      </c>
      <c r="R677" s="176">
        <f xml:space="preserve"> 'T&amp;E'!R$9</f>
        <v>2020</v>
      </c>
      <c r="S677" s="176">
        <f xml:space="preserve"> 'T&amp;E'!S$9</f>
        <v>2021</v>
      </c>
      <c r="T677" s="176">
        <f xml:space="preserve"> 'T&amp;E'!T$9</f>
        <v>2022</v>
      </c>
      <c r="U677" s="176">
        <f xml:space="preserve"> 'T&amp;E'!U$9</f>
        <v>2023</v>
      </c>
      <c r="V677" s="176">
        <f xml:space="preserve"> 'T&amp;E'!V$9</f>
        <v>2024</v>
      </c>
      <c r="W677" s="176">
        <f xml:space="preserve"> 'T&amp;E'!W$9</f>
        <v>2025</v>
      </c>
      <c r="X677" s="176">
        <f xml:space="preserve"> 'T&amp;E'!X$9</f>
        <v>2026</v>
      </c>
      <c r="Y677" s="176">
        <f xml:space="preserve"> 'T&amp;E'!Y$9</f>
        <v>2027</v>
      </c>
      <c r="Z677" s="176">
        <f xml:space="preserve"> 'T&amp;E'!Z$9</f>
        <v>2028</v>
      </c>
      <c r="AA677" s="176">
        <f xml:space="preserve"> 'T&amp;E'!AA$9</f>
        <v>2029</v>
      </c>
      <c r="AB677" s="176">
        <f xml:space="preserve"> 'T&amp;E'!AB$9</f>
        <v>2030</v>
      </c>
      <c r="AC677" s="176">
        <f xml:space="preserve"> 'T&amp;E'!AC$9</f>
        <v>2031</v>
      </c>
      <c r="AD677" s="176">
        <f xml:space="preserve"> 'T&amp;E'!AD$9</f>
        <v>2032</v>
      </c>
      <c r="AE677" s="176">
        <f xml:space="preserve"> 'T&amp;E'!AE$9</f>
        <v>2033</v>
      </c>
      <c r="AF677" s="176">
        <f xml:space="preserve"> 'T&amp;E'!AF$9</f>
        <v>2034</v>
      </c>
      <c r="AG677" s="176">
        <f xml:space="preserve"> 'T&amp;E'!AG$9</f>
        <v>2035</v>
      </c>
      <c r="AH677" s="176">
        <f xml:space="preserve"> 'T&amp;E'!AH$9</f>
        <v>2036</v>
      </c>
      <c r="AI677" s="176">
        <f xml:space="preserve"> 'T&amp;E'!AI$9</f>
        <v>2037</v>
      </c>
      <c r="AJ677" s="176">
        <f xml:space="preserve"> 'T&amp;E'!AJ$9</f>
        <v>2038</v>
      </c>
      <c r="AK677" s="176">
        <f xml:space="preserve"> 'T&amp;E'!AK$9</f>
        <v>2039</v>
      </c>
      <c r="AL677" s="176">
        <f xml:space="preserve"> 'T&amp;E'!AL$9</f>
        <v>2040</v>
      </c>
      <c r="AM677" s="176">
        <f xml:space="preserve"> 'T&amp;E'!AM$9</f>
        <v>2041</v>
      </c>
      <c r="AN677" s="176">
        <f xml:space="preserve"> 'T&amp;E'!AN$9</f>
        <v>2042</v>
      </c>
      <c r="AO677" s="176">
        <f xml:space="preserve"> 'T&amp;E'!AO$9</f>
        <v>2043</v>
      </c>
      <c r="AP677" s="176">
        <f xml:space="preserve"> 'T&amp;E'!AP$9</f>
        <v>2044</v>
      </c>
      <c r="AQ677" s="176">
        <f xml:space="preserve"> 'T&amp;E'!AQ$9</f>
        <v>2045</v>
      </c>
      <c r="AR677" s="176">
        <f xml:space="preserve"> 'T&amp;E'!AR$9</f>
        <v>2046</v>
      </c>
      <c r="AS677" s="176">
        <f xml:space="preserve"> 'T&amp;E'!AS$9</f>
        <v>2047</v>
      </c>
      <c r="AT677" s="176">
        <f xml:space="preserve"> 'T&amp;E'!AT$9</f>
        <v>2048</v>
      </c>
      <c r="AU677" s="176">
        <f xml:space="preserve"> 'T&amp;E'!AU$9</f>
        <v>2049</v>
      </c>
      <c r="AV677" s="176">
        <f xml:space="preserve"> 'T&amp;E'!AV$9</f>
        <v>2050</v>
      </c>
    </row>
    <row r="678" spans="1:48" s="229" customFormat="1" ht="15" customHeight="1">
      <c r="A678" s="385"/>
      <c r="B678" s="357"/>
      <c r="C678" s="366"/>
      <c r="D678" s="317"/>
      <c r="E678" s="418" t="s">
        <v>705</v>
      </c>
      <c r="F678" s="418"/>
      <c r="G678" s="418" t="s">
        <v>29</v>
      </c>
      <c r="H678" s="418"/>
      <c r="I678" s="418"/>
      <c r="J678" s="418"/>
      <c r="K678" s="418"/>
      <c r="L678" s="418">
        <f xml:space="preserve"> K682</f>
        <v>0</v>
      </c>
      <c r="M678" s="418">
        <f t="shared" ref="M678" si="300" xml:space="preserve"> L682</f>
        <v>0</v>
      </c>
      <c r="N678" s="418">
        <f t="shared" ref="N678" si="301" xml:space="preserve"> M682</f>
        <v>0</v>
      </c>
      <c r="O678" s="418">
        <f t="shared" ref="O678" si="302" xml:space="preserve"> N682</f>
        <v>0</v>
      </c>
      <c r="P678" s="418">
        <f t="shared" ref="P678" si="303" xml:space="preserve"> O682</f>
        <v>0</v>
      </c>
      <c r="Q678" s="418">
        <f t="shared" ref="Q678" si="304" xml:space="preserve"> P682</f>
        <v>0</v>
      </c>
      <c r="R678" s="418">
        <f t="shared" ref="R678" si="305" xml:space="preserve"> Q682</f>
        <v>662.76</v>
      </c>
      <c r="S678" s="418">
        <f t="shared" ref="S678" si="306" xml:space="preserve"> R682</f>
        <v>685.95659999999998</v>
      </c>
      <c r="T678" s="418">
        <f t="shared" ref="T678" si="307" xml:space="preserve"> S682</f>
        <v>701.20008000000007</v>
      </c>
      <c r="U678" s="418">
        <f t="shared" ref="U678" si="308" xml:space="preserve"> T682</f>
        <v>705.58258050000006</v>
      </c>
      <c r="V678" s="418">
        <f t="shared" ref="V678" si="309" xml:space="preserve"> U682</f>
        <v>695.50282935000007</v>
      </c>
      <c r="W678" s="418">
        <f t="shared" ref="W678:AV678" si="310" xml:space="preserve"> V682</f>
        <v>666.52354479375015</v>
      </c>
      <c r="X678" s="418">
        <f t="shared" si="310"/>
        <v>613.20166121025011</v>
      </c>
      <c r="Y678" s="418">
        <f t="shared" si="310"/>
        <v>528.88643279384064</v>
      </c>
      <c r="Z678" s="418">
        <f t="shared" si="310"/>
        <v>405.47959847527784</v>
      </c>
      <c r="AA678" s="418">
        <f t="shared" si="310"/>
        <v>233.15076912328476</v>
      </c>
      <c r="AB678" s="418">
        <f t="shared" si="310"/>
        <v>0</v>
      </c>
      <c r="AC678" s="418">
        <f t="shared" si="310"/>
        <v>0</v>
      </c>
      <c r="AD678" s="418">
        <f t="shared" si="310"/>
        <v>0</v>
      </c>
      <c r="AE678" s="418">
        <f t="shared" si="310"/>
        <v>0</v>
      </c>
      <c r="AF678" s="418">
        <f t="shared" si="310"/>
        <v>0</v>
      </c>
      <c r="AG678" s="418">
        <f t="shared" si="310"/>
        <v>0</v>
      </c>
      <c r="AH678" s="418">
        <f t="shared" si="310"/>
        <v>0</v>
      </c>
      <c r="AI678" s="418">
        <f t="shared" si="310"/>
        <v>0</v>
      </c>
      <c r="AJ678" s="418">
        <f t="shared" si="310"/>
        <v>0</v>
      </c>
      <c r="AK678" s="418">
        <f t="shared" si="310"/>
        <v>0</v>
      </c>
      <c r="AL678" s="418">
        <f t="shared" si="310"/>
        <v>0</v>
      </c>
      <c r="AM678" s="418">
        <f t="shared" si="310"/>
        <v>0</v>
      </c>
      <c r="AN678" s="418">
        <f t="shared" si="310"/>
        <v>0</v>
      </c>
      <c r="AO678" s="418">
        <f t="shared" si="310"/>
        <v>0</v>
      </c>
      <c r="AP678" s="418">
        <f t="shared" si="310"/>
        <v>0</v>
      </c>
      <c r="AQ678" s="418">
        <f t="shared" si="310"/>
        <v>0</v>
      </c>
      <c r="AR678" s="418">
        <f t="shared" si="310"/>
        <v>0</v>
      </c>
      <c r="AS678" s="418">
        <f t="shared" si="310"/>
        <v>0</v>
      </c>
      <c r="AT678" s="418">
        <f t="shared" si="310"/>
        <v>0</v>
      </c>
      <c r="AU678" s="418">
        <f t="shared" si="310"/>
        <v>0</v>
      </c>
      <c r="AV678" s="418">
        <f t="shared" si="310"/>
        <v>0</v>
      </c>
    </row>
    <row r="679" spans="1:48" s="98" customFormat="1" ht="15" customHeight="1">
      <c r="A679" s="385"/>
      <c r="B679" s="357"/>
      <c r="C679" s="366"/>
      <c r="D679" s="317"/>
      <c r="E679" s="175" t="s">
        <v>1248</v>
      </c>
      <c r="F679" s="175"/>
      <c r="G679" s="175" t="s">
        <v>29</v>
      </c>
      <c r="H679" s="175"/>
      <c r="I679" s="175"/>
      <c r="J679" s="175">
        <f xml:space="preserve"> SUM(L679:AV679)</f>
        <v>884.73661443696051</v>
      </c>
      <c r="K679" s="175" t="e">
        <f>#REF!</f>
        <v>#REF!</v>
      </c>
      <c r="L679" s="175">
        <f t="shared" ref="L679:AV679" si="311">IF($F$668 = "Computed", L$662, L$666 ) * L678</f>
        <v>0</v>
      </c>
      <c r="M679" s="175">
        <f t="shared" si="311"/>
        <v>0</v>
      </c>
      <c r="N679" s="175">
        <f t="shared" si="311"/>
        <v>0</v>
      </c>
      <c r="O679" s="175">
        <f t="shared" si="311"/>
        <v>0</v>
      </c>
      <c r="P679" s="175">
        <f t="shared" si="311"/>
        <v>0</v>
      </c>
      <c r="Q679" s="175">
        <f t="shared" si="311"/>
        <v>0</v>
      </c>
      <c r="R679" s="175">
        <f t="shared" si="311"/>
        <v>99.414000000000001</v>
      </c>
      <c r="S679" s="175">
        <f t="shared" si="311"/>
        <v>102.89349</v>
      </c>
      <c r="T679" s="175">
        <f t="shared" si="311"/>
        <v>105.180012</v>
      </c>
      <c r="U679" s="175">
        <f t="shared" si="311"/>
        <v>105.83738707500001</v>
      </c>
      <c r="V679" s="175">
        <f t="shared" si="311"/>
        <v>104.3254244025</v>
      </c>
      <c r="W679" s="175">
        <f t="shared" si="311"/>
        <v>99.978531719062516</v>
      </c>
      <c r="X679" s="175">
        <f t="shared" si="311"/>
        <v>91.980249181537516</v>
      </c>
      <c r="Y679" s="175">
        <f t="shared" si="311"/>
        <v>79.33296491907609</v>
      </c>
      <c r="Z679" s="175">
        <f t="shared" si="311"/>
        <v>60.821939771291675</v>
      </c>
      <c r="AA679" s="175">
        <f t="shared" si="311"/>
        <v>34.972615368492711</v>
      </c>
      <c r="AB679" s="175">
        <f t="shared" si="311"/>
        <v>0</v>
      </c>
      <c r="AC679" s="175">
        <f t="shared" si="311"/>
        <v>0</v>
      </c>
      <c r="AD679" s="175">
        <f t="shared" si="311"/>
        <v>0</v>
      </c>
      <c r="AE679" s="175">
        <f t="shared" si="311"/>
        <v>0</v>
      </c>
      <c r="AF679" s="175">
        <f t="shared" si="311"/>
        <v>0</v>
      </c>
      <c r="AG679" s="175">
        <f t="shared" si="311"/>
        <v>0</v>
      </c>
      <c r="AH679" s="175">
        <f t="shared" si="311"/>
        <v>0</v>
      </c>
      <c r="AI679" s="175">
        <f t="shared" si="311"/>
        <v>0</v>
      </c>
      <c r="AJ679" s="175">
        <f t="shared" si="311"/>
        <v>0</v>
      </c>
      <c r="AK679" s="175">
        <f t="shared" si="311"/>
        <v>0</v>
      </c>
      <c r="AL679" s="175">
        <f t="shared" si="311"/>
        <v>0</v>
      </c>
      <c r="AM679" s="175">
        <f t="shared" si="311"/>
        <v>0</v>
      </c>
      <c r="AN679" s="175">
        <f t="shared" si="311"/>
        <v>0</v>
      </c>
      <c r="AO679" s="175">
        <f t="shared" si="311"/>
        <v>0</v>
      </c>
      <c r="AP679" s="175">
        <f t="shared" si="311"/>
        <v>0</v>
      </c>
      <c r="AQ679" s="175">
        <f t="shared" si="311"/>
        <v>0</v>
      </c>
      <c r="AR679" s="175">
        <f t="shared" si="311"/>
        <v>0</v>
      </c>
      <c r="AS679" s="175">
        <f t="shared" si="311"/>
        <v>0</v>
      </c>
      <c r="AT679" s="175">
        <f t="shared" si="311"/>
        <v>0</v>
      </c>
      <c r="AU679" s="175">
        <f t="shared" si="311"/>
        <v>0</v>
      </c>
      <c r="AV679" s="175">
        <f t="shared" si="311"/>
        <v>0</v>
      </c>
    </row>
    <row r="680" spans="1:48" s="98" customFormat="1" ht="15" customHeight="1">
      <c r="A680" s="385"/>
      <c r="B680" s="357"/>
      <c r="C680" s="366"/>
      <c r="D680" s="317"/>
      <c r="E680" s="826" t="str">
        <f t="shared" ref="E680:K680" si="312" xml:space="preserve"> E$673</f>
        <v>Legacy Debt Drawdown</v>
      </c>
      <c r="F680" s="826">
        <f t="shared" si="312"/>
        <v>0</v>
      </c>
      <c r="G680" s="826" t="str">
        <f t="shared" si="312"/>
        <v>$ mn</v>
      </c>
      <c r="H680" s="826">
        <f t="shared" si="312"/>
        <v>0</v>
      </c>
      <c r="I680" s="826">
        <f t="shared" si="312"/>
        <v>0</v>
      </c>
      <c r="J680" s="826">
        <f t="shared" si="312"/>
        <v>662.76</v>
      </c>
      <c r="K680" s="826">
        <f t="shared" si="312"/>
        <v>0</v>
      </c>
      <c r="L680" s="826">
        <f t="shared" ref="L680:AV680" si="313" xml:space="preserve"> L$673</f>
        <v>0</v>
      </c>
      <c r="M680" s="826">
        <f t="shared" si="313"/>
        <v>0</v>
      </c>
      <c r="N680" s="826">
        <f t="shared" si="313"/>
        <v>0</v>
      </c>
      <c r="O680" s="826">
        <f t="shared" si="313"/>
        <v>0</v>
      </c>
      <c r="P680" s="826">
        <f t="shared" si="313"/>
        <v>0</v>
      </c>
      <c r="Q680" s="826">
        <f t="shared" si="313"/>
        <v>662.76</v>
      </c>
      <c r="R680" s="826">
        <f t="shared" si="313"/>
        <v>0</v>
      </c>
      <c r="S680" s="826">
        <f t="shared" si="313"/>
        <v>0</v>
      </c>
      <c r="T680" s="826">
        <f t="shared" si="313"/>
        <v>0</v>
      </c>
      <c r="U680" s="826">
        <f t="shared" si="313"/>
        <v>0</v>
      </c>
      <c r="V680" s="826">
        <f t="shared" si="313"/>
        <v>0</v>
      </c>
      <c r="W680" s="826">
        <f t="shared" si="313"/>
        <v>0</v>
      </c>
      <c r="X680" s="826">
        <f t="shared" si="313"/>
        <v>0</v>
      </c>
      <c r="Y680" s="826">
        <f t="shared" si="313"/>
        <v>0</v>
      </c>
      <c r="Z680" s="826">
        <f t="shared" si="313"/>
        <v>0</v>
      </c>
      <c r="AA680" s="826">
        <f t="shared" si="313"/>
        <v>0</v>
      </c>
      <c r="AB680" s="826">
        <f t="shared" si="313"/>
        <v>0</v>
      </c>
      <c r="AC680" s="826">
        <f t="shared" si="313"/>
        <v>0</v>
      </c>
      <c r="AD680" s="826">
        <f t="shared" si="313"/>
        <v>0</v>
      </c>
      <c r="AE680" s="826">
        <f t="shared" si="313"/>
        <v>0</v>
      </c>
      <c r="AF680" s="826">
        <f t="shared" si="313"/>
        <v>0</v>
      </c>
      <c r="AG680" s="826">
        <f t="shared" si="313"/>
        <v>0</v>
      </c>
      <c r="AH680" s="826">
        <f t="shared" si="313"/>
        <v>0</v>
      </c>
      <c r="AI680" s="826">
        <f t="shared" si="313"/>
        <v>0</v>
      </c>
      <c r="AJ680" s="826">
        <f t="shared" si="313"/>
        <v>0</v>
      </c>
      <c r="AK680" s="826">
        <f t="shared" si="313"/>
        <v>0</v>
      </c>
      <c r="AL680" s="826">
        <f t="shared" si="313"/>
        <v>0</v>
      </c>
      <c r="AM680" s="826">
        <f t="shared" si="313"/>
        <v>0</v>
      </c>
      <c r="AN680" s="826">
        <f t="shared" si="313"/>
        <v>0</v>
      </c>
      <c r="AO680" s="826">
        <f t="shared" si="313"/>
        <v>0</v>
      </c>
      <c r="AP680" s="826">
        <f t="shared" si="313"/>
        <v>0</v>
      </c>
      <c r="AQ680" s="826">
        <f t="shared" si="313"/>
        <v>0</v>
      </c>
      <c r="AR680" s="826">
        <f t="shared" si="313"/>
        <v>0</v>
      </c>
      <c r="AS680" s="826">
        <f t="shared" si="313"/>
        <v>0</v>
      </c>
      <c r="AT680" s="826">
        <f t="shared" si="313"/>
        <v>0</v>
      </c>
      <c r="AU680" s="826">
        <f t="shared" si="313"/>
        <v>0</v>
      </c>
      <c r="AV680" s="826">
        <f t="shared" si="313"/>
        <v>0</v>
      </c>
    </row>
    <row r="681" spans="1:48" s="98" customFormat="1" ht="15" customHeight="1">
      <c r="A681" s="385"/>
      <c r="B681" s="357"/>
      <c r="C681" s="366"/>
      <c r="D681" s="317"/>
      <c r="E681" s="175" t="s">
        <v>1264</v>
      </c>
      <c r="F681" s="175"/>
      <c r="G681" s="175" t="s">
        <v>29</v>
      </c>
      <c r="H681" s="175"/>
      <c r="I681" s="175"/>
      <c r="J681" s="175">
        <f xml:space="preserve"> SUM(L681:AV681)</f>
        <v>1547.4966144369605</v>
      </c>
      <c r="K681" s="175"/>
      <c r="L681" s="175">
        <f xml:space="preserve"> IFERROR((L678 + L679 + L680) * L676 / SUM(L676:$AV676), 0)</f>
        <v>0</v>
      </c>
      <c r="M681" s="175">
        <f xml:space="preserve"> IFERROR((M678 + M679 + M680) * M676 / SUM(M676:$AV676), 0)</f>
        <v>0</v>
      </c>
      <c r="N681" s="175">
        <f xml:space="preserve"> IFERROR((N678 + N679 + N680) * N676 / SUM(N676:$AV676), 0)</f>
        <v>0</v>
      </c>
      <c r="O681" s="175">
        <f xml:space="preserve"> IFERROR((O678 + O679 + O680) * O676 / SUM(O676:$AV676), 0)</f>
        <v>0</v>
      </c>
      <c r="P681" s="175">
        <f xml:space="preserve"> IFERROR((P678 + P679 + P680) * P676 / SUM(P676:$AV676), 0)</f>
        <v>0</v>
      </c>
      <c r="Q681" s="175">
        <f xml:space="preserve"> IFERROR((Q678 + Q679 + Q680) * Q676 / SUM(Q676:$AV676), 0)</f>
        <v>0</v>
      </c>
      <c r="R681" s="175">
        <f xml:space="preserve"> IFERROR((R678 + R679 + R680) * R676 / SUM(R676:$AV676), 0)</f>
        <v>76.217399999999998</v>
      </c>
      <c r="S681" s="175">
        <f xml:space="preserve"> IFERROR((S678 + S679 + S680) * S676 / SUM(S676:$AV676), 0)</f>
        <v>87.650010000000009</v>
      </c>
      <c r="T681" s="175">
        <f xml:space="preserve"> IFERROR((T678 + T679 + T680) * T676 / SUM(T676:$AV676), 0)</f>
        <v>100.79751150000001</v>
      </c>
      <c r="U681" s="175">
        <f xml:space="preserve"> IFERROR((U678 + U679 + U680) * U676 / SUM(U676:$AV676), 0)</f>
        <v>115.91713822500002</v>
      </c>
      <c r="V681" s="175">
        <f xml:space="preserve"> IFERROR((V678 + V679 + V680) * V676 / SUM(V676:$AV676), 0)</f>
        <v>133.30470895875001</v>
      </c>
      <c r="W681" s="175">
        <f xml:space="preserve"> IFERROR((W678 + W679 + W680) * W676 / SUM(W676:$AV676), 0)</f>
        <v>153.30041530256253</v>
      </c>
      <c r="X681" s="175">
        <f xml:space="preserve"> IFERROR((X678 + X679 + X680) * X676 / SUM(X676:$AV676), 0)</f>
        <v>176.2954775979469</v>
      </c>
      <c r="Y681" s="175">
        <f xml:space="preserve"> IFERROR((Y678 + Y679 + Y680) * Y676 / SUM(Y676:$AV676), 0)</f>
        <v>202.73979923763889</v>
      </c>
      <c r="Z681" s="175">
        <f xml:space="preserve"> IFERROR((Z678 + Z679 + Z680) * Z676 / SUM(Z676:$AV676), 0)</f>
        <v>233.15076912328476</v>
      </c>
      <c r="AA681" s="175">
        <f xml:space="preserve"> IFERROR((AA678 + AA679 + AA680) * AA676 / SUM(AA676:$AV676), 0)</f>
        <v>268.12338449177747</v>
      </c>
      <c r="AB681" s="175">
        <f xml:space="preserve"> IFERROR((AB678 + AB679 + AB680) * AB676 / SUM(AB676:$AV676), 0)</f>
        <v>0</v>
      </c>
      <c r="AC681" s="175">
        <f xml:space="preserve"> IFERROR((AC678 + AC679 + AC680) * AC676 / SUM(AC676:$AV676), 0)</f>
        <v>0</v>
      </c>
      <c r="AD681" s="175">
        <f xml:space="preserve"> IFERROR((AD678 + AD679 + AD680) * AD676 / SUM(AD676:$AV676), 0)</f>
        <v>0</v>
      </c>
      <c r="AE681" s="175">
        <f xml:space="preserve"> IFERROR((AE678 + AE679 + AE680) * AE676 / SUM(AE676:$AV676), 0)</f>
        <v>0</v>
      </c>
      <c r="AF681" s="175">
        <f xml:space="preserve"> IFERROR((AF678 + AF679 + AF680) * AF676 / SUM(AF676:$AV676), 0)</f>
        <v>0</v>
      </c>
      <c r="AG681" s="175">
        <f xml:space="preserve"> IFERROR((AG678 + AG679 + AG680) * AG676 / SUM(AG676:$AV676), 0)</f>
        <v>0</v>
      </c>
      <c r="AH681" s="175">
        <f xml:space="preserve"> IFERROR((AH678 + AH679 + AH680) * AH676 / SUM(AH676:$AV676), 0)</f>
        <v>0</v>
      </c>
      <c r="AI681" s="175">
        <f xml:space="preserve"> IFERROR((AI678 + AI679 + AI680) * AI676 / SUM(AI676:$AV676), 0)</f>
        <v>0</v>
      </c>
      <c r="AJ681" s="175">
        <f xml:space="preserve"> IFERROR((AJ678 + AJ679 + AJ680) * AJ676 / SUM(AJ676:$AV676), 0)</f>
        <v>0</v>
      </c>
      <c r="AK681" s="175">
        <f xml:space="preserve"> IFERROR((AK678 + AK679 + AK680) * AK676 / SUM(AK676:$AV676), 0)</f>
        <v>0</v>
      </c>
      <c r="AL681" s="175">
        <f xml:space="preserve"> IFERROR((AL678 + AL679 + AL680) * AL676 / SUM(AL676:$AV676), 0)</f>
        <v>0</v>
      </c>
      <c r="AM681" s="175">
        <f xml:space="preserve"> IFERROR((AM678 + AM679 + AM680) * AM676 / SUM(AM676:$AV676), 0)</f>
        <v>0</v>
      </c>
      <c r="AN681" s="175">
        <f xml:space="preserve"> IFERROR((AN678 + AN679 + AN680) * AN676 / SUM(AN676:$AV676), 0)</f>
        <v>0</v>
      </c>
      <c r="AO681" s="175">
        <f xml:space="preserve"> IFERROR((AO678 + AO679 + AO680) * AO676 / SUM(AO676:$AV676), 0)</f>
        <v>0</v>
      </c>
      <c r="AP681" s="175">
        <f xml:space="preserve"> IFERROR((AP678 + AP679 + AP680) * AP676 / SUM(AP676:$AV676), 0)</f>
        <v>0</v>
      </c>
      <c r="AQ681" s="175">
        <f xml:space="preserve"> IFERROR((AQ678 + AQ679 + AQ680) * AQ676 / SUM(AQ676:$AV676), 0)</f>
        <v>0</v>
      </c>
      <c r="AR681" s="175">
        <f xml:space="preserve"> IFERROR((AR678 + AR679 + AR680) * AR676 / SUM(AR676:$AV676), 0)</f>
        <v>0</v>
      </c>
      <c r="AS681" s="175">
        <f xml:space="preserve"> IFERROR((AS678 + AS679 + AS680) * AS676 / SUM(AS676:$AV676), 0)</f>
        <v>0</v>
      </c>
      <c r="AT681" s="175">
        <f xml:space="preserve"> IFERROR((AT678 + AT679 + AT680) * AT676 / SUM(AT676:$AV676), 0)</f>
        <v>0</v>
      </c>
      <c r="AU681" s="175">
        <f xml:space="preserve"> IFERROR((AU678 + AU679 + AU680) * AU676 / SUM(AU676:$AV676), 0)</f>
        <v>0</v>
      </c>
      <c r="AV681" s="175">
        <f xml:space="preserve"> IFERROR((AV678 + AV679 + AV680) * AV676 / SUM(AV676:$AV676), 0)</f>
        <v>0</v>
      </c>
    </row>
    <row r="682" spans="1:48" s="229" customFormat="1" ht="15" customHeight="1">
      <c r="A682" s="385"/>
      <c r="B682" s="357"/>
      <c r="C682" s="366"/>
      <c r="D682" s="317"/>
      <c r="E682" s="419" t="s">
        <v>706</v>
      </c>
      <c r="F682" s="419"/>
      <c r="G682" s="419" t="s">
        <v>29</v>
      </c>
      <c r="H682" s="419"/>
      <c r="I682" s="419"/>
      <c r="J682" s="419"/>
      <c r="K682" s="420"/>
      <c r="L682" s="419">
        <f t="shared" ref="L682:AV682" si="314" xml:space="preserve"> L678 + L679 + L680 - L681</f>
        <v>0</v>
      </c>
      <c r="M682" s="419">
        <f t="shared" si="314"/>
        <v>0</v>
      </c>
      <c r="N682" s="419">
        <f t="shared" si="314"/>
        <v>0</v>
      </c>
      <c r="O682" s="419">
        <f t="shared" si="314"/>
        <v>0</v>
      </c>
      <c r="P682" s="419">
        <f t="shared" si="314"/>
        <v>0</v>
      </c>
      <c r="Q682" s="419">
        <f t="shared" si="314"/>
        <v>662.76</v>
      </c>
      <c r="R682" s="419">
        <f t="shared" si="314"/>
        <v>685.95659999999998</v>
      </c>
      <c r="S682" s="419">
        <f t="shared" si="314"/>
        <v>701.20008000000007</v>
      </c>
      <c r="T682" s="419">
        <f t="shared" si="314"/>
        <v>705.58258050000006</v>
      </c>
      <c r="U682" s="419">
        <f t="shared" si="314"/>
        <v>695.50282935000007</v>
      </c>
      <c r="V682" s="419">
        <f t="shared" si="314"/>
        <v>666.52354479375015</v>
      </c>
      <c r="W682" s="419">
        <f t="shared" si="314"/>
        <v>613.20166121025011</v>
      </c>
      <c r="X682" s="419">
        <f t="shared" si="314"/>
        <v>528.88643279384064</v>
      </c>
      <c r="Y682" s="419">
        <f t="shared" si="314"/>
        <v>405.47959847527784</v>
      </c>
      <c r="Z682" s="419">
        <f t="shared" si="314"/>
        <v>233.15076912328476</v>
      </c>
      <c r="AA682" s="419">
        <f t="shared" si="314"/>
        <v>0</v>
      </c>
      <c r="AB682" s="419">
        <f t="shared" si="314"/>
        <v>0</v>
      </c>
      <c r="AC682" s="419">
        <f t="shared" si="314"/>
        <v>0</v>
      </c>
      <c r="AD682" s="419">
        <f t="shared" si="314"/>
        <v>0</v>
      </c>
      <c r="AE682" s="419">
        <f t="shared" si="314"/>
        <v>0</v>
      </c>
      <c r="AF682" s="419">
        <f t="shared" si="314"/>
        <v>0</v>
      </c>
      <c r="AG682" s="419">
        <f t="shared" si="314"/>
        <v>0</v>
      </c>
      <c r="AH682" s="419">
        <f t="shared" si="314"/>
        <v>0</v>
      </c>
      <c r="AI682" s="419">
        <f t="shared" si="314"/>
        <v>0</v>
      </c>
      <c r="AJ682" s="419">
        <f t="shared" si="314"/>
        <v>0</v>
      </c>
      <c r="AK682" s="419">
        <f t="shared" si="314"/>
        <v>0</v>
      </c>
      <c r="AL682" s="419">
        <f t="shared" si="314"/>
        <v>0</v>
      </c>
      <c r="AM682" s="419">
        <f t="shared" si="314"/>
        <v>0</v>
      </c>
      <c r="AN682" s="419">
        <f t="shared" si="314"/>
        <v>0</v>
      </c>
      <c r="AO682" s="419">
        <f t="shared" si="314"/>
        <v>0</v>
      </c>
      <c r="AP682" s="419">
        <f t="shared" si="314"/>
        <v>0</v>
      </c>
      <c r="AQ682" s="419">
        <f t="shared" si="314"/>
        <v>0</v>
      </c>
      <c r="AR682" s="419">
        <f t="shared" si="314"/>
        <v>0</v>
      </c>
      <c r="AS682" s="419">
        <f t="shared" si="314"/>
        <v>0</v>
      </c>
      <c r="AT682" s="419">
        <f t="shared" si="314"/>
        <v>0</v>
      </c>
      <c r="AU682" s="419">
        <f t="shared" si="314"/>
        <v>0</v>
      </c>
      <c r="AV682" s="419">
        <f t="shared" si="314"/>
        <v>0</v>
      </c>
    </row>
    <row r="683" spans="1:48" s="229" customFormat="1" ht="15" customHeight="1">
      <c r="A683" s="385"/>
      <c r="B683" s="357"/>
      <c r="C683" s="366"/>
      <c r="D683" s="317"/>
      <c r="E683" s="98" t="s">
        <v>752</v>
      </c>
      <c r="F683" s="465">
        <f xml:space="preserve"> J679 + J680 - J681 -X682 + Y678</f>
        <v>0</v>
      </c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269"/>
      <c r="Y683" s="269"/>
      <c r="Z683" s="98"/>
      <c r="AA683" s="98"/>
      <c r="AB683" s="98"/>
      <c r="AC683" s="98"/>
      <c r="AD683" s="98"/>
      <c r="AE683" s="98"/>
      <c r="AF683" s="98"/>
      <c r="AG683" s="98"/>
      <c r="AH683" s="98"/>
      <c r="AI683" s="98"/>
      <c r="AJ683" s="98"/>
      <c r="AK683" s="98"/>
      <c r="AL683" s="98"/>
      <c r="AM683" s="98"/>
      <c r="AN683" s="98"/>
      <c r="AO683" s="98"/>
      <c r="AP683" s="98"/>
      <c r="AQ683" s="98"/>
      <c r="AR683" s="98"/>
      <c r="AS683" s="98"/>
      <c r="AT683" s="98"/>
      <c r="AU683" s="98"/>
      <c r="AV683" s="98"/>
    </row>
    <row r="685" spans="1:48" s="229" customFormat="1" ht="15" customHeight="1">
      <c r="A685" s="385"/>
      <c r="B685" s="357"/>
      <c r="C685" s="366" t="s">
        <v>1254</v>
      </c>
      <c r="D685" s="317"/>
      <c r="E685" s="202"/>
      <c r="F685" s="829"/>
      <c r="G685" s="412"/>
      <c r="H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  <c r="AA685" s="98"/>
      <c r="AB685" s="98"/>
      <c r="AC685" s="98"/>
      <c r="AD685" s="98"/>
      <c r="AE685" s="98"/>
      <c r="AF685" s="98"/>
      <c r="AG685" s="98"/>
      <c r="AH685" s="98"/>
      <c r="AI685" s="98"/>
      <c r="AJ685" s="98"/>
      <c r="AK685" s="98"/>
      <c r="AL685" s="98"/>
      <c r="AM685" s="98"/>
      <c r="AN685" s="98"/>
      <c r="AO685" s="98"/>
      <c r="AP685" s="98"/>
      <c r="AQ685" s="98"/>
      <c r="AR685" s="98"/>
      <c r="AS685" s="98"/>
      <c r="AT685" s="98"/>
      <c r="AU685" s="98"/>
      <c r="AV685" s="98"/>
    </row>
    <row r="686" spans="1:48" s="186" customFormat="1" ht="15" customHeight="1">
      <c r="D686" s="857"/>
      <c r="E686" s="186" t="str">
        <f xml:space="preserve"> InputsTS!E$98</f>
        <v>Total Capex (2022 FS)</v>
      </c>
      <c r="F686" s="186">
        <f xml:space="preserve"> InputsTS!F$98</f>
        <v>0</v>
      </c>
      <c r="G686" s="186" t="str">
        <f xml:space="preserve"> InputsTS!G$98</f>
        <v>$ mn (2019 real)</v>
      </c>
      <c r="H686" s="186">
        <f xml:space="preserve"> InputsTS!H$98</f>
        <v>0</v>
      </c>
      <c r="I686" s="186">
        <f xml:space="preserve"> InputsTS!I$98</f>
        <v>0</v>
      </c>
      <c r="J686" s="70">
        <f xml:space="preserve"> InputsTS!J$98</f>
        <v>433.5</v>
      </c>
      <c r="K686" s="186">
        <f xml:space="preserve"> InputsTS!K$98</f>
        <v>0</v>
      </c>
      <c r="L686" s="70">
        <f xml:space="preserve"> InputsTS!L$98</f>
        <v>0</v>
      </c>
      <c r="M686" s="70">
        <f xml:space="preserve"> InputsTS!M$98</f>
        <v>0</v>
      </c>
      <c r="N686" s="70">
        <f xml:space="preserve"> InputsTS!N$98</f>
        <v>0</v>
      </c>
      <c r="O686" s="70">
        <f xml:space="preserve"> InputsTS!O$98</f>
        <v>0</v>
      </c>
      <c r="P686" s="70">
        <f xml:space="preserve"> InputsTS!P$98</f>
        <v>0</v>
      </c>
      <c r="Q686" s="70">
        <f xml:space="preserve"> InputsTS!Q$98</f>
        <v>175.6</v>
      </c>
      <c r="R686" s="70">
        <f xml:space="preserve"> InputsTS!R$98</f>
        <v>58.9</v>
      </c>
      <c r="S686" s="70">
        <f xml:space="preserve"> InputsTS!S$98</f>
        <v>18.600000000000001</v>
      </c>
      <c r="T686" s="70">
        <f xml:space="preserve"> InputsTS!T$98</f>
        <v>19.399999999999999</v>
      </c>
      <c r="U686" s="70">
        <f xml:space="preserve"> InputsTS!U$98</f>
        <v>6.1</v>
      </c>
      <c r="V686" s="70">
        <f xml:space="preserve"> InputsTS!V$98</f>
        <v>26.7</v>
      </c>
      <c r="W686" s="70">
        <f xml:space="preserve"> InputsTS!W$98</f>
        <v>11.7</v>
      </c>
      <c r="X686" s="70">
        <f xml:space="preserve"> InputsTS!X$98</f>
        <v>28.8</v>
      </c>
      <c r="Y686" s="70">
        <f xml:space="preserve"> InputsTS!Y$98</f>
        <v>8.4</v>
      </c>
      <c r="Z686" s="70">
        <f xml:space="preserve"> InputsTS!Z$98</f>
        <v>18.3</v>
      </c>
      <c r="AA686" s="70">
        <f xml:space="preserve"> InputsTS!AA$98</f>
        <v>7.7</v>
      </c>
      <c r="AB686" s="70">
        <f xml:space="preserve"> InputsTS!AB$98</f>
        <v>33.799999999999997</v>
      </c>
      <c r="AC686" s="70">
        <f xml:space="preserve"> InputsTS!AC$98</f>
        <v>6.4</v>
      </c>
      <c r="AD686" s="70">
        <f xml:space="preserve"> InputsTS!AD$98</f>
        <v>13.1</v>
      </c>
      <c r="AE686" s="70">
        <f xml:space="preserve"> InputsTS!AE$98</f>
        <v>0</v>
      </c>
      <c r="AF686" s="70">
        <f xml:space="preserve"> InputsTS!AF$98</f>
        <v>0</v>
      </c>
      <c r="AG686" s="70">
        <f xml:space="preserve"> InputsTS!AG$98</f>
        <v>0</v>
      </c>
      <c r="AH686" s="70">
        <f xml:space="preserve"> InputsTS!AH$98</f>
        <v>0</v>
      </c>
      <c r="AI686" s="70">
        <f xml:space="preserve"> InputsTS!AI$98</f>
        <v>0</v>
      </c>
      <c r="AJ686" s="70">
        <f xml:space="preserve"> InputsTS!AJ$98</f>
        <v>0</v>
      </c>
      <c r="AK686" s="70">
        <f xml:space="preserve"> InputsTS!AK$98</f>
        <v>0</v>
      </c>
      <c r="AL686" s="70">
        <f xml:space="preserve"> InputsTS!AL$98</f>
        <v>0</v>
      </c>
      <c r="AM686" s="70">
        <f xml:space="preserve"> InputsTS!AM$98</f>
        <v>0</v>
      </c>
      <c r="AN686" s="70">
        <f xml:space="preserve"> InputsTS!AN$98</f>
        <v>0</v>
      </c>
      <c r="AO686" s="70">
        <f xml:space="preserve"> InputsTS!AO$98</f>
        <v>0</v>
      </c>
      <c r="AP686" s="70">
        <f xml:space="preserve"> InputsTS!AP$98</f>
        <v>0</v>
      </c>
      <c r="AQ686" s="70">
        <f xml:space="preserve"> InputsTS!AQ$98</f>
        <v>0</v>
      </c>
      <c r="AR686" s="70">
        <f xml:space="preserve"> InputsTS!AR$98</f>
        <v>0</v>
      </c>
      <c r="AS686" s="70">
        <f xml:space="preserve"> InputsTS!AS$98</f>
        <v>0</v>
      </c>
      <c r="AT686" s="70">
        <f xml:space="preserve"> InputsTS!AT$98</f>
        <v>0</v>
      </c>
      <c r="AU686" s="70">
        <f xml:space="preserve"> InputsTS!AU$98</f>
        <v>0</v>
      </c>
      <c r="AV686" s="70">
        <f xml:space="preserve"> InputsTS!AV$98</f>
        <v>0</v>
      </c>
    </row>
    <row r="687" spans="1:48" s="229" customFormat="1" ht="15" customHeight="1">
      <c r="A687" s="385"/>
      <c r="B687" s="357"/>
      <c r="C687" s="366"/>
      <c r="D687" s="317"/>
      <c r="E687" s="202" t="s">
        <v>1252</v>
      </c>
      <c r="F687" s="830">
        <v>2030</v>
      </c>
      <c r="G687" s="412" t="s">
        <v>62</v>
      </c>
      <c r="H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  <c r="AA687" s="98"/>
      <c r="AB687" s="98"/>
      <c r="AC687" s="98"/>
      <c r="AD687" s="98"/>
      <c r="AE687" s="98"/>
      <c r="AF687" s="98"/>
      <c r="AG687" s="98"/>
      <c r="AH687" s="98"/>
      <c r="AI687" s="98"/>
      <c r="AJ687" s="98"/>
      <c r="AK687" s="98"/>
      <c r="AL687" s="98"/>
      <c r="AM687" s="98"/>
      <c r="AN687" s="98"/>
      <c r="AO687" s="98"/>
      <c r="AP687" s="98"/>
      <c r="AQ687" s="98"/>
      <c r="AR687" s="98"/>
      <c r="AS687" s="98"/>
      <c r="AT687" s="98"/>
      <c r="AU687" s="98"/>
      <c r="AV687" s="98"/>
    </row>
    <row r="688" spans="1:48" s="229" customFormat="1" ht="15" customHeight="1">
      <c r="A688" s="385"/>
      <c r="B688" s="357"/>
      <c r="C688" s="366"/>
      <c r="D688" s="317"/>
      <c r="E688" s="202" t="s">
        <v>1253</v>
      </c>
      <c r="F688" s="829"/>
      <c r="G688" s="412" t="s">
        <v>29</v>
      </c>
      <c r="H688" s="98"/>
      <c r="J688" s="98">
        <f xml:space="preserve"> SUM(L688:AV688)</f>
        <v>433.5</v>
      </c>
      <c r="K688" s="98"/>
      <c r="L688" s="98">
        <f>IF(L2&gt;$F$687,0,IF(L2=$F$687,SUM(L686:$AV$686),L686))</f>
        <v>0</v>
      </c>
      <c r="M688" s="98">
        <f>IF(M2&gt;$F$687,0,IF(M2=$F$687,SUM(M686:$AV$686),M686))</f>
        <v>0</v>
      </c>
      <c r="N688" s="98">
        <f>IF(N2&gt;$F$687,0,IF(N2=$F$687,SUM(N686:$AV$686),N686))</f>
        <v>0</v>
      </c>
      <c r="O688" s="98">
        <f>IF(O2&gt;$F$687,0,IF(O2=$F$687,SUM(O686:$AV$686),O686))</f>
        <v>0</v>
      </c>
      <c r="P688" s="98">
        <f>IF(P2&gt;$F$687,0,IF(P2=$F$687,SUM(P686:$AV$686),P686))</f>
        <v>0</v>
      </c>
      <c r="Q688" s="98">
        <f>IF(Q2&gt;$F$687,0,IF(Q2=$F$687,SUM(Q686:$AV$686),Q686))</f>
        <v>175.6</v>
      </c>
      <c r="R688" s="98">
        <f>IF(R2&gt;$F$687,0,IF(R2=$F$687,SUM(R686:$AV$686),R686))</f>
        <v>58.9</v>
      </c>
      <c r="S688" s="98">
        <f>IF(S2&gt;$F$687,0,IF(S2=$F$687,SUM(S686:$AV$686),S686))</f>
        <v>18.600000000000001</v>
      </c>
      <c r="T688" s="98">
        <f>IF(T2&gt;$F$687,0,IF(T2=$F$687,SUM(T686:$AV$686),T686))</f>
        <v>19.399999999999999</v>
      </c>
      <c r="U688" s="98">
        <f>IF(U2&gt;$F$687,0,IF(U2=$F$687,SUM(U686:$AV$686),U686))</f>
        <v>6.1</v>
      </c>
      <c r="V688" s="98">
        <f>IF(V2&gt;$F$687,0,IF(V2=$F$687,SUM(V686:$AV$686),V686))</f>
        <v>26.7</v>
      </c>
      <c r="W688" s="98">
        <f>IF(W2&gt;$F$687,0,IF(W2=$F$687,SUM(W686:$AV$686),W686))</f>
        <v>11.7</v>
      </c>
      <c r="X688" s="98">
        <f>IF(X2&gt;$F$687,0,IF(X2=$F$687,SUM(X686:$AV$686),X686))</f>
        <v>28.8</v>
      </c>
      <c r="Y688" s="98">
        <f>IF(Y2&gt;$F$687,0,IF(Y2=$F$687,SUM(Y686:$AV$686),Y686))</f>
        <v>8.4</v>
      </c>
      <c r="Z688" s="98">
        <f>IF(Z2&gt;$F$687,0,IF(Z2=$F$687,SUM(Z686:$AV$686),Z686))</f>
        <v>18.3</v>
      </c>
      <c r="AA688" s="98">
        <f>IF(AA2&gt;$F$687,0,IF(AA2=$F$687,SUM(AA686:$AV$686),AA686))</f>
        <v>7.7</v>
      </c>
      <c r="AB688" s="98">
        <f>IF(AB2&gt;$F$687,0,IF(AB2=$F$687,SUM(AB686:$AV$686),AB686))</f>
        <v>53.3</v>
      </c>
      <c r="AC688" s="98">
        <f>IF(AC2&gt;$F$687,0,IF(AC2=$F$687,SUM(AC686:$AV$686),AC686))</f>
        <v>0</v>
      </c>
      <c r="AD688" s="98">
        <f>IF(AD2&gt;$F$687,0,IF(AD2=$F$687,SUM(AD686:$AV$686),AD686))</f>
        <v>0</v>
      </c>
      <c r="AE688" s="98">
        <f>IF(AE2&gt;$F$687,0,IF(AE2=$F$687,SUM(AE686:$AV$686),AE686))</f>
        <v>0</v>
      </c>
      <c r="AF688" s="98">
        <f>IF(AF2&gt;$F$687,0,IF(AF2=$F$687,SUM(AF686:$AV$686),AF686))</f>
        <v>0</v>
      </c>
      <c r="AG688" s="98">
        <f>IF(AG2&gt;$F$687,0,IF(AG2=$F$687,SUM(AG686:$AV$686),AG686))</f>
        <v>0</v>
      </c>
      <c r="AH688" s="98">
        <f>IF(AH2&gt;$F$687,0,IF(AH2=$F$687,SUM(AH686:$AV$686),AH686))</f>
        <v>0</v>
      </c>
      <c r="AI688" s="98">
        <f>IF(AI2&gt;$F$687,0,IF(AI2=$F$687,SUM(AI686:$AV$686),AI686))</f>
        <v>0</v>
      </c>
      <c r="AJ688" s="98">
        <f>IF(AJ2&gt;$F$687,0,IF(AJ2=$F$687,SUM(AJ686:$AV$686),AJ686))</f>
        <v>0</v>
      </c>
      <c r="AK688" s="98">
        <f>IF(AK2&gt;$F$687,0,IF(AK2=$F$687,SUM(AK686:$AV$686),AK686))</f>
        <v>0</v>
      </c>
      <c r="AL688" s="98">
        <f>IF(AL2&gt;$F$687,0,IF(AL2=$F$687,SUM(AL686:$AV$686),AL686))</f>
        <v>0</v>
      </c>
      <c r="AM688" s="98">
        <f>IF(AM2&gt;$F$687,0,IF(AM2=$F$687,SUM(AM686:$AV$686),AM686))</f>
        <v>0</v>
      </c>
      <c r="AN688" s="98">
        <f>IF(AN2&gt;$F$687,0,IF(AN2=$F$687,SUM(AN686:$AV$686),AN686))</f>
        <v>0</v>
      </c>
      <c r="AO688" s="98">
        <f>IF(AO2&gt;$F$687,0,IF(AO2=$F$687,SUM(AO686:$AV$686),AO686))</f>
        <v>0</v>
      </c>
      <c r="AP688" s="98">
        <f>IF(AP2&gt;$F$687,0,IF(AP2=$F$687,SUM(AP686:$AV$686),AP686))</f>
        <v>0</v>
      </c>
      <c r="AQ688" s="98">
        <f>IF(AQ2&gt;$F$687,0,IF(AQ2=$F$687,SUM(AQ686:$AV$686),AQ686))</f>
        <v>0</v>
      </c>
      <c r="AR688" s="98">
        <f>IF(AR2&gt;$F$687,0,IF(AR2=$F$687,SUM(AR686:$AV$686),AR686))</f>
        <v>0</v>
      </c>
      <c r="AS688" s="98">
        <f>IF(AS2&gt;$F$687,0,IF(AS2=$F$687,SUM(AS686:$AV$686),AS686))</f>
        <v>0</v>
      </c>
      <c r="AT688" s="98">
        <f>IF(AT2&gt;$F$687,0,IF(AT2=$F$687,SUM(AT686:$AV$686),AT686))</f>
        <v>0</v>
      </c>
      <c r="AU688" s="98">
        <f>IF(AU2&gt;$F$687,0,IF(AU2=$F$687,SUM(AU686:$AV$686),AU686))</f>
        <v>0</v>
      </c>
      <c r="AV688" s="98">
        <f>IF(AV2&gt;$F$687,0,IF(AV2=$F$687,SUM(AV686:$AV$686),AV686))</f>
        <v>0</v>
      </c>
    </row>
    <row r="689" spans="1:48" s="229" customFormat="1" ht="15" customHeight="1">
      <c r="A689" s="385"/>
      <c r="B689" s="357"/>
      <c r="C689" s="366"/>
      <c r="D689" s="317"/>
      <c r="E689" s="98"/>
      <c r="F689" s="98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  <c r="AA689" s="98"/>
      <c r="AB689" s="98"/>
      <c r="AC689" s="98"/>
      <c r="AD689" s="98"/>
      <c r="AE689" s="98"/>
      <c r="AF689" s="98"/>
      <c r="AG689" s="98"/>
      <c r="AH689" s="98"/>
      <c r="AI689" s="98"/>
      <c r="AJ689" s="98"/>
      <c r="AK689" s="98"/>
      <c r="AL689" s="98"/>
      <c r="AM689" s="98"/>
      <c r="AN689" s="98"/>
      <c r="AO689" s="98"/>
      <c r="AP689" s="98"/>
      <c r="AQ689" s="98"/>
      <c r="AR689" s="98"/>
      <c r="AS689" s="98"/>
      <c r="AT689" s="98"/>
      <c r="AU689" s="98"/>
      <c r="AV689" s="98"/>
    </row>
    <row r="690" spans="1:48" s="229" customFormat="1" ht="15" customHeight="1">
      <c r="A690" s="385"/>
      <c r="B690" s="357" t="s">
        <v>1245</v>
      </c>
      <c r="C690" s="366"/>
      <c r="D690" s="317"/>
      <c r="E690" s="98"/>
      <c r="F690" s="98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102"/>
      <c r="Y690" s="98"/>
      <c r="Z690" s="98"/>
      <c r="AA690" s="98"/>
      <c r="AB690" s="98"/>
      <c r="AC690" s="98"/>
      <c r="AD690" s="98"/>
      <c r="AE690" s="98"/>
      <c r="AF690" s="98"/>
      <c r="AG690" s="98"/>
      <c r="AH690" s="98"/>
      <c r="AI690" s="98"/>
      <c r="AJ690" s="98"/>
      <c r="AK690" s="98"/>
      <c r="AL690" s="98"/>
      <c r="AM690" s="98"/>
      <c r="AN690" s="98"/>
      <c r="AO690" s="98"/>
      <c r="AP690" s="98"/>
      <c r="AQ690" s="98"/>
      <c r="AR690" s="98"/>
      <c r="AS690" s="98"/>
      <c r="AT690" s="98"/>
      <c r="AU690" s="98"/>
      <c r="AV690" s="98"/>
    </row>
    <row r="691" spans="1:48" s="229" customFormat="1" ht="15" customHeight="1">
      <c r="A691" s="385"/>
      <c r="B691" s="357"/>
      <c r="C691" s="366"/>
      <c r="D691" s="317"/>
      <c r="E691" s="98" t="s">
        <v>707</v>
      </c>
      <c r="F691" s="98"/>
      <c r="G691" s="98" t="s">
        <v>767</v>
      </c>
      <c r="H691" s="98"/>
      <c r="I691" s="98" t="s">
        <v>1251</v>
      </c>
      <c r="J691" s="98"/>
      <c r="K691" s="98"/>
      <c r="L691" s="379"/>
      <c r="M691" s="379"/>
      <c r="N691" s="379"/>
      <c r="O691" s="379"/>
      <c r="P691" s="379"/>
      <c r="Q691" s="379"/>
      <c r="R691" s="379"/>
      <c r="S691" s="379"/>
      <c r="T691" s="379">
        <v>1</v>
      </c>
      <c r="U691" s="379">
        <v>1</v>
      </c>
      <c r="V691" s="379">
        <v>1</v>
      </c>
      <c r="W691" s="379">
        <v>1</v>
      </c>
      <c r="X691" s="379">
        <v>1</v>
      </c>
      <c r="Y691" s="379">
        <v>1</v>
      </c>
      <c r="Z691" s="379">
        <v>1</v>
      </c>
      <c r="AA691" s="379">
        <v>1</v>
      </c>
      <c r="AB691" s="379">
        <v>1</v>
      </c>
      <c r="AC691" s="379"/>
      <c r="AD691" s="379"/>
      <c r="AE691" s="379"/>
      <c r="AF691" s="379"/>
      <c r="AG691" s="379"/>
      <c r="AH691" s="379"/>
      <c r="AI691" s="379"/>
      <c r="AJ691" s="379"/>
      <c r="AK691" s="379"/>
      <c r="AL691" s="379"/>
      <c r="AM691" s="379"/>
      <c r="AN691" s="379"/>
      <c r="AO691" s="379"/>
      <c r="AP691" s="379"/>
      <c r="AQ691" s="379"/>
      <c r="AR691" s="379"/>
      <c r="AS691" s="379"/>
      <c r="AT691" s="379"/>
      <c r="AU691" s="379"/>
      <c r="AV691" s="379"/>
    </row>
    <row r="692" spans="1:48" s="229" customFormat="1" ht="15" customHeight="1">
      <c r="A692" s="385"/>
      <c r="B692" s="357"/>
      <c r="C692" s="366"/>
      <c r="D692" s="317"/>
      <c r="E692" s="176" t="str">
        <f xml:space="preserve"> 'T&amp;E'!E$9</f>
        <v>Model calendar year</v>
      </c>
      <c r="F692" s="176">
        <f xml:space="preserve"> 'T&amp;E'!F$9</f>
        <v>0</v>
      </c>
      <c r="G692" s="176" t="str">
        <f xml:space="preserve"> 'T&amp;E'!G$9</f>
        <v>year</v>
      </c>
      <c r="H692" s="176">
        <f xml:space="preserve"> 'T&amp;E'!H$9</f>
        <v>0</v>
      </c>
      <c r="I692" s="176">
        <f xml:space="preserve"> 'T&amp;E'!I$9</f>
        <v>0</v>
      </c>
      <c r="J692" s="176">
        <f xml:space="preserve"> 'T&amp;E'!J$9</f>
        <v>0</v>
      </c>
      <c r="K692" s="176">
        <f xml:space="preserve"> 'T&amp;E'!K$9</f>
        <v>0</v>
      </c>
      <c r="L692" s="176">
        <f xml:space="preserve"> 'T&amp;E'!L$9</f>
        <v>2014</v>
      </c>
      <c r="M692" s="176">
        <f xml:space="preserve"> 'T&amp;E'!M$9</f>
        <v>2015</v>
      </c>
      <c r="N692" s="176">
        <f xml:space="preserve"> 'T&amp;E'!N$9</f>
        <v>2016</v>
      </c>
      <c r="O692" s="176">
        <f xml:space="preserve"> 'T&amp;E'!O$9</f>
        <v>2017</v>
      </c>
      <c r="P692" s="176">
        <f xml:space="preserve"> 'T&amp;E'!P$9</f>
        <v>2018</v>
      </c>
      <c r="Q692" s="176">
        <f xml:space="preserve"> 'T&amp;E'!Q$9</f>
        <v>2019</v>
      </c>
      <c r="R692" s="176">
        <f xml:space="preserve"> 'T&amp;E'!R$9</f>
        <v>2020</v>
      </c>
      <c r="S692" s="176">
        <f xml:space="preserve"> 'T&amp;E'!S$9</f>
        <v>2021</v>
      </c>
      <c r="T692" s="176">
        <f xml:space="preserve"> 'T&amp;E'!T$9</f>
        <v>2022</v>
      </c>
      <c r="U692" s="176">
        <f xml:space="preserve"> 'T&amp;E'!U$9</f>
        <v>2023</v>
      </c>
      <c r="V692" s="176">
        <f xml:space="preserve"> 'T&amp;E'!V$9</f>
        <v>2024</v>
      </c>
      <c r="W692" s="176">
        <f xml:space="preserve"> 'T&amp;E'!W$9</f>
        <v>2025</v>
      </c>
      <c r="X692" s="176">
        <f xml:space="preserve"> 'T&amp;E'!X$9</f>
        <v>2026</v>
      </c>
      <c r="Y692" s="176">
        <f xml:space="preserve"> 'T&amp;E'!Y$9</f>
        <v>2027</v>
      </c>
      <c r="Z692" s="176">
        <f xml:space="preserve"> 'T&amp;E'!Z$9</f>
        <v>2028</v>
      </c>
      <c r="AA692" s="176">
        <f xml:space="preserve"> 'T&amp;E'!AA$9</f>
        <v>2029</v>
      </c>
      <c r="AB692" s="176">
        <f xml:space="preserve"> 'T&amp;E'!AB$9</f>
        <v>2030</v>
      </c>
      <c r="AC692" s="176">
        <f xml:space="preserve"> 'T&amp;E'!AC$9</f>
        <v>2031</v>
      </c>
      <c r="AD692" s="176">
        <f xml:space="preserve"> 'T&amp;E'!AD$9</f>
        <v>2032</v>
      </c>
      <c r="AE692" s="176">
        <f xml:space="preserve"> 'T&amp;E'!AE$9</f>
        <v>2033</v>
      </c>
      <c r="AF692" s="176">
        <f xml:space="preserve"> 'T&amp;E'!AF$9</f>
        <v>2034</v>
      </c>
      <c r="AG692" s="176">
        <f xml:space="preserve"> 'T&amp;E'!AG$9</f>
        <v>2035</v>
      </c>
      <c r="AH692" s="176">
        <f xml:space="preserve"> 'T&amp;E'!AH$9</f>
        <v>2036</v>
      </c>
      <c r="AI692" s="176">
        <f xml:space="preserve"> 'T&amp;E'!AI$9</f>
        <v>2037</v>
      </c>
      <c r="AJ692" s="176">
        <f xml:space="preserve"> 'T&amp;E'!AJ$9</f>
        <v>2038</v>
      </c>
      <c r="AK692" s="176">
        <f xml:space="preserve"> 'T&amp;E'!AK$9</f>
        <v>2039</v>
      </c>
      <c r="AL692" s="176">
        <f xml:space="preserve"> 'T&amp;E'!AL$9</f>
        <v>2040</v>
      </c>
      <c r="AM692" s="176">
        <f xml:space="preserve"> 'T&amp;E'!AM$9</f>
        <v>2041</v>
      </c>
      <c r="AN692" s="176">
        <f xml:space="preserve"> 'T&amp;E'!AN$9</f>
        <v>2042</v>
      </c>
      <c r="AO692" s="176">
        <f xml:space="preserve"> 'T&amp;E'!AO$9</f>
        <v>2043</v>
      </c>
      <c r="AP692" s="176">
        <f xml:space="preserve"> 'T&amp;E'!AP$9</f>
        <v>2044</v>
      </c>
      <c r="AQ692" s="176">
        <f xml:space="preserve"> 'T&amp;E'!AQ$9</f>
        <v>2045</v>
      </c>
      <c r="AR692" s="176">
        <f xml:space="preserve"> 'T&amp;E'!AR$9</f>
        <v>2046</v>
      </c>
      <c r="AS692" s="176">
        <f xml:space="preserve"> 'T&amp;E'!AS$9</f>
        <v>2047</v>
      </c>
      <c r="AT692" s="176">
        <f xml:space="preserve"> 'T&amp;E'!AT$9</f>
        <v>2048</v>
      </c>
      <c r="AU692" s="176">
        <f xml:space="preserve"> 'T&amp;E'!AU$9</f>
        <v>2049</v>
      </c>
      <c r="AV692" s="176">
        <f xml:space="preserve"> 'T&amp;E'!AV$9</f>
        <v>2050</v>
      </c>
    </row>
    <row r="693" spans="1:48" s="229" customFormat="1" ht="15" customHeight="1">
      <c r="A693" s="385"/>
      <c r="B693" s="357"/>
      <c r="C693" s="366"/>
      <c r="D693" s="317"/>
      <c r="E693" s="418" t="s">
        <v>705</v>
      </c>
      <c r="F693" s="418"/>
      <c r="G693" s="418" t="s">
        <v>29</v>
      </c>
      <c r="H693" s="418"/>
      <c r="I693" s="418"/>
      <c r="J693" s="418"/>
      <c r="K693" s="418"/>
      <c r="L693" s="418">
        <f xml:space="preserve"> K697</f>
        <v>0</v>
      </c>
      <c r="M693" s="418">
        <f t="shared" ref="M693:W693" si="315" xml:space="preserve"> L697</f>
        <v>0</v>
      </c>
      <c r="N693" s="418">
        <f t="shared" si="315"/>
        <v>0</v>
      </c>
      <c r="O693" s="418">
        <f t="shared" si="315"/>
        <v>0</v>
      </c>
      <c r="P693" s="418">
        <f t="shared" si="315"/>
        <v>0</v>
      </c>
      <c r="Q693" s="418">
        <f t="shared" si="315"/>
        <v>0</v>
      </c>
      <c r="R693" s="418">
        <f t="shared" si="315"/>
        <v>175.6</v>
      </c>
      <c r="S693" s="418">
        <f t="shared" si="315"/>
        <v>260.83999999999997</v>
      </c>
      <c r="T693" s="418">
        <f t="shared" si="315"/>
        <v>318.56599999999997</v>
      </c>
      <c r="U693" s="418">
        <f t="shared" si="315"/>
        <v>342.88968888888883</v>
      </c>
      <c r="V693" s="418">
        <f t="shared" si="315"/>
        <v>350.37024944444443</v>
      </c>
      <c r="W693" s="418">
        <f t="shared" si="315"/>
        <v>368.25067445238091</v>
      </c>
      <c r="X693" s="418">
        <f t="shared" ref="X693:AV693" si="316" xml:space="preserve"> W697</f>
        <v>362.65689635019834</v>
      </c>
      <c r="Y693" s="418">
        <f t="shared" si="316"/>
        <v>356.68434464218251</v>
      </c>
      <c r="Z693" s="418">
        <f t="shared" si="316"/>
        <v>313.94024725388238</v>
      </c>
      <c r="AA693" s="418">
        <f t="shared" si="316"/>
        <v>252.88752289464315</v>
      </c>
      <c r="AB693" s="418">
        <f t="shared" si="316"/>
        <v>149.26032566441981</v>
      </c>
      <c r="AC693" s="418">
        <f t="shared" si="316"/>
        <v>0</v>
      </c>
      <c r="AD693" s="418">
        <f t="shared" si="316"/>
        <v>0</v>
      </c>
      <c r="AE693" s="418">
        <f t="shared" si="316"/>
        <v>0</v>
      </c>
      <c r="AF693" s="418">
        <f t="shared" si="316"/>
        <v>0</v>
      </c>
      <c r="AG693" s="418">
        <f t="shared" si="316"/>
        <v>0</v>
      </c>
      <c r="AH693" s="418">
        <f t="shared" si="316"/>
        <v>0</v>
      </c>
      <c r="AI693" s="418">
        <f t="shared" si="316"/>
        <v>0</v>
      </c>
      <c r="AJ693" s="418">
        <f t="shared" si="316"/>
        <v>0</v>
      </c>
      <c r="AK693" s="418">
        <f t="shared" si="316"/>
        <v>0</v>
      </c>
      <c r="AL693" s="418">
        <f t="shared" si="316"/>
        <v>0</v>
      </c>
      <c r="AM693" s="418">
        <f t="shared" si="316"/>
        <v>0</v>
      </c>
      <c r="AN693" s="418">
        <f t="shared" si="316"/>
        <v>0</v>
      </c>
      <c r="AO693" s="418">
        <f t="shared" si="316"/>
        <v>0</v>
      </c>
      <c r="AP693" s="418">
        <f t="shared" si="316"/>
        <v>0</v>
      </c>
      <c r="AQ693" s="418">
        <f t="shared" si="316"/>
        <v>0</v>
      </c>
      <c r="AR693" s="418">
        <f t="shared" si="316"/>
        <v>0</v>
      </c>
      <c r="AS693" s="418">
        <f t="shared" si="316"/>
        <v>0</v>
      </c>
      <c r="AT693" s="418">
        <f t="shared" si="316"/>
        <v>0</v>
      </c>
      <c r="AU693" s="418">
        <f t="shared" si="316"/>
        <v>0</v>
      </c>
      <c r="AV693" s="418">
        <f t="shared" si="316"/>
        <v>0</v>
      </c>
    </row>
    <row r="694" spans="1:48" s="229" customFormat="1" ht="15" customHeight="1">
      <c r="A694" s="385"/>
      <c r="B694" s="357"/>
      <c r="C694" s="366"/>
      <c r="D694" s="317"/>
      <c r="E694" s="175" t="s">
        <v>1244</v>
      </c>
      <c r="F694" s="175">
        <f xml:space="preserve"> SUM(L694:AV694)</f>
        <v>487.79189243865602</v>
      </c>
      <c r="G694" s="175" t="s">
        <v>29</v>
      </c>
      <c r="H694" s="175"/>
      <c r="I694" s="175"/>
      <c r="J694" s="175">
        <f xml:space="preserve"> SUM(L694:AV694)</f>
        <v>487.79189243865602</v>
      </c>
      <c r="K694" s="480"/>
      <c r="L694" s="175">
        <f t="shared" ref="L694:AV694" si="317">IF($F$668 = "Computed", L$662, L$666 ) * L693</f>
        <v>0</v>
      </c>
      <c r="M694" s="175">
        <f t="shared" si="317"/>
        <v>0</v>
      </c>
      <c r="N694" s="175">
        <f t="shared" si="317"/>
        <v>0</v>
      </c>
      <c r="O694" s="175">
        <f t="shared" si="317"/>
        <v>0</v>
      </c>
      <c r="P694" s="175">
        <f t="shared" si="317"/>
        <v>0</v>
      </c>
      <c r="Q694" s="175">
        <f t="shared" si="317"/>
        <v>0</v>
      </c>
      <c r="R694" s="175">
        <f t="shared" si="317"/>
        <v>26.34</v>
      </c>
      <c r="S694" s="175">
        <f t="shared" si="317"/>
        <v>39.125999999999998</v>
      </c>
      <c r="T694" s="175">
        <f t="shared" si="317"/>
        <v>47.784899999999993</v>
      </c>
      <c r="U694" s="175">
        <f t="shared" si="317"/>
        <v>51.433453333333325</v>
      </c>
      <c r="V694" s="175">
        <f t="shared" si="317"/>
        <v>52.55553741666666</v>
      </c>
      <c r="W694" s="175">
        <f t="shared" si="317"/>
        <v>55.237601167857136</v>
      </c>
      <c r="X694" s="175">
        <f t="shared" si="317"/>
        <v>54.398534452529752</v>
      </c>
      <c r="Y694" s="175">
        <f t="shared" si="317"/>
        <v>53.502651696327376</v>
      </c>
      <c r="Z694" s="175">
        <f t="shared" si="317"/>
        <v>47.091037088082352</v>
      </c>
      <c r="AA694" s="175">
        <f t="shared" si="317"/>
        <v>37.933128434196469</v>
      </c>
      <c r="AB694" s="175">
        <f t="shared" si="317"/>
        <v>22.38904884966297</v>
      </c>
      <c r="AC694" s="175">
        <f t="shared" si="317"/>
        <v>0</v>
      </c>
      <c r="AD694" s="175">
        <f t="shared" si="317"/>
        <v>0</v>
      </c>
      <c r="AE694" s="175">
        <f t="shared" si="317"/>
        <v>0</v>
      </c>
      <c r="AF694" s="175">
        <f t="shared" si="317"/>
        <v>0</v>
      </c>
      <c r="AG694" s="175">
        <f t="shared" si="317"/>
        <v>0</v>
      </c>
      <c r="AH694" s="175">
        <f t="shared" si="317"/>
        <v>0</v>
      </c>
      <c r="AI694" s="175">
        <f t="shared" si="317"/>
        <v>0</v>
      </c>
      <c r="AJ694" s="175">
        <f t="shared" si="317"/>
        <v>0</v>
      </c>
      <c r="AK694" s="175">
        <f t="shared" si="317"/>
        <v>0</v>
      </c>
      <c r="AL694" s="175">
        <f t="shared" si="317"/>
        <v>0</v>
      </c>
      <c r="AM694" s="175">
        <f t="shared" si="317"/>
        <v>0</v>
      </c>
      <c r="AN694" s="175">
        <f t="shared" si="317"/>
        <v>0</v>
      </c>
      <c r="AO694" s="175">
        <f t="shared" si="317"/>
        <v>0</v>
      </c>
      <c r="AP694" s="175">
        <f t="shared" si="317"/>
        <v>0</v>
      </c>
      <c r="AQ694" s="175">
        <f t="shared" si="317"/>
        <v>0</v>
      </c>
      <c r="AR694" s="175">
        <f t="shared" si="317"/>
        <v>0</v>
      </c>
      <c r="AS694" s="175">
        <f t="shared" si="317"/>
        <v>0</v>
      </c>
      <c r="AT694" s="175">
        <f t="shared" si="317"/>
        <v>0</v>
      </c>
      <c r="AU694" s="175">
        <f t="shared" si="317"/>
        <v>0</v>
      </c>
      <c r="AV694" s="175">
        <f t="shared" si="317"/>
        <v>0</v>
      </c>
    </row>
    <row r="695" spans="1:48" s="186" customFormat="1" ht="15" customHeight="1">
      <c r="D695" s="857"/>
      <c r="E695" s="831" t="str">
        <f t="shared" ref="E695:AV695" si="318" xml:space="preserve"> E$688</f>
        <v>Adjusted Drawdowns</v>
      </c>
      <c r="F695" s="831">
        <f t="shared" si="318"/>
        <v>0</v>
      </c>
      <c r="G695" s="831" t="str">
        <f t="shared" si="318"/>
        <v>$ mn</v>
      </c>
      <c r="H695" s="831">
        <f t="shared" si="318"/>
        <v>0</v>
      </c>
      <c r="I695" s="831">
        <f t="shared" si="318"/>
        <v>0</v>
      </c>
      <c r="J695" s="831">
        <f t="shared" si="318"/>
        <v>433.5</v>
      </c>
      <c r="K695" s="831">
        <f t="shared" si="318"/>
        <v>0</v>
      </c>
      <c r="L695" s="831">
        <f t="shared" si="318"/>
        <v>0</v>
      </c>
      <c r="M695" s="831">
        <f t="shared" si="318"/>
        <v>0</v>
      </c>
      <c r="N695" s="831">
        <f t="shared" si="318"/>
        <v>0</v>
      </c>
      <c r="O695" s="831">
        <f t="shared" si="318"/>
        <v>0</v>
      </c>
      <c r="P695" s="831">
        <f t="shared" si="318"/>
        <v>0</v>
      </c>
      <c r="Q695" s="831">
        <f t="shared" si="318"/>
        <v>175.6</v>
      </c>
      <c r="R695" s="831">
        <f t="shared" si="318"/>
        <v>58.9</v>
      </c>
      <c r="S695" s="831">
        <f t="shared" si="318"/>
        <v>18.600000000000001</v>
      </c>
      <c r="T695" s="831">
        <f t="shared" si="318"/>
        <v>19.399999999999999</v>
      </c>
      <c r="U695" s="831">
        <f t="shared" si="318"/>
        <v>6.1</v>
      </c>
      <c r="V695" s="831">
        <f t="shared" si="318"/>
        <v>26.7</v>
      </c>
      <c r="W695" s="831">
        <f t="shared" si="318"/>
        <v>11.7</v>
      </c>
      <c r="X695" s="831">
        <f t="shared" si="318"/>
        <v>28.8</v>
      </c>
      <c r="Y695" s="831">
        <f t="shared" si="318"/>
        <v>8.4</v>
      </c>
      <c r="Z695" s="831">
        <f t="shared" si="318"/>
        <v>18.3</v>
      </c>
      <c r="AA695" s="831">
        <f t="shared" si="318"/>
        <v>7.7</v>
      </c>
      <c r="AB695" s="831">
        <f t="shared" si="318"/>
        <v>53.3</v>
      </c>
      <c r="AC695" s="831">
        <f t="shared" si="318"/>
        <v>0</v>
      </c>
      <c r="AD695" s="831">
        <f t="shared" si="318"/>
        <v>0</v>
      </c>
      <c r="AE695" s="831">
        <f t="shared" si="318"/>
        <v>0</v>
      </c>
      <c r="AF695" s="831">
        <f t="shared" si="318"/>
        <v>0</v>
      </c>
      <c r="AG695" s="831">
        <f t="shared" si="318"/>
        <v>0</v>
      </c>
      <c r="AH695" s="831">
        <f t="shared" si="318"/>
        <v>0</v>
      </c>
      <c r="AI695" s="831">
        <f t="shared" si="318"/>
        <v>0</v>
      </c>
      <c r="AJ695" s="831">
        <f t="shared" si="318"/>
        <v>0</v>
      </c>
      <c r="AK695" s="831">
        <f t="shared" si="318"/>
        <v>0</v>
      </c>
      <c r="AL695" s="831">
        <f t="shared" si="318"/>
        <v>0</v>
      </c>
      <c r="AM695" s="831">
        <f t="shared" si="318"/>
        <v>0</v>
      </c>
      <c r="AN695" s="831">
        <f t="shared" si="318"/>
        <v>0</v>
      </c>
      <c r="AO695" s="831">
        <f t="shared" si="318"/>
        <v>0</v>
      </c>
      <c r="AP695" s="831">
        <f t="shared" si="318"/>
        <v>0</v>
      </c>
      <c r="AQ695" s="831">
        <f t="shared" si="318"/>
        <v>0</v>
      </c>
      <c r="AR695" s="831">
        <f t="shared" si="318"/>
        <v>0</v>
      </c>
      <c r="AS695" s="831">
        <f t="shared" si="318"/>
        <v>0</v>
      </c>
      <c r="AT695" s="831">
        <f t="shared" si="318"/>
        <v>0</v>
      </c>
      <c r="AU695" s="831">
        <f t="shared" si="318"/>
        <v>0</v>
      </c>
      <c r="AV695" s="831">
        <f t="shared" si="318"/>
        <v>0</v>
      </c>
    </row>
    <row r="696" spans="1:48" s="98" customFormat="1" ht="15" customHeight="1">
      <c r="A696" s="385"/>
      <c r="B696" s="357"/>
      <c r="C696" s="366"/>
      <c r="D696" s="317"/>
      <c r="E696" s="175" t="s">
        <v>1243</v>
      </c>
      <c r="F696" s="175"/>
      <c r="G696" s="175" t="s">
        <v>29</v>
      </c>
      <c r="H696" s="175"/>
      <c r="I696" s="175"/>
      <c r="J696" s="175">
        <f xml:space="preserve"> SUM(L696:AV696)</f>
        <v>921.29189243865585</v>
      </c>
      <c r="K696" s="175"/>
      <c r="L696" s="175">
        <f xml:space="preserve"> IFERROR((L693 + L694 + L695) * L691 / SUM(L691:$AV691), 0)</f>
        <v>0</v>
      </c>
      <c r="M696" s="175">
        <f xml:space="preserve"> IFERROR((M693 + M694 + M695) * M691 / SUM(M691:$AV691), 0)</f>
        <v>0</v>
      </c>
      <c r="N696" s="175">
        <f xml:space="preserve"> IFERROR((N693 + N694 + N695) * N691 / SUM(N691:$AV691), 0)</f>
        <v>0</v>
      </c>
      <c r="O696" s="175">
        <f xml:space="preserve"> IFERROR((O693 + O694 + O695) * O691 / SUM(O691:$AV691), 0)</f>
        <v>0</v>
      </c>
      <c r="P696" s="175">
        <f xml:space="preserve"> IFERROR((P693 + P694 + P695) * P691 / SUM(P691:$AV691), 0)</f>
        <v>0</v>
      </c>
      <c r="Q696" s="175">
        <f xml:space="preserve"> IFERROR((Q693 + Q694 + Q695) * Q691 / SUM(Q691:$AV691), 0)</f>
        <v>0</v>
      </c>
      <c r="R696" s="175">
        <f xml:space="preserve"> IFERROR((R693 + R694 + R695) * R691 / SUM(R691:$AV691), 0)</f>
        <v>0</v>
      </c>
      <c r="S696" s="175">
        <f xml:space="preserve"> IFERROR((S693 + S694 + S695) * S691 / SUM(S691:$AV691), 0)</f>
        <v>0</v>
      </c>
      <c r="T696" s="175">
        <f xml:space="preserve"> IFERROR((T693 + T694 + T695) * T691 / SUM(T691:$AV691), 0)</f>
        <v>42.861211111111103</v>
      </c>
      <c r="U696" s="175">
        <f xml:space="preserve"> IFERROR((U693 + U694 + U695) * U691 / SUM(U691:$AV691), 0)</f>
        <v>50.052892777777771</v>
      </c>
      <c r="V696" s="175">
        <f xml:space="preserve"> IFERROR((V693 + V694 + V695) * V691 / SUM(V691:$AV691), 0)</f>
        <v>61.375112408730153</v>
      </c>
      <c r="W696" s="175">
        <f xml:space="preserve"> IFERROR((W693 + W694 + W695) * W691 / SUM(W691:$AV691), 0)</f>
        <v>72.531379270039665</v>
      </c>
      <c r="X696" s="175">
        <f xml:space="preserve"> IFERROR((X693 + X694 + X695) * X691 / SUM(X691:$AV691), 0)</f>
        <v>89.171086160545627</v>
      </c>
      <c r="Y696" s="175">
        <f xml:space="preserve"> IFERROR((Y693 + Y694 + Y695) * Y691 / SUM(Y691:$AV691), 0)</f>
        <v>104.64674908462746</v>
      </c>
      <c r="Z696" s="175">
        <f xml:space="preserve"> IFERROR((Z693 + Z694 + Z695) * Z691 / SUM(Z691:$AV691), 0)</f>
        <v>126.44376144732159</v>
      </c>
      <c r="AA696" s="175">
        <f xml:space="preserve"> IFERROR((AA693 + AA694 + AA695) * AA691 / SUM(AA691:$AV691), 0)</f>
        <v>149.26032566441981</v>
      </c>
      <c r="AB696" s="175">
        <f xml:space="preserve"> IFERROR((AB693 + AB694 + AB695) * AB691 / SUM(AB691:$AV691), 0)</f>
        <v>224.94937451408276</v>
      </c>
      <c r="AC696" s="175">
        <f xml:space="preserve"> IFERROR((AC693 + AC694 + AC695) * AC691 / SUM(AC691:$AV691), 0)</f>
        <v>0</v>
      </c>
      <c r="AD696" s="175">
        <f xml:space="preserve"> IFERROR((AD693 + AD694 + AD695) * AD691 / SUM(AD691:$AV691), 0)</f>
        <v>0</v>
      </c>
      <c r="AE696" s="175">
        <f xml:space="preserve"> IFERROR((AE693 + AE694 + AE695) * AE691 / SUM(AE691:$AV691), 0)</f>
        <v>0</v>
      </c>
      <c r="AF696" s="175">
        <f xml:space="preserve"> IFERROR((AF693 + AF694 + AF695) * AF691 / SUM(AF691:$AV691), 0)</f>
        <v>0</v>
      </c>
      <c r="AG696" s="175">
        <f xml:space="preserve"> IFERROR((AG693 + AG694 + AG695) * AG691 / SUM(AG691:$AV691), 0)</f>
        <v>0</v>
      </c>
      <c r="AH696" s="175">
        <f xml:space="preserve"> IFERROR((AH693 + AH694 + AH695) * AH691 / SUM(AH691:$AV691), 0)</f>
        <v>0</v>
      </c>
      <c r="AI696" s="175">
        <f xml:space="preserve"> IFERROR((AI693 + AI694 + AI695) * AI691 / SUM(AI691:$AV691), 0)</f>
        <v>0</v>
      </c>
      <c r="AJ696" s="175">
        <f xml:space="preserve"> IFERROR((AJ693 + AJ694 + AJ695) * AJ691 / SUM(AJ691:$AV691), 0)</f>
        <v>0</v>
      </c>
      <c r="AK696" s="175">
        <f xml:space="preserve"> IFERROR((AK693 + AK694 + AK695) * AK691 / SUM(AK691:$AV691), 0)</f>
        <v>0</v>
      </c>
      <c r="AL696" s="175">
        <f xml:space="preserve"> IFERROR((AL693 + AL694 + AL695) * AL691 / SUM(AL691:$AV691), 0)</f>
        <v>0</v>
      </c>
      <c r="AM696" s="175">
        <f xml:space="preserve"> IFERROR((AM693 + AM694 + AM695) * AM691 / SUM(AM691:$AV691), 0)</f>
        <v>0</v>
      </c>
      <c r="AN696" s="175">
        <f xml:space="preserve"> IFERROR((AN693 + AN694 + AN695) * AN691 / SUM(AN691:$AV691), 0)</f>
        <v>0</v>
      </c>
      <c r="AO696" s="175">
        <f xml:space="preserve"> IFERROR((AO693 + AO694 + AO695) * AO691 / SUM(AO691:$AV691), 0)</f>
        <v>0</v>
      </c>
      <c r="AP696" s="175">
        <f xml:space="preserve"> IFERROR((AP693 + AP694 + AP695) * AP691 / SUM(AP691:$AV691), 0)</f>
        <v>0</v>
      </c>
      <c r="AQ696" s="175">
        <f xml:space="preserve"> IFERROR((AQ693 + AQ694 + AQ695) * AQ691 / SUM(AQ691:$AV691), 0)</f>
        <v>0</v>
      </c>
      <c r="AR696" s="175">
        <f xml:space="preserve"> IFERROR((AR693 + AR694 + AR695) * AR691 / SUM(AR691:$AV691), 0)</f>
        <v>0</v>
      </c>
      <c r="AS696" s="175">
        <f xml:space="preserve"> IFERROR((AS693 + AS694 + AS695) * AS691 / SUM(AS691:$AV691), 0)</f>
        <v>0</v>
      </c>
      <c r="AT696" s="175">
        <f xml:space="preserve"> IFERROR((AT693 + AT694 + AT695) * AT691 / SUM(AT691:$AV691), 0)</f>
        <v>0</v>
      </c>
      <c r="AU696" s="175">
        <f xml:space="preserve"> IFERROR((AU693 + AU694 + AU695) * AU691 / SUM(AU691:$AV691), 0)</f>
        <v>0</v>
      </c>
      <c r="AV696" s="175">
        <f xml:space="preserve"> IFERROR((AV693 + AV694 + AV695) * AV691 / SUM(AV691:$AV691), 0)</f>
        <v>0</v>
      </c>
    </row>
    <row r="697" spans="1:48" s="229" customFormat="1" ht="15" customHeight="1">
      <c r="A697" s="385"/>
      <c r="B697" s="357"/>
      <c r="C697" s="366"/>
      <c r="D697" s="317"/>
      <c r="E697" s="419" t="s">
        <v>706</v>
      </c>
      <c r="F697" s="419"/>
      <c r="G697" s="419" t="s">
        <v>29</v>
      </c>
      <c r="H697" s="419"/>
      <c r="I697" s="419"/>
      <c r="J697" s="419"/>
      <c r="K697" s="420"/>
      <c r="L697" s="419">
        <f t="shared" ref="L697:AV697" si="319" xml:space="preserve"> L693 + L694 + L695 - L696</f>
        <v>0</v>
      </c>
      <c r="M697" s="419">
        <f t="shared" si="319"/>
        <v>0</v>
      </c>
      <c r="N697" s="419">
        <f t="shared" si="319"/>
        <v>0</v>
      </c>
      <c r="O697" s="419">
        <f t="shared" si="319"/>
        <v>0</v>
      </c>
      <c r="P697" s="419">
        <f t="shared" si="319"/>
        <v>0</v>
      </c>
      <c r="Q697" s="419">
        <f t="shared" si="319"/>
        <v>175.6</v>
      </c>
      <c r="R697" s="419">
        <f t="shared" si="319"/>
        <v>260.83999999999997</v>
      </c>
      <c r="S697" s="419">
        <f t="shared" si="319"/>
        <v>318.56599999999997</v>
      </c>
      <c r="T697" s="419">
        <f t="shared" si="319"/>
        <v>342.88968888888883</v>
      </c>
      <c r="U697" s="419">
        <f t="shared" si="319"/>
        <v>350.37024944444443</v>
      </c>
      <c r="V697" s="419">
        <f t="shared" si="319"/>
        <v>368.25067445238091</v>
      </c>
      <c r="W697" s="419">
        <f t="shared" si="319"/>
        <v>362.65689635019834</v>
      </c>
      <c r="X697" s="419">
        <f t="shared" si="319"/>
        <v>356.68434464218251</v>
      </c>
      <c r="Y697" s="419">
        <f t="shared" si="319"/>
        <v>313.94024725388238</v>
      </c>
      <c r="Z697" s="419">
        <f t="shared" si="319"/>
        <v>252.88752289464315</v>
      </c>
      <c r="AA697" s="419">
        <f t="shared" si="319"/>
        <v>149.26032566441981</v>
      </c>
      <c r="AB697" s="419">
        <f t="shared" si="319"/>
        <v>0</v>
      </c>
      <c r="AC697" s="419">
        <f t="shared" si="319"/>
        <v>0</v>
      </c>
      <c r="AD697" s="419">
        <f t="shared" si="319"/>
        <v>0</v>
      </c>
      <c r="AE697" s="419">
        <f t="shared" si="319"/>
        <v>0</v>
      </c>
      <c r="AF697" s="419">
        <f t="shared" si="319"/>
        <v>0</v>
      </c>
      <c r="AG697" s="419">
        <f t="shared" si="319"/>
        <v>0</v>
      </c>
      <c r="AH697" s="419">
        <f t="shared" si="319"/>
        <v>0</v>
      </c>
      <c r="AI697" s="419">
        <f t="shared" si="319"/>
        <v>0</v>
      </c>
      <c r="AJ697" s="419">
        <f t="shared" si="319"/>
        <v>0</v>
      </c>
      <c r="AK697" s="419">
        <f t="shared" si="319"/>
        <v>0</v>
      </c>
      <c r="AL697" s="419">
        <f t="shared" si="319"/>
        <v>0</v>
      </c>
      <c r="AM697" s="419">
        <f t="shared" si="319"/>
        <v>0</v>
      </c>
      <c r="AN697" s="419">
        <f t="shared" si="319"/>
        <v>0</v>
      </c>
      <c r="AO697" s="419">
        <f t="shared" si="319"/>
        <v>0</v>
      </c>
      <c r="AP697" s="419">
        <f t="shared" si="319"/>
        <v>0</v>
      </c>
      <c r="AQ697" s="419">
        <f t="shared" si="319"/>
        <v>0</v>
      </c>
      <c r="AR697" s="419">
        <f t="shared" si="319"/>
        <v>0</v>
      </c>
      <c r="AS697" s="419">
        <f t="shared" si="319"/>
        <v>0</v>
      </c>
      <c r="AT697" s="419">
        <f t="shared" si="319"/>
        <v>0</v>
      </c>
      <c r="AU697" s="419">
        <f t="shared" si="319"/>
        <v>0</v>
      </c>
      <c r="AV697" s="419">
        <f t="shared" si="319"/>
        <v>0</v>
      </c>
    </row>
    <row r="698" spans="1:48" s="229" customFormat="1" ht="15" customHeight="1">
      <c r="A698" s="385"/>
      <c r="B698" s="357"/>
      <c r="C698" s="366"/>
      <c r="D698" s="317"/>
      <c r="E698" s="98" t="s">
        <v>752</v>
      </c>
      <c r="F698" s="465">
        <f xml:space="preserve"> J694 + J695 - J696 -X697 + Y693</f>
        <v>0</v>
      </c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269"/>
      <c r="Y698" s="269"/>
      <c r="Z698" s="98"/>
      <c r="AA698" s="98"/>
      <c r="AB698" s="98"/>
      <c r="AC698" s="98"/>
      <c r="AD698" s="98"/>
      <c r="AE698" s="98"/>
      <c r="AF698" s="98"/>
      <c r="AG698" s="98"/>
      <c r="AH698" s="98"/>
      <c r="AI698" s="98"/>
      <c r="AJ698" s="98"/>
      <c r="AK698" s="98"/>
      <c r="AL698" s="98"/>
      <c r="AM698" s="98"/>
      <c r="AN698" s="98"/>
      <c r="AO698" s="98"/>
      <c r="AP698" s="98"/>
      <c r="AQ698" s="98"/>
      <c r="AR698" s="98"/>
      <c r="AS698" s="98"/>
      <c r="AT698" s="98"/>
      <c r="AU698" s="98"/>
      <c r="AV698" s="98"/>
    </row>
    <row r="699" spans="1:48" s="229" customFormat="1" ht="15" customHeight="1">
      <c r="A699" s="385"/>
      <c r="B699" s="357"/>
      <c r="C699" s="366"/>
      <c r="D699" s="317"/>
      <c r="E699" s="98"/>
      <c r="F699" s="98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  <c r="AA699" s="98"/>
      <c r="AB699" s="98"/>
      <c r="AC699" s="98"/>
      <c r="AD699" s="98"/>
      <c r="AE699" s="98"/>
      <c r="AF699" s="98"/>
      <c r="AG699" s="98"/>
      <c r="AH699" s="98"/>
      <c r="AI699" s="98"/>
      <c r="AJ699" s="98"/>
      <c r="AK699" s="98"/>
      <c r="AL699" s="98"/>
      <c r="AM699" s="98"/>
      <c r="AN699" s="98"/>
      <c r="AO699" s="98"/>
      <c r="AP699" s="98"/>
      <c r="AQ699" s="98"/>
      <c r="AR699" s="98"/>
      <c r="AS699" s="98"/>
      <c r="AT699" s="98"/>
      <c r="AU699" s="98"/>
      <c r="AV699" s="98"/>
    </row>
    <row r="700" spans="1:48" s="229" customFormat="1" ht="15" customHeight="1">
      <c r="A700" s="385"/>
      <c r="B700" s="357" t="s">
        <v>1256</v>
      </c>
      <c r="C700" s="366"/>
      <c r="D700" s="317"/>
      <c r="E700" s="98"/>
      <c r="F700" s="98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  <c r="AA700" s="98"/>
      <c r="AB700" s="98"/>
      <c r="AC700" s="98"/>
      <c r="AD700" s="98"/>
      <c r="AE700" s="98"/>
      <c r="AF700" s="98"/>
      <c r="AG700" s="98"/>
      <c r="AH700" s="98"/>
      <c r="AI700" s="98"/>
      <c r="AJ700" s="98"/>
      <c r="AK700" s="98"/>
      <c r="AL700" s="98"/>
      <c r="AM700" s="98"/>
      <c r="AN700" s="98"/>
      <c r="AO700" s="98"/>
      <c r="AP700" s="98"/>
      <c r="AQ700" s="98"/>
      <c r="AR700" s="98"/>
      <c r="AS700" s="98"/>
      <c r="AT700" s="98"/>
      <c r="AU700" s="98"/>
      <c r="AV700" s="98"/>
    </row>
    <row r="701" spans="1:48" s="229" customFormat="1" ht="15" customHeight="1">
      <c r="A701" s="385"/>
      <c r="B701" s="357"/>
      <c r="C701" s="366"/>
      <c r="D701" s="317"/>
      <c r="E701" s="98" t="str">
        <f t="shared" ref="E701:F701" si="320" xml:space="preserve"> E$679</f>
        <v>Legacy Debt Interest Charges</v>
      </c>
      <c r="F701" s="98">
        <f t="shared" si="320"/>
        <v>0</v>
      </c>
      <c r="G701" s="98" t="str">
        <f t="shared" ref="G701:AV701" si="321" xml:space="preserve"> G$679</f>
        <v>$ mn</v>
      </c>
      <c r="H701" s="98">
        <f t="shared" si="321"/>
        <v>0</v>
      </c>
      <c r="I701" s="98">
        <f t="shared" si="321"/>
        <v>0</v>
      </c>
      <c r="J701" s="98">
        <f t="shared" si="321"/>
        <v>884.73661443696051</v>
      </c>
      <c r="K701" s="98" t="e">
        <f t="shared" si="321"/>
        <v>#REF!</v>
      </c>
      <c r="L701" s="98">
        <f t="shared" si="321"/>
        <v>0</v>
      </c>
      <c r="M701" s="98">
        <f t="shared" si="321"/>
        <v>0</v>
      </c>
      <c r="N701" s="98">
        <f t="shared" si="321"/>
        <v>0</v>
      </c>
      <c r="O701" s="98">
        <f t="shared" si="321"/>
        <v>0</v>
      </c>
      <c r="P701" s="98">
        <f t="shared" si="321"/>
        <v>0</v>
      </c>
      <c r="Q701" s="98">
        <f t="shared" si="321"/>
        <v>0</v>
      </c>
      <c r="R701" s="98">
        <f t="shared" si="321"/>
        <v>99.414000000000001</v>
      </c>
      <c r="S701" s="98">
        <f t="shared" si="321"/>
        <v>102.89349</v>
      </c>
      <c r="T701" s="98">
        <f t="shared" si="321"/>
        <v>105.180012</v>
      </c>
      <c r="U701" s="98">
        <f t="shared" si="321"/>
        <v>105.83738707500001</v>
      </c>
      <c r="V701" s="98">
        <f t="shared" si="321"/>
        <v>104.3254244025</v>
      </c>
      <c r="W701" s="98">
        <f t="shared" si="321"/>
        <v>99.978531719062516</v>
      </c>
      <c r="X701" s="98">
        <f t="shared" si="321"/>
        <v>91.980249181537516</v>
      </c>
      <c r="Y701" s="98">
        <f t="shared" si="321"/>
        <v>79.33296491907609</v>
      </c>
      <c r="Z701" s="98">
        <f t="shared" si="321"/>
        <v>60.821939771291675</v>
      </c>
      <c r="AA701" s="98">
        <f t="shared" si="321"/>
        <v>34.972615368492711</v>
      </c>
      <c r="AB701" s="98">
        <f t="shared" si="321"/>
        <v>0</v>
      </c>
      <c r="AC701" s="98">
        <f t="shared" si="321"/>
        <v>0</v>
      </c>
      <c r="AD701" s="98">
        <f t="shared" si="321"/>
        <v>0</v>
      </c>
      <c r="AE701" s="98">
        <f t="shared" si="321"/>
        <v>0</v>
      </c>
      <c r="AF701" s="98">
        <f t="shared" si="321"/>
        <v>0</v>
      </c>
      <c r="AG701" s="98">
        <f t="shared" si="321"/>
        <v>0</v>
      </c>
      <c r="AH701" s="98">
        <f t="shared" si="321"/>
        <v>0</v>
      </c>
      <c r="AI701" s="98">
        <f t="shared" si="321"/>
        <v>0</v>
      </c>
      <c r="AJ701" s="98">
        <f t="shared" si="321"/>
        <v>0</v>
      </c>
      <c r="AK701" s="98">
        <f t="shared" si="321"/>
        <v>0</v>
      </c>
      <c r="AL701" s="98">
        <f t="shared" si="321"/>
        <v>0</v>
      </c>
      <c r="AM701" s="98">
        <f t="shared" si="321"/>
        <v>0</v>
      </c>
      <c r="AN701" s="98">
        <f t="shared" si="321"/>
        <v>0</v>
      </c>
      <c r="AO701" s="98">
        <f t="shared" si="321"/>
        <v>0</v>
      </c>
      <c r="AP701" s="98">
        <f t="shared" si="321"/>
        <v>0</v>
      </c>
      <c r="AQ701" s="98">
        <f t="shared" si="321"/>
        <v>0</v>
      </c>
      <c r="AR701" s="98">
        <f t="shared" si="321"/>
        <v>0</v>
      </c>
      <c r="AS701" s="98">
        <f t="shared" si="321"/>
        <v>0</v>
      </c>
      <c r="AT701" s="98">
        <f t="shared" si="321"/>
        <v>0</v>
      </c>
      <c r="AU701" s="98">
        <f t="shared" si="321"/>
        <v>0</v>
      </c>
      <c r="AV701" s="98">
        <f t="shared" si="321"/>
        <v>0</v>
      </c>
    </row>
    <row r="702" spans="1:48" s="229" customFormat="1" ht="15" customHeight="1">
      <c r="A702" s="385"/>
      <c r="B702" s="357"/>
      <c r="C702" s="366"/>
      <c r="D702" s="317"/>
      <c r="E702" s="98" t="str">
        <f t="shared" ref="E702:F702" si="322" xml:space="preserve"> E$694</f>
        <v>Second Debt Interest charge</v>
      </c>
      <c r="F702" s="98">
        <f t="shared" si="322"/>
        <v>487.79189243865602</v>
      </c>
      <c r="G702" s="98" t="str">
        <f t="shared" ref="G702:AV702" si="323" xml:space="preserve"> G$694</f>
        <v>$ mn</v>
      </c>
      <c r="H702" s="98">
        <f t="shared" si="323"/>
        <v>0</v>
      </c>
      <c r="I702" s="98">
        <f t="shared" si="323"/>
        <v>0</v>
      </c>
      <c r="J702" s="98">
        <f t="shared" si="323"/>
        <v>487.79189243865602</v>
      </c>
      <c r="K702" s="98">
        <f t="shared" si="323"/>
        <v>0</v>
      </c>
      <c r="L702" s="98">
        <f t="shared" si="323"/>
        <v>0</v>
      </c>
      <c r="M702" s="98">
        <f t="shared" si="323"/>
        <v>0</v>
      </c>
      <c r="N702" s="98">
        <f t="shared" si="323"/>
        <v>0</v>
      </c>
      <c r="O702" s="98">
        <f t="shared" si="323"/>
        <v>0</v>
      </c>
      <c r="P702" s="98">
        <f t="shared" si="323"/>
        <v>0</v>
      </c>
      <c r="Q702" s="98">
        <f t="shared" si="323"/>
        <v>0</v>
      </c>
      <c r="R702" s="98">
        <f t="shared" si="323"/>
        <v>26.34</v>
      </c>
      <c r="S702" s="98">
        <f t="shared" si="323"/>
        <v>39.125999999999998</v>
      </c>
      <c r="T702" s="98">
        <f t="shared" si="323"/>
        <v>47.784899999999993</v>
      </c>
      <c r="U702" s="98">
        <f t="shared" si="323"/>
        <v>51.433453333333325</v>
      </c>
      <c r="V702" s="98">
        <f t="shared" si="323"/>
        <v>52.55553741666666</v>
      </c>
      <c r="W702" s="98">
        <f t="shared" si="323"/>
        <v>55.237601167857136</v>
      </c>
      <c r="X702" s="98">
        <f t="shared" si="323"/>
        <v>54.398534452529752</v>
      </c>
      <c r="Y702" s="98">
        <f t="shared" si="323"/>
        <v>53.502651696327376</v>
      </c>
      <c r="Z702" s="98">
        <f t="shared" si="323"/>
        <v>47.091037088082352</v>
      </c>
      <c r="AA702" s="98">
        <f t="shared" si="323"/>
        <v>37.933128434196469</v>
      </c>
      <c r="AB702" s="98">
        <f t="shared" si="323"/>
        <v>22.38904884966297</v>
      </c>
      <c r="AC702" s="98">
        <f t="shared" si="323"/>
        <v>0</v>
      </c>
      <c r="AD702" s="98">
        <f t="shared" si="323"/>
        <v>0</v>
      </c>
      <c r="AE702" s="98">
        <f t="shared" si="323"/>
        <v>0</v>
      </c>
      <c r="AF702" s="98">
        <f t="shared" si="323"/>
        <v>0</v>
      </c>
      <c r="AG702" s="98">
        <f t="shared" si="323"/>
        <v>0</v>
      </c>
      <c r="AH702" s="98">
        <f t="shared" si="323"/>
        <v>0</v>
      </c>
      <c r="AI702" s="98">
        <f t="shared" si="323"/>
        <v>0</v>
      </c>
      <c r="AJ702" s="98">
        <f t="shared" si="323"/>
        <v>0</v>
      </c>
      <c r="AK702" s="98">
        <f t="shared" si="323"/>
        <v>0</v>
      </c>
      <c r="AL702" s="98">
        <f t="shared" si="323"/>
        <v>0</v>
      </c>
      <c r="AM702" s="98">
        <f t="shared" si="323"/>
        <v>0</v>
      </c>
      <c r="AN702" s="98">
        <f t="shared" si="323"/>
        <v>0</v>
      </c>
      <c r="AO702" s="98">
        <f t="shared" si="323"/>
        <v>0</v>
      </c>
      <c r="AP702" s="98">
        <f t="shared" si="323"/>
        <v>0</v>
      </c>
      <c r="AQ702" s="98">
        <f t="shared" si="323"/>
        <v>0</v>
      </c>
      <c r="AR702" s="98">
        <f t="shared" si="323"/>
        <v>0</v>
      </c>
      <c r="AS702" s="98">
        <f t="shared" si="323"/>
        <v>0</v>
      </c>
      <c r="AT702" s="98">
        <f t="shared" si="323"/>
        <v>0</v>
      </c>
      <c r="AU702" s="98">
        <f t="shared" si="323"/>
        <v>0</v>
      </c>
      <c r="AV702" s="98">
        <f t="shared" si="323"/>
        <v>0</v>
      </c>
    </row>
    <row r="703" spans="1:48" s="229" customFormat="1" ht="15" customHeight="1">
      <c r="A703" s="385"/>
      <c r="B703" s="357"/>
      <c r="C703" s="366"/>
      <c r="D703" s="317"/>
      <c r="E703" s="827" t="str">
        <f xml:space="preserve"> B700</f>
        <v>Combined Interest Charges</v>
      </c>
      <c r="F703" s="827"/>
      <c r="G703" s="827" t="s">
        <v>29</v>
      </c>
      <c r="H703" s="827"/>
      <c r="I703" s="827"/>
      <c r="J703" s="827">
        <f xml:space="preserve"> SUM(L703:AV703)</f>
        <v>1372.5285068756166</v>
      </c>
      <c r="K703" s="827"/>
      <c r="L703" s="827">
        <f t="shared" ref="L703:AV703" si="324" xml:space="preserve"> L701 + L702</f>
        <v>0</v>
      </c>
      <c r="M703" s="827">
        <f t="shared" si="324"/>
        <v>0</v>
      </c>
      <c r="N703" s="827">
        <f t="shared" si="324"/>
        <v>0</v>
      </c>
      <c r="O703" s="827">
        <f t="shared" si="324"/>
        <v>0</v>
      </c>
      <c r="P703" s="827">
        <f t="shared" si="324"/>
        <v>0</v>
      </c>
      <c r="Q703" s="827">
        <f t="shared" si="324"/>
        <v>0</v>
      </c>
      <c r="R703" s="827">
        <f t="shared" si="324"/>
        <v>125.754</v>
      </c>
      <c r="S703" s="827">
        <f t="shared" si="324"/>
        <v>142.01948999999999</v>
      </c>
      <c r="T703" s="827">
        <f t="shared" si="324"/>
        <v>152.964912</v>
      </c>
      <c r="U703" s="827">
        <f t="shared" si="324"/>
        <v>157.27084040833333</v>
      </c>
      <c r="V703" s="827">
        <f t="shared" si="324"/>
        <v>156.88096181916666</v>
      </c>
      <c r="W703" s="827">
        <f t="shared" si="324"/>
        <v>155.21613288691964</v>
      </c>
      <c r="X703" s="827">
        <f t="shared" si="324"/>
        <v>146.37878363406728</v>
      </c>
      <c r="Y703" s="827">
        <f t="shared" si="324"/>
        <v>132.83561661540347</v>
      </c>
      <c r="Z703" s="827">
        <f t="shared" si="324"/>
        <v>107.91297685937403</v>
      </c>
      <c r="AA703" s="827">
        <f t="shared" si="324"/>
        <v>72.905743802689187</v>
      </c>
      <c r="AB703" s="827">
        <f t="shared" si="324"/>
        <v>22.38904884966297</v>
      </c>
      <c r="AC703" s="827">
        <f t="shared" si="324"/>
        <v>0</v>
      </c>
      <c r="AD703" s="827">
        <f t="shared" si="324"/>
        <v>0</v>
      </c>
      <c r="AE703" s="827">
        <f t="shared" si="324"/>
        <v>0</v>
      </c>
      <c r="AF703" s="827">
        <f t="shared" si="324"/>
        <v>0</v>
      </c>
      <c r="AG703" s="827">
        <f t="shared" si="324"/>
        <v>0</v>
      </c>
      <c r="AH703" s="827">
        <f t="shared" si="324"/>
        <v>0</v>
      </c>
      <c r="AI703" s="827">
        <f t="shared" si="324"/>
        <v>0</v>
      </c>
      <c r="AJ703" s="827">
        <f t="shared" si="324"/>
        <v>0</v>
      </c>
      <c r="AK703" s="827">
        <f t="shared" si="324"/>
        <v>0</v>
      </c>
      <c r="AL703" s="827">
        <f t="shared" si="324"/>
        <v>0</v>
      </c>
      <c r="AM703" s="827">
        <f t="shared" si="324"/>
        <v>0</v>
      </c>
      <c r="AN703" s="827">
        <f t="shared" si="324"/>
        <v>0</v>
      </c>
      <c r="AO703" s="827">
        <f t="shared" si="324"/>
        <v>0</v>
      </c>
      <c r="AP703" s="827">
        <f t="shared" si="324"/>
        <v>0</v>
      </c>
      <c r="AQ703" s="827">
        <f t="shared" si="324"/>
        <v>0</v>
      </c>
      <c r="AR703" s="827">
        <f t="shared" si="324"/>
        <v>0</v>
      </c>
      <c r="AS703" s="827">
        <f t="shared" si="324"/>
        <v>0</v>
      </c>
      <c r="AT703" s="827">
        <f t="shared" si="324"/>
        <v>0</v>
      </c>
      <c r="AU703" s="827">
        <f t="shared" si="324"/>
        <v>0</v>
      </c>
      <c r="AV703" s="827">
        <f t="shared" si="324"/>
        <v>0</v>
      </c>
    </row>
    <row r="704" spans="1:48" s="828" customFormat="1" ht="15" customHeight="1">
      <c r="A704" s="808"/>
      <c r="B704" s="809"/>
      <c r="C704" s="810"/>
      <c r="D704" s="838"/>
      <c r="E704" s="223"/>
      <c r="F704" s="223"/>
      <c r="G704" s="223"/>
      <c r="H704" s="223"/>
      <c r="I704" s="223" t="s">
        <v>1249</v>
      </c>
      <c r="J704" s="223">
        <f xml:space="preserve"> SUM(L704:AV704)</f>
        <v>1374</v>
      </c>
      <c r="K704" s="223"/>
      <c r="L704" s="223"/>
      <c r="M704" s="223"/>
      <c r="N704" s="223"/>
      <c r="O704" s="223"/>
      <c r="P704" s="223"/>
      <c r="Q704" s="223"/>
      <c r="R704" s="223">
        <v>131</v>
      </c>
      <c r="S704" s="223">
        <v>163</v>
      </c>
      <c r="T704" s="223">
        <v>165</v>
      </c>
      <c r="U704" s="223">
        <v>172</v>
      </c>
      <c r="V704" s="223">
        <v>171</v>
      </c>
      <c r="W704" s="223">
        <v>164</v>
      </c>
      <c r="X704" s="223">
        <v>137</v>
      </c>
      <c r="Y704" s="223">
        <v>110</v>
      </c>
      <c r="Z704" s="223">
        <v>84</v>
      </c>
      <c r="AA704" s="223">
        <v>55</v>
      </c>
      <c r="AB704" s="223">
        <v>22</v>
      </c>
      <c r="AC704" s="223"/>
      <c r="AD704" s="223"/>
      <c r="AE704" s="223"/>
      <c r="AF704" s="223"/>
      <c r="AG704" s="223"/>
      <c r="AH704" s="223"/>
      <c r="AI704" s="223"/>
      <c r="AJ704" s="223"/>
      <c r="AK704" s="223"/>
      <c r="AL704" s="223"/>
      <c r="AM704" s="223"/>
      <c r="AN704" s="223"/>
      <c r="AO704" s="223"/>
      <c r="AP704" s="223"/>
      <c r="AQ704" s="223"/>
      <c r="AR704" s="223"/>
      <c r="AS704" s="223"/>
      <c r="AT704" s="223"/>
      <c r="AU704" s="223"/>
      <c r="AV704" s="223"/>
    </row>
    <row r="705" spans="1:48" s="229" customFormat="1" ht="15" customHeight="1">
      <c r="A705" s="385"/>
      <c r="B705" s="357"/>
      <c r="C705" s="366"/>
      <c r="D705" s="317"/>
      <c r="E705" s="98"/>
      <c r="F705" s="98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  <c r="AA705" s="98"/>
      <c r="AB705" s="98"/>
      <c r="AC705" s="98"/>
      <c r="AD705" s="98"/>
      <c r="AE705" s="98"/>
      <c r="AF705" s="98"/>
      <c r="AG705" s="98"/>
      <c r="AH705" s="98"/>
      <c r="AI705" s="98"/>
      <c r="AJ705" s="98"/>
      <c r="AK705" s="98"/>
      <c r="AL705" s="98"/>
      <c r="AM705" s="98"/>
      <c r="AN705" s="98"/>
      <c r="AO705" s="98"/>
      <c r="AP705" s="98"/>
      <c r="AQ705" s="98"/>
      <c r="AR705" s="98"/>
      <c r="AS705" s="98"/>
      <c r="AT705" s="98"/>
      <c r="AU705" s="98"/>
      <c r="AV705" s="98"/>
    </row>
    <row r="706" spans="1:48" s="229" customFormat="1" ht="15" customHeight="1">
      <c r="A706" s="385"/>
      <c r="B706" s="357"/>
      <c r="C706" s="366"/>
      <c r="D706" s="317"/>
      <c r="E706" s="98" t="s">
        <v>1255</v>
      </c>
      <c r="F706" s="98"/>
      <c r="G706" s="98" t="s">
        <v>29</v>
      </c>
      <c r="H706" s="98"/>
      <c r="I706" s="98"/>
      <c r="J706" s="98">
        <f xml:space="preserve"> SUM(L706:AV706)</f>
        <v>1372.5285068756166</v>
      </c>
      <c r="K706" s="98"/>
      <c r="L706" s="98">
        <f t="shared" ref="L706:AV706" si="325" xml:space="preserve"> K703</f>
        <v>0</v>
      </c>
      <c r="M706" s="98">
        <f t="shared" si="325"/>
        <v>0</v>
      </c>
      <c r="N706" s="98">
        <f t="shared" si="325"/>
        <v>0</v>
      </c>
      <c r="O706" s="98">
        <f t="shared" si="325"/>
        <v>0</v>
      </c>
      <c r="P706" s="98">
        <f t="shared" si="325"/>
        <v>0</v>
      </c>
      <c r="Q706" s="98">
        <f t="shared" si="325"/>
        <v>0</v>
      </c>
      <c r="R706" s="98">
        <f t="shared" si="325"/>
        <v>0</v>
      </c>
      <c r="S706" s="98">
        <f t="shared" si="325"/>
        <v>125.754</v>
      </c>
      <c r="T706" s="98">
        <f t="shared" si="325"/>
        <v>142.01948999999999</v>
      </c>
      <c r="U706" s="98">
        <f t="shared" si="325"/>
        <v>152.964912</v>
      </c>
      <c r="V706" s="98">
        <f t="shared" si="325"/>
        <v>157.27084040833333</v>
      </c>
      <c r="W706" s="98">
        <f t="shared" si="325"/>
        <v>156.88096181916666</v>
      </c>
      <c r="X706" s="98">
        <f t="shared" si="325"/>
        <v>155.21613288691964</v>
      </c>
      <c r="Y706" s="98">
        <f t="shared" si="325"/>
        <v>146.37878363406728</v>
      </c>
      <c r="Z706" s="98">
        <f t="shared" si="325"/>
        <v>132.83561661540347</v>
      </c>
      <c r="AA706" s="98">
        <f t="shared" si="325"/>
        <v>107.91297685937403</v>
      </c>
      <c r="AB706" s="98">
        <f t="shared" si="325"/>
        <v>72.905743802689187</v>
      </c>
      <c r="AC706" s="98">
        <f t="shared" si="325"/>
        <v>22.38904884966297</v>
      </c>
      <c r="AD706" s="98">
        <f t="shared" si="325"/>
        <v>0</v>
      </c>
      <c r="AE706" s="98">
        <f t="shared" si="325"/>
        <v>0</v>
      </c>
      <c r="AF706" s="98">
        <f t="shared" si="325"/>
        <v>0</v>
      </c>
      <c r="AG706" s="98">
        <f t="shared" si="325"/>
        <v>0</v>
      </c>
      <c r="AH706" s="98">
        <f t="shared" si="325"/>
        <v>0</v>
      </c>
      <c r="AI706" s="98">
        <f t="shared" si="325"/>
        <v>0</v>
      </c>
      <c r="AJ706" s="98">
        <f t="shared" si="325"/>
        <v>0</v>
      </c>
      <c r="AK706" s="98">
        <f t="shared" si="325"/>
        <v>0</v>
      </c>
      <c r="AL706" s="98">
        <f t="shared" si="325"/>
        <v>0</v>
      </c>
      <c r="AM706" s="98">
        <f t="shared" si="325"/>
        <v>0</v>
      </c>
      <c r="AN706" s="98">
        <f t="shared" si="325"/>
        <v>0</v>
      </c>
      <c r="AO706" s="98">
        <f t="shared" si="325"/>
        <v>0</v>
      </c>
      <c r="AP706" s="98">
        <f t="shared" si="325"/>
        <v>0</v>
      </c>
      <c r="AQ706" s="98">
        <f t="shared" si="325"/>
        <v>0</v>
      </c>
      <c r="AR706" s="98">
        <f t="shared" si="325"/>
        <v>0</v>
      </c>
      <c r="AS706" s="98">
        <f t="shared" si="325"/>
        <v>0</v>
      </c>
      <c r="AT706" s="98">
        <f t="shared" si="325"/>
        <v>0</v>
      </c>
      <c r="AU706" s="98">
        <f t="shared" si="325"/>
        <v>0</v>
      </c>
      <c r="AV706" s="98">
        <f t="shared" si="325"/>
        <v>0</v>
      </c>
    </row>
    <row r="707" spans="1:48" s="229" customFormat="1" ht="15" customHeight="1">
      <c r="A707" s="385"/>
      <c r="B707" s="357"/>
      <c r="C707" s="366"/>
      <c r="D707" s="317"/>
      <c r="E707" s="98"/>
      <c r="F707" s="98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  <c r="AA707" s="98"/>
      <c r="AB707" s="98"/>
      <c r="AC707" s="98"/>
      <c r="AD707" s="98"/>
      <c r="AE707" s="98"/>
      <c r="AF707" s="98"/>
      <c r="AG707" s="98"/>
      <c r="AH707" s="98"/>
      <c r="AI707" s="98"/>
      <c r="AJ707" s="98"/>
      <c r="AK707" s="98"/>
      <c r="AL707" s="98"/>
      <c r="AM707" s="98"/>
      <c r="AN707" s="98"/>
      <c r="AO707" s="98"/>
      <c r="AP707" s="98"/>
      <c r="AQ707" s="98"/>
      <c r="AR707" s="98"/>
      <c r="AS707" s="98"/>
      <c r="AT707" s="98"/>
      <c r="AU707" s="98"/>
      <c r="AV707" s="98"/>
    </row>
    <row r="708" spans="1:48" s="229" customFormat="1" ht="15" customHeight="1">
      <c r="A708" s="385"/>
      <c r="B708" s="357"/>
      <c r="C708" s="366" t="s">
        <v>768</v>
      </c>
      <c r="D708" s="317"/>
      <c r="E708" s="98"/>
      <c r="F708" s="98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269"/>
      <c r="Y708" s="269"/>
      <c r="Z708" s="98"/>
      <c r="AA708" s="98"/>
      <c r="AB708" s="98"/>
      <c r="AC708" s="98"/>
      <c r="AD708" s="98"/>
      <c r="AE708" s="98"/>
      <c r="AF708" s="98"/>
      <c r="AG708" s="98"/>
      <c r="AH708" s="98"/>
      <c r="AI708" s="98"/>
      <c r="AJ708" s="98"/>
      <c r="AK708" s="98"/>
      <c r="AL708" s="98"/>
      <c r="AM708" s="98"/>
      <c r="AN708" s="98"/>
      <c r="AO708" s="98"/>
      <c r="AP708" s="98"/>
      <c r="AQ708" s="98"/>
      <c r="AR708" s="98"/>
      <c r="AS708" s="98"/>
      <c r="AT708" s="98"/>
      <c r="AU708" s="98"/>
      <c r="AV708" s="98"/>
    </row>
    <row r="709" spans="1:48" s="323" customFormat="1" ht="15" customHeight="1">
      <c r="A709" s="440"/>
      <c r="B709" s="435"/>
      <c r="C709" s="439"/>
      <c r="D709" s="859"/>
      <c r="E709" s="323" t="s">
        <v>750</v>
      </c>
      <c r="G709" s="323" t="s">
        <v>29</v>
      </c>
      <c r="I709" s="323" t="s">
        <v>754</v>
      </c>
      <c r="J709" s="323">
        <f xml:space="preserve"> SUM(L709:AV709)</f>
        <v>1372.5285068756166</v>
      </c>
      <c r="L709" s="323">
        <f t="shared" ref="L709:AV709" si="326" xml:space="preserve"> L681 - L680 + L696 - L695</f>
        <v>0</v>
      </c>
      <c r="M709" s="323">
        <f t="shared" si="326"/>
        <v>0</v>
      </c>
      <c r="N709" s="323">
        <f t="shared" si="326"/>
        <v>0</v>
      </c>
      <c r="O709" s="323">
        <f t="shared" si="326"/>
        <v>0</v>
      </c>
      <c r="P709" s="323">
        <f t="shared" si="326"/>
        <v>0</v>
      </c>
      <c r="Q709" s="323">
        <f t="shared" si="326"/>
        <v>-838.36</v>
      </c>
      <c r="R709" s="323">
        <f t="shared" si="326"/>
        <v>17.317399999999999</v>
      </c>
      <c r="S709" s="323">
        <f t="shared" si="326"/>
        <v>69.050010000000015</v>
      </c>
      <c r="T709" s="323">
        <f t="shared" si="326"/>
        <v>124.2587226111111</v>
      </c>
      <c r="U709" s="323">
        <f t="shared" si="326"/>
        <v>159.87003100277778</v>
      </c>
      <c r="V709" s="323">
        <f t="shared" si="326"/>
        <v>167.97982136748018</v>
      </c>
      <c r="W709" s="323">
        <f t="shared" si="326"/>
        <v>214.13179457260219</v>
      </c>
      <c r="X709" s="323">
        <f t="shared" si="326"/>
        <v>236.66656375849249</v>
      </c>
      <c r="Y709" s="323">
        <f t="shared" si="326"/>
        <v>298.98654832226634</v>
      </c>
      <c r="Z709" s="323">
        <f t="shared" si="326"/>
        <v>341.29453057060636</v>
      </c>
      <c r="AA709" s="323">
        <f t="shared" si="326"/>
        <v>409.68371015619726</v>
      </c>
      <c r="AB709" s="323">
        <f t="shared" si="326"/>
        <v>171.64937451408275</v>
      </c>
      <c r="AC709" s="323">
        <f t="shared" si="326"/>
        <v>0</v>
      </c>
      <c r="AD709" s="323">
        <f t="shared" si="326"/>
        <v>0</v>
      </c>
      <c r="AE709" s="323">
        <f t="shared" si="326"/>
        <v>0</v>
      </c>
      <c r="AF709" s="323">
        <f t="shared" si="326"/>
        <v>0</v>
      </c>
      <c r="AG709" s="323">
        <f t="shared" si="326"/>
        <v>0</v>
      </c>
      <c r="AH709" s="323">
        <f t="shared" si="326"/>
        <v>0</v>
      </c>
      <c r="AI709" s="323">
        <f t="shared" si="326"/>
        <v>0</v>
      </c>
      <c r="AJ709" s="323">
        <f t="shared" si="326"/>
        <v>0</v>
      </c>
      <c r="AK709" s="323">
        <f t="shared" si="326"/>
        <v>0</v>
      </c>
      <c r="AL709" s="323">
        <f t="shared" si="326"/>
        <v>0</v>
      </c>
      <c r="AM709" s="323">
        <f t="shared" si="326"/>
        <v>0</v>
      </c>
      <c r="AN709" s="323">
        <f t="shared" si="326"/>
        <v>0</v>
      </c>
      <c r="AO709" s="323">
        <f t="shared" si="326"/>
        <v>0</v>
      </c>
      <c r="AP709" s="323">
        <f t="shared" si="326"/>
        <v>0</v>
      </c>
      <c r="AQ709" s="323">
        <f t="shared" si="326"/>
        <v>0</v>
      </c>
      <c r="AR709" s="323">
        <f t="shared" si="326"/>
        <v>0</v>
      </c>
      <c r="AS709" s="323">
        <f t="shared" si="326"/>
        <v>0</v>
      </c>
      <c r="AT709" s="323">
        <f t="shared" si="326"/>
        <v>0</v>
      </c>
      <c r="AU709" s="323">
        <f t="shared" si="326"/>
        <v>0</v>
      </c>
      <c r="AV709" s="323">
        <f t="shared" si="326"/>
        <v>0</v>
      </c>
    </row>
    <row r="710" spans="1:48" s="323" customFormat="1" ht="15" customHeight="1">
      <c r="A710" s="440"/>
      <c r="B710" s="435"/>
      <c r="C710" s="439"/>
      <c r="D710" s="859"/>
    </row>
    <row r="711" spans="1:48" s="229" customFormat="1" ht="15" customHeight="1">
      <c r="A711" s="385"/>
      <c r="B711" s="357"/>
      <c r="C711" s="366"/>
      <c r="D711" s="317"/>
      <c r="E711" s="378" t="s">
        <v>757</v>
      </c>
      <c r="F711" s="869" t="s">
        <v>755</v>
      </c>
      <c r="G711" s="378" t="s">
        <v>622</v>
      </c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269"/>
      <c r="Y711" s="269"/>
      <c r="Z711" s="98"/>
      <c r="AA711" s="98"/>
      <c r="AB711" s="98"/>
      <c r="AC711" s="98"/>
      <c r="AD711" s="98"/>
      <c r="AE711" s="98"/>
      <c r="AF711" s="98"/>
      <c r="AG711" s="98"/>
      <c r="AH711" s="98"/>
      <c r="AI711" s="98"/>
      <c r="AJ711" s="98"/>
      <c r="AK711" s="98"/>
      <c r="AL711" s="98"/>
      <c r="AM711" s="98"/>
      <c r="AN711" s="98"/>
      <c r="AO711" s="98"/>
      <c r="AP711" s="98"/>
      <c r="AQ711" s="98"/>
      <c r="AR711" s="98"/>
      <c r="AS711" s="98"/>
      <c r="AT711" s="98"/>
      <c r="AU711" s="98"/>
      <c r="AV711" s="98"/>
    </row>
    <row r="712" spans="1:48" s="229" customFormat="1" ht="15" customHeight="1">
      <c r="A712" s="385"/>
      <c r="B712" s="357"/>
      <c r="C712" s="366"/>
      <c r="D712" s="317"/>
      <c r="E712" s="98"/>
      <c r="F712" s="392" t="s">
        <v>755</v>
      </c>
      <c r="G712" s="98" t="s">
        <v>60</v>
      </c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269"/>
      <c r="Y712" s="269"/>
      <c r="Z712" s="98"/>
      <c r="AA712" s="98"/>
      <c r="AB712" s="98"/>
      <c r="AC712" s="98"/>
      <c r="AD712" s="98"/>
      <c r="AE712" s="98"/>
      <c r="AF712" s="98"/>
      <c r="AG712" s="98"/>
      <c r="AH712" s="98"/>
      <c r="AI712" s="98"/>
      <c r="AJ712" s="98"/>
      <c r="AK712" s="98"/>
      <c r="AL712" s="98"/>
      <c r="AM712" s="98"/>
      <c r="AN712" s="98"/>
      <c r="AO712" s="98"/>
      <c r="AP712" s="98"/>
      <c r="AQ712" s="98"/>
      <c r="AR712" s="98"/>
      <c r="AS712" s="98"/>
      <c r="AT712" s="98"/>
      <c r="AU712" s="98"/>
      <c r="AV712" s="98"/>
    </row>
    <row r="713" spans="1:48" s="229" customFormat="1" ht="15" customHeight="1">
      <c r="A713" s="385"/>
      <c r="B713" s="357"/>
      <c r="C713" s="366"/>
      <c r="D713" s="317"/>
      <c r="E713" s="98"/>
      <c r="F713" s="392" t="s">
        <v>756</v>
      </c>
      <c r="G713" s="98" t="s">
        <v>60</v>
      </c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269"/>
      <c r="Y713" s="269"/>
      <c r="Z713" s="98"/>
      <c r="AA713" s="98"/>
      <c r="AB713" s="98"/>
      <c r="AC713" s="98"/>
      <c r="AD713" s="98"/>
      <c r="AE713" s="98"/>
      <c r="AF713" s="98"/>
      <c r="AG713" s="98"/>
      <c r="AH713" s="98"/>
      <c r="AI713" s="98"/>
      <c r="AJ713" s="98"/>
      <c r="AK713" s="98"/>
      <c r="AL713" s="98"/>
      <c r="AM713" s="98"/>
      <c r="AN713" s="98"/>
      <c r="AO713" s="98"/>
      <c r="AP713" s="98"/>
      <c r="AQ713" s="98"/>
      <c r="AR713" s="98"/>
      <c r="AS713" s="98"/>
      <c r="AT713" s="98"/>
      <c r="AU713" s="98"/>
      <c r="AV713" s="98"/>
    </row>
    <row r="714" spans="1:48" s="229" customFormat="1" ht="15" customHeight="1">
      <c r="A714" s="385"/>
      <c r="B714" s="357" t="s">
        <v>760</v>
      </c>
      <c r="C714" s="366"/>
      <c r="D714" s="317"/>
      <c r="E714" s="102"/>
      <c r="F714" s="98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269"/>
      <c r="Y714" s="269"/>
      <c r="Z714" s="98"/>
      <c r="AA714" s="98"/>
      <c r="AB714" s="98"/>
      <c r="AC714" s="98"/>
      <c r="AD714" s="98"/>
      <c r="AE714" s="98"/>
      <c r="AF714" s="98"/>
      <c r="AG714" s="98"/>
      <c r="AH714" s="98"/>
      <c r="AI714" s="98"/>
      <c r="AJ714" s="98"/>
      <c r="AK714" s="98"/>
      <c r="AL714" s="98"/>
      <c r="AM714" s="98"/>
      <c r="AN714" s="98"/>
      <c r="AO714" s="98"/>
      <c r="AP714" s="98"/>
      <c r="AQ714" s="98"/>
      <c r="AR714" s="98"/>
      <c r="AS714" s="98"/>
      <c r="AT714" s="98"/>
      <c r="AU714" s="98"/>
      <c r="AV714" s="98"/>
    </row>
    <row r="715" spans="1:48" s="229" customFormat="1" ht="15" customHeight="1">
      <c r="A715" s="385"/>
      <c r="B715" s="357"/>
      <c r="C715" s="366" t="s">
        <v>1263</v>
      </c>
      <c r="D715" s="317"/>
      <c r="E715" s="102"/>
      <c r="F715" s="98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269"/>
      <c r="Y715" s="269"/>
      <c r="Z715" s="98"/>
      <c r="AA715" s="98"/>
      <c r="AB715" s="98"/>
      <c r="AC715" s="98"/>
      <c r="AD715" s="98"/>
      <c r="AE715" s="98"/>
      <c r="AF715" s="98"/>
      <c r="AG715" s="98"/>
      <c r="AH715" s="98"/>
      <c r="AI715" s="98"/>
      <c r="AJ715" s="98"/>
      <c r="AK715" s="98"/>
      <c r="AL715" s="98"/>
      <c r="AM715" s="98"/>
      <c r="AN715" s="98"/>
      <c r="AO715" s="98"/>
      <c r="AP715" s="98"/>
      <c r="AQ715" s="98"/>
      <c r="AR715" s="98"/>
      <c r="AS715" s="98"/>
      <c r="AT715" s="98"/>
      <c r="AU715" s="98"/>
      <c r="AV715" s="98"/>
    </row>
    <row r="716" spans="1:48" s="229" customFormat="1" ht="15" customHeight="1">
      <c r="A716" s="385"/>
      <c r="B716" s="357"/>
      <c r="C716" s="366"/>
      <c r="D716" s="317"/>
      <c r="E716" s="98" t="str">
        <f t="shared" ref="E716:F716" si="327" xml:space="preserve"> E$680</f>
        <v>Legacy Debt Drawdown</v>
      </c>
      <c r="F716" s="98">
        <f t="shared" si="327"/>
        <v>0</v>
      </c>
      <c r="G716" s="98" t="str">
        <f t="shared" ref="G716:AV716" si="328" xml:space="preserve"> G$680</f>
        <v>$ mn</v>
      </c>
      <c r="H716" s="98">
        <f t="shared" si="328"/>
        <v>0</v>
      </c>
      <c r="I716" s="98">
        <f t="shared" si="328"/>
        <v>0</v>
      </c>
      <c r="J716" s="98">
        <f t="shared" si="328"/>
        <v>662.76</v>
      </c>
      <c r="K716" s="98">
        <f t="shared" si="328"/>
        <v>0</v>
      </c>
      <c r="L716" s="98">
        <f t="shared" si="328"/>
        <v>0</v>
      </c>
      <c r="M716" s="98">
        <f t="shared" si="328"/>
        <v>0</v>
      </c>
      <c r="N716" s="98">
        <f t="shared" si="328"/>
        <v>0</v>
      </c>
      <c r="O716" s="98">
        <f t="shared" si="328"/>
        <v>0</v>
      </c>
      <c r="P716" s="98">
        <f t="shared" si="328"/>
        <v>0</v>
      </c>
      <c r="Q716" s="98">
        <f t="shared" si="328"/>
        <v>662.76</v>
      </c>
      <c r="R716" s="98">
        <f t="shared" si="328"/>
        <v>0</v>
      </c>
      <c r="S716" s="98">
        <f t="shared" si="328"/>
        <v>0</v>
      </c>
      <c r="T716" s="98">
        <f t="shared" si="328"/>
        <v>0</v>
      </c>
      <c r="U716" s="98">
        <f t="shared" si="328"/>
        <v>0</v>
      </c>
      <c r="V716" s="98">
        <f t="shared" si="328"/>
        <v>0</v>
      </c>
      <c r="W716" s="98">
        <f t="shared" si="328"/>
        <v>0</v>
      </c>
      <c r="X716" s="98">
        <f t="shared" si="328"/>
        <v>0</v>
      </c>
      <c r="Y716" s="98">
        <f t="shared" si="328"/>
        <v>0</v>
      </c>
      <c r="Z716" s="98">
        <f t="shared" si="328"/>
        <v>0</v>
      </c>
      <c r="AA716" s="98">
        <f t="shared" si="328"/>
        <v>0</v>
      </c>
      <c r="AB716" s="98">
        <f t="shared" si="328"/>
        <v>0</v>
      </c>
      <c r="AC716" s="98">
        <f t="shared" si="328"/>
        <v>0</v>
      </c>
      <c r="AD716" s="98">
        <f t="shared" si="328"/>
        <v>0</v>
      </c>
      <c r="AE716" s="98">
        <f t="shared" si="328"/>
        <v>0</v>
      </c>
      <c r="AF716" s="98">
        <f t="shared" si="328"/>
        <v>0</v>
      </c>
      <c r="AG716" s="98">
        <f t="shared" si="328"/>
        <v>0</v>
      </c>
      <c r="AH716" s="98">
        <f t="shared" si="328"/>
        <v>0</v>
      </c>
      <c r="AI716" s="98">
        <f t="shared" si="328"/>
        <v>0</v>
      </c>
      <c r="AJ716" s="98">
        <f t="shared" si="328"/>
        <v>0</v>
      </c>
      <c r="AK716" s="98">
        <f t="shared" si="328"/>
        <v>0</v>
      </c>
      <c r="AL716" s="98">
        <f t="shared" si="328"/>
        <v>0</v>
      </c>
      <c r="AM716" s="98">
        <f t="shared" si="328"/>
        <v>0</v>
      </c>
      <c r="AN716" s="98">
        <f t="shared" si="328"/>
        <v>0</v>
      </c>
      <c r="AO716" s="98">
        <f t="shared" si="328"/>
        <v>0</v>
      </c>
      <c r="AP716" s="98">
        <f t="shared" si="328"/>
        <v>0</v>
      </c>
      <c r="AQ716" s="98">
        <f t="shared" si="328"/>
        <v>0</v>
      </c>
      <c r="AR716" s="98">
        <f t="shared" si="328"/>
        <v>0</v>
      </c>
      <c r="AS716" s="98">
        <f t="shared" si="328"/>
        <v>0</v>
      </c>
      <c r="AT716" s="98">
        <f t="shared" si="328"/>
        <v>0</v>
      </c>
      <c r="AU716" s="98">
        <f t="shared" si="328"/>
        <v>0</v>
      </c>
      <c r="AV716" s="98">
        <f t="shared" si="328"/>
        <v>0</v>
      </c>
    </row>
    <row r="717" spans="1:48" s="229" customFormat="1" ht="15" customHeight="1">
      <c r="A717" s="385"/>
      <c r="B717" s="357"/>
      <c r="C717" s="366"/>
      <c r="D717" s="317"/>
      <c r="E717" s="98" t="str">
        <f t="shared" ref="E717:F717" si="329" xml:space="preserve"> E$695</f>
        <v>Adjusted Drawdowns</v>
      </c>
      <c r="F717" s="98">
        <f t="shared" si="329"/>
        <v>0</v>
      </c>
      <c r="G717" s="98" t="str">
        <f t="shared" ref="G717:AV717" si="330" xml:space="preserve"> G$695</f>
        <v>$ mn</v>
      </c>
      <c r="H717" s="98">
        <f t="shared" si="330"/>
        <v>0</v>
      </c>
      <c r="I717" s="98">
        <f t="shared" si="330"/>
        <v>0</v>
      </c>
      <c r="J717" s="98">
        <f t="shared" si="330"/>
        <v>433.5</v>
      </c>
      <c r="K717" s="98">
        <f t="shared" si="330"/>
        <v>0</v>
      </c>
      <c r="L717" s="98">
        <f t="shared" si="330"/>
        <v>0</v>
      </c>
      <c r="M717" s="98">
        <f t="shared" si="330"/>
        <v>0</v>
      </c>
      <c r="N717" s="98">
        <f t="shared" si="330"/>
        <v>0</v>
      </c>
      <c r="O717" s="98">
        <f t="shared" si="330"/>
        <v>0</v>
      </c>
      <c r="P717" s="98">
        <f t="shared" si="330"/>
        <v>0</v>
      </c>
      <c r="Q717" s="98">
        <f t="shared" si="330"/>
        <v>175.6</v>
      </c>
      <c r="R717" s="98">
        <f t="shared" si="330"/>
        <v>58.9</v>
      </c>
      <c r="S717" s="98">
        <f t="shared" si="330"/>
        <v>18.600000000000001</v>
      </c>
      <c r="T717" s="98">
        <f t="shared" si="330"/>
        <v>19.399999999999999</v>
      </c>
      <c r="U717" s="98">
        <f t="shared" si="330"/>
        <v>6.1</v>
      </c>
      <c r="V717" s="98">
        <f t="shared" si="330"/>
        <v>26.7</v>
      </c>
      <c r="W717" s="98">
        <f t="shared" si="330"/>
        <v>11.7</v>
      </c>
      <c r="X717" s="98">
        <f t="shared" si="330"/>
        <v>28.8</v>
      </c>
      <c r="Y717" s="98">
        <f t="shared" si="330"/>
        <v>8.4</v>
      </c>
      <c r="Z717" s="98">
        <f t="shared" si="330"/>
        <v>18.3</v>
      </c>
      <c r="AA717" s="98">
        <f t="shared" si="330"/>
        <v>7.7</v>
      </c>
      <c r="AB717" s="98">
        <f t="shared" si="330"/>
        <v>53.3</v>
      </c>
      <c r="AC717" s="98">
        <f t="shared" si="330"/>
        <v>0</v>
      </c>
      <c r="AD717" s="98">
        <f t="shared" si="330"/>
        <v>0</v>
      </c>
      <c r="AE717" s="98">
        <f t="shared" si="330"/>
        <v>0</v>
      </c>
      <c r="AF717" s="98">
        <f t="shared" si="330"/>
        <v>0</v>
      </c>
      <c r="AG717" s="98">
        <f t="shared" si="330"/>
        <v>0</v>
      </c>
      <c r="AH717" s="98">
        <f t="shared" si="330"/>
        <v>0</v>
      </c>
      <c r="AI717" s="98">
        <f t="shared" si="330"/>
        <v>0</v>
      </c>
      <c r="AJ717" s="98">
        <f t="shared" si="330"/>
        <v>0</v>
      </c>
      <c r="AK717" s="98">
        <f t="shared" si="330"/>
        <v>0</v>
      </c>
      <c r="AL717" s="98">
        <f t="shared" si="330"/>
        <v>0</v>
      </c>
      <c r="AM717" s="98">
        <f t="shared" si="330"/>
        <v>0</v>
      </c>
      <c r="AN717" s="98">
        <f t="shared" si="330"/>
        <v>0</v>
      </c>
      <c r="AO717" s="98">
        <f t="shared" si="330"/>
        <v>0</v>
      </c>
      <c r="AP717" s="98">
        <f t="shared" si="330"/>
        <v>0</v>
      </c>
      <c r="AQ717" s="98">
        <f t="shared" si="330"/>
        <v>0</v>
      </c>
      <c r="AR717" s="98">
        <f t="shared" si="330"/>
        <v>0</v>
      </c>
      <c r="AS717" s="98">
        <f t="shared" si="330"/>
        <v>0</v>
      </c>
      <c r="AT717" s="98">
        <f t="shared" si="330"/>
        <v>0</v>
      </c>
      <c r="AU717" s="98">
        <f t="shared" si="330"/>
        <v>0</v>
      </c>
      <c r="AV717" s="98">
        <f t="shared" si="330"/>
        <v>0</v>
      </c>
    </row>
    <row r="718" spans="1:48" s="229" customFormat="1" ht="15" customHeight="1">
      <c r="A718" s="385"/>
      <c r="B718" s="357"/>
      <c r="C718" s="366"/>
      <c r="D718" s="317"/>
      <c r="E718" s="98" t="str">
        <f t="shared" ref="E718:AV718" si="331" xml:space="preserve"> E$681</f>
        <v>Legacy Debt Repayments</v>
      </c>
      <c r="F718" s="98">
        <f t="shared" si="331"/>
        <v>0</v>
      </c>
      <c r="G718" s="98" t="str">
        <f t="shared" si="331"/>
        <v>$ mn</v>
      </c>
      <c r="H718" s="98">
        <f t="shared" si="331"/>
        <v>0</v>
      </c>
      <c r="I718" s="98">
        <f t="shared" si="331"/>
        <v>0</v>
      </c>
      <c r="J718" s="98">
        <f t="shared" si="331"/>
        <v>1547.4966144369605</v>
      </c>
      <c r="K718" s="98">
        <f t="shared" si="331"/>
        <v>0</v>
      </c>
      <c r="L718" s="98">
        <f t="shared" si="331"/>
        <v>0</v>
      </c>
      <c r="M718" s="98">
        <f t="shared" si="331"/>
        <v>0</v>
      </c>
      <c r="N718" s="98">
        <f t="shared" si="331"/>
        <v>0</v>
      </c>
      <c r="O718" s="98">
        <f t="shared" si="331"/>
        <v>0</v>
      </c>
      <c r="P718" s="98">
        <f t="shared" si="331"/>
        <v>0</v>
      </c>
      <c r="Q718" s="98">
        <f t="shared" si="331"/>
        <v>0</v>
      </c>
      <c r="R718" s="98">
        <f t="shared" si="331"/>
        <v>76.217399999999998</v>
      </c>
      <c r="S718" s="98">
        <f t="shared" si="331"/>
        <v>87.650010000000009</v>
      </c>
      <c r="T718" s="98">
        <f t="shared" si="331"/>
        <v>100.79751150000001</v>
      </c>
      <c r="U718" s="98">
        <f t="shared" si="331"/>
        <v>115.91713822500002</v>
      </c>
      <c r="V718" s="98">
        <f t="shared" si="331"/>
        <v>133.30470895875001</v>
      </c>
      <c r="W718" s="98">
        <f t="shared" si="331"/>
        <v>153.30041530256253</v>
      </c>
      <c r="X718" s="98">
        <f t="shared" si="331"/>
        <v>176.2954775979469</v>
      </c>
      <c r="Y718" s="98">
        <f t="shared" si="331"/>
        <v>202.73979923763889</v>
      </c>
      <c r="Z718" s="98">
        <f t="shared" si="331"/>
        <v>233.15076912328476</v>
      </c>
      <c r="AA718" s="98">
        <f t="shared" si="331"/>
        <v>268.12338449177747</v>
      </c>
      <c r="AB718" s="98">
        <f t="shared" si="331"/>
        <v>0</v>
      </c>
      <c r="AC718" s="98">
        <f t="shared" si="331"/>
        <v>0</v>
      </c>
      <c r="AD718" s="98">
        <f t="shared" si="331"/>
        <v>0</v>
      </c>
      <c r="AE718" s="98">
        <f t="shared" si="331"/>
        <v>0</v>
      </c>
      <c r="AF718" s="98">
        <f t="shared" si="331"/>
        <v>0</v>
      </c>
      <c r="AG718" s="98">
        <f t="shared" si="331"/>
        <v>0</v>
      </c>
      <c r="AH718" s="98">
        <f t="shared" si="331"/>
        <v>0</v>
      </c>
      <c r="AI718" s="98">
        <f t="shared" si="331"/>
        <v>0</v>
      </c>
      <c r="AJ718" s="98">
        <f t="shared" si="331"/>
        <v>0</v>
      </c>
      <c r="AK718" s="98">
        <f t="shared" si="331"/>
        <v>0</v>
      </c>
      <c r="AL718" s="98">
        <f t="shared" si="331"/>
        <v>0</v>
      </c>
      <c r="AM718" s="98">
        <f t="shared" si="331"/>
        <v>0</v>
      </c>
      <c r="AN718" s="98">
        <f t="shared" si="331"/>
        <v>0</v>
      </c>
      <c r="AO718" s="98">
        <f t="shared" si="331"/>
        <v>0</v>
      </c>
      <c r="AP718" s="98">
        <f t="shared" si="331"/>
        <v>0</v>
      </c>
      <c r="AQ718" s="98">
        <f t="shared" si="331"/>
        <v>0</v>
      </c>
      <c r="AR718" s="98">
        <f t="shared" si="331"/>
        <v>0</v>
      </c>
      <c r="AS718" s="98">
        <f t="shared" si="331"/>
        <v>0</v>
      </c>
      <c r="AT718" s="98">
        <f t="shared" si="331"/>
        <v>0</v>
      </c>
      <c r="AU718" s="98">
        <f t="shared" si="331"/>
        <v>0</v>
      </c>
      <c r="AV718" s="98">
        <f t="shared" si="331"/>
        <v>0</v>
      </c>
    </row>
    <row r="719" spans="1:48" s="229" customFormat="1" ht="15" customHeight="1">
      <c r="A719" s="385"/>
      <c r="B719" s="357"/>
      <c r="C719" s="366"/>
      <c r="D719" s="317"/>
      <c r="E719" s="98" t="str">
        <f t="shared" ref="E719:AV719" si="332" xml:space="preserve"> E$696</f>
        <v>Second Debt Repayments</v>
      </c>
      <c r="F719" s="98">
        <f t="shared" si="332"/>
        <v>0</v>
      </c>
      <c r="G719" s="98" t="str">
        <f t="shared" si="332"/>
        <v>$ mn</v>
      </c>
      <c r="H719" s="98">
        <f t="shared" si="332"/>
        <v>0</v>
      </c>
      <c r="I719" s="98">
        <f t="shared" si="332"/>
        <v>0</v>
      </c>
      <c r="J719" s="98">
        <f t="shared" si="332"/>
        <v>921.29189243865585</v>
      </c>
      <c r="K719" s="98">
        <f t="shared" si="332"/>
        <v>0</v>
      </c>
      <c r="L719" s="98">
        <f t="shared" si="332"/>
        <v>0</v>
      </c>
      <c r="M719" s="98">
        <f t="shared" si="332"/>
        <v>0</v>
      </c>
      <c r="N719" s="98">
        <f t="shared" si="332"/>
        <v>0</v>
      </c>
      <c r="O719" s="98">
        <f t="shared" si="332"/>
        <v>0</v>
      </c>
      <c r="P719" s="98">
        <f t="shared" si="332"/>
        <v>0</v>
      </c>
      <c r="Q719" s="98">
        <f t="shared" si="332"/>
        <v>0</v>
      </c>
      <c r="R719" s="98">
        <f t="shared" si="332"/>
        <v>0</v>
      </c>
      <c r="S719" s="98">
        <f t="shared" si="332"/>
        <v>0</v>
      </c>
      <c r="T719" s="98">
        <f t="shared" si="332"/>
        <v>42.861211111111103</v>
      </c>
      <c r="U719" s="98">
        <f t="shared" si="332"/>
        <v>50.052892777777771</v>
      </c>
      <c r="V719" s="98">
        <f t="shared" si="332"/>
        <v>61.375112408730153</v>
      </c>
      <c r="W719" s="98">
        <f t="shared" si="332"/>
        <v>72.531379270039665</v>
      </c>
      <c r="X719" s="98">
        <f t="shared" si="332"/>
        <v>89.171086160545627</v>
      </c>
      <c r="Y719" s="98">
        <f t="shared" si="332"/>
        <v>104.64674908462746</v>
      </c>
      <c r="Z719" s="98">
        <f t="shared" si="332"/>
        <v>126.44376144732159</v>
      </c>
      <c r="AA719" s="98">
        <f t="shared" si="332"/>
        <v>149.26032566441981</v>
      </c>
      <c r="AB719" s="98">
        <f t="shared" si="332"/>
        <v>224.94937451408276</v>
      </c>
      <c r="AC719" s="98">
        <f t="shared" si="332"/>
        <v>0</v>
      </c>
      <c r="AD719" s="98">
        <f t="shared" si="332"/>
        <v>0</v>
      </c>
      <c r="AE719" s="98">
        <f t="shared" si="332"/>
        <v>0</v>
      </c>
      <c r="AF719" s="98">
        <f t="shared" si="332"/>
        <v>0</v>
      </c>
      <c r="AG719" s="98">
        <f t="shared" si="332"/>
        <v>0</v>
      </c>
      <c r="AH719" s="98">
        <f t="shared" si="332"/>
        <v>0</v>
      </c>
      <c r="AI719" s="98">
        <f t="shared" si="332"/>
        <v>0</v>
      </c>
      <c r="AJ719" s="98">
        <f t="shared" si="332"/>
        <v>0</v>
      </c>
      <c r="AK719" s="98">
        <f t="shared" si="332"/>
        <v>0</v>
      </c>
      <c r="AL719" s="98">
        <f t="shared" si="332"/>
        <v>0</v>
      </c>
      <c r="AM719" s="98">
        <f t="shared" si="332"/>
        <v>0</v>
      </c>
      <c r="AN719" s="98">
        <f t="shared" si="332"/>
        <v>0</v>
      </c>
      <c r="AO719" s="98">
        <f t="shared" si="332"/>
        <v>0</v>
      </c>
      <c r="AP719" s="98">
        <f t="shared" si="332"/>
        <v>0</v>
      </c>
      <c r="AQ719" s="98">
        <f t="shared" si="332"/>
        <v>0</v>
      </c>
      <c r="AR719" s="98">
        <f t="shared" si="332"/>
        <v>0</v>
      </c>
      <c r="AS719" s="98">
        <f t="shared" si="332"/>
        <v>0</v>
      </c>
      <c r="AT719" s="98">
        <f t="shared" si="332"/>
        <v>0</v>
      </c>
      <c r="AU719" s="98">
        <f t="shared" si="332"/>
        <v>0</v>
      </c>
      <c r="AV719" s="98">
        <f t="shared" si="332"/>
        <v>0</v>
      </c>
    </row>
    <row r="720" spans="1:48" s="229" customFormat="1" ht="15" customHeight="1">
      <c r="A720" s="385"/>
      <c r="B720" s="357"/>
      <c r="C720" s="366"/>
      <c r="D720" s="317"/>
      <c r="E720" s="837" t="s">
        <v>758</v>
      </c>
      <c r="F720" s="827"/>
      <c r="G720" s="827"/>
      <c r="H720" s="827"/>
      <c r="I720" s="827"/>
      <c r="J720" s="827">
        <f xml:space="preserve"> SUM(L720:AV720)</f>
        <v>-1372.5285068756166</v>
      </c>
      <c r="K720" s="827"/>
      <c r="L720" s="827">
        <f t="shared" ref="L720:AV720" si="333" xml:space="preserve"> L716 + L717 - L718 - L719</f>
        <v>0</v>
      </c>
      <c r="M720" s="827">
        <f t="shared" si="333"/>
        <v>0</v>
      </c>
      <c r="N720" s="827">
        <f t="shared" si="333"/>
        <v>0</v>
      </c>
      <c r="O720" s="827">
        <f t="shared" si="333"/>
        <v>0</v>
      </c>
      <c r="P720" s="827">
        <f t="shared" si="333"/>
        <v>0</v>
      </c>
      <c r="Q720" s="827">
        <f t="shared" si="333"/>
        <v>838.36</v>
      </c>
      <c r="R720" s="827">
        <f t="shared" si="333"/>
        <v>-17.317399999999999</v>
      </c>
      <c r="S720" s="827">
        <f t="shared" si="333"/>
        <v>-69.050010000000015</v>
      </c>
      <c r="T720" s="827">
        <f t="shared" si="333"/>
        <v>-124.25872261111111</v>
      </c>
      <c r="U720" s="827">
        <f t="shared" si="333"/>
        <v>-159.87003100277781</v>
      </c>
      <c r="V720" s="827">
        <f t="shared" si="333"/>
        <v>-167.97982136748016</v>
      </c>
      <c r="W720" s="827">
        <f t="shared" si="333"/>
        <v>-214.13179457260219</v>
      </c>
      <c r="X720" s="827">
        <f t="shared" si="333"/>
        <v>-236.66656375849252</v>
      </c>
      <c r="Y720" s="827">
        <f t="shared" si="333"/>
        <v>-298.98654832226634</v>
      </c>
      <c r="Z720" s="827">
        <f t="shared" si="333"/>
        <v>-341.29453057060636</v>
      </c>
      <c r="AA720" s="827">
        <f t="shared" si="333"/>
        <v>-409.68371015619732</v>
      </c>
      <c r="AB720" s="827">
        <f t="shared" si="333"/>
        <v>-171.64937451408275</v>
      </c>
      <c r="AC720" s="827">
        <f t="shared" si="333"/>
        <v>0</v>
      </c>
      <c r="AD720" s="827">
        <f t="shared" si="333"/>
        <v>0</v>
      </c>
      <c r="AE720" s="827">
        <f t="shared" si="333"/>
        <v>0</v>
      </c>
      <c r="AF720" s="827">
        <f t="shared" si="333"/>
        <v>0</v>
      </c>
      <c r="AG720" s="827">
        <f t="shared" si="333"/>
        <v>0</v>
      </c>
      <c r="AH720" s="827">
        <f t="shared" si="333"/>
        <v>0</v>
      </c>
      <c r="AI720" s="827">
        <f t="shared" si="333"/>
        <v>0</v>
      </c>
      <c r="AJ720" s="827">
        <f t="shared" si="333"/>
        <v>0</v>
      </c>
      <c r="AK720" s="827">
        <f t="shared" si="333"/>
        <v>0</v>
      </c>
      <c r="AL720" s="827">
        <f t="shared" si="333"/>
        <v>0</v>
      </c>
      <c r="AM720" s="827">
        <f t="shared" si="333"/>
        <v>0</v>
      </c>
      <c r="AN720" s="827">
        <f t="shared" si="333"/>
        <v>0</v>
      </c>
      <c r="AO720" s="827">
        <f t="shared" si="333"/>
        <v>0</v>
      </c>
      <c r="AP720" s="827">
        <f t="shared" si="333"/>
        <v>0</v>
      </c>
      <c r="AQ720" s="827">
        <f t="shared" si="333"/>
        <v>0</v>
      </c>
      <c r="AR720" s="827">
        <f t="shared" si="333"/>
        <v>0</v>
      </c>
      <c r="AS720" s="827">
        <f t="shared" si="333"/>
        <v>0</v>
      </c>
      <c r="AT720" s="827">
        <f t="shared" si="333"/>
        <v>0</v>
      </c>
      <c r="AU720" s="827">
        <f t="shared" si="333"/>
        <v>0</v>
      </c>
      <c r="AV720" s="827">
        <f t="shared" si="333"/>
        <v>0</v>
      </c>
    </row>
    <row r="721" spans="1:48" s="229" customFormat="1" ht="15" customHeight="1">
      <c r="A721" s="385"/>
      <c r="B721" s="357"/>
      <c r="C721" s="366"/>
      <c r="D721" s="317"/>
      <c r="E721" s="98" t="s">
        <v>759</v>
      </c>
      <c r="F721" s="98"/>
      <c r="G721" s="98" t="s">
        <v>29</v>
      </c>
      <c r="H721" s="98"/>
      <c r="I721" s="98"/>
      <c r="J721" s="98">
        <f xml:space="preserve"> SUM(L721:AV721)</f>
        <v>1372.5285068756166</v>
      </c>
      <c r="K721" s="98"/>
      <c r="L721" s="98">
        <f t="shared" ref="L721:AV721" si="334" xml:space="preserve"> L709 * ($F711 = $F712)</f>
        <v>0</v>
      </c>
      <c r="M721" s="98">
        <f t="shared" si="334"/>
        <v>0</v>
      </c>
      <c r="N721" s="98">
        <f t="shared" si="334"/>
        <v>0</v>
      </c>
      <c r="O721" s="98">
        <f t="shared" si="334"/>
        <v>0</v>
      </c>
      <c r="P721" s="98">
        <f t="shared" si="334"/>
        <v>0</v>
      </c>
      <c r="Q721" s="98">
        <f t="shared" si="334"/>
        <v>-838.36</v>
      </c>
      <c r="R721" s="98">
        <f t="shared" si="334"/>
        <v>17.317399999999999</v>
      </c>
      <c r="S721" s="98">
        <f t="shared" si="334"/>
        <v>69.050010000000015</v>
      </c>
      <c r="T721" s="98">
        <f t="shared" si="334"/>
        <v>124.2587226111111</v>
      </c>
      <c r="U721" s="98">
        <f t="shared" si="334"/>
        <v>159.87003100277778</v>
      </c>
      <c r="V721" s="98">
        <f t="shared" si="334"/>
        <v>167.97982136748018</v>
      </c>
      <c r="W721" s="98">
        <f t="shared" si="334"/>
        <v>214.13179457260219</v>
      </c>
      <c r="X721" s="98">
        <f t="shared" si="334"/>
        <v>236.66656375849249</v>
      </c>
      <c r="Y721" s="98">
        <f t="shared" si="334"/>
        <v>298.98654832226634</v>
      </c>
      <c r="Z721" s="98">
        <f t="shared" si="334"/>
        <v>341.29453057060636</v>
      </c>
      <c r="AA721" s="98">
        <f t="shared" si="334"/>
        <v>409.68371015619726</v>
      </c>
      <c r="AB721" s="98">
        <f t="shared" si="334"/>
        <v>171.64937451408275</v>
      </c>
      <c r="AC721" s="98">
        <f t="shared" si="334"/>
        <v>0</v>
      </c>
      <c r="AD721" s="98">
        <f t="shared" si="334"/>
        <v>0</v>
      </c>
      <c r="AE721" s="98">
        <f t="shared" si="334"/>
        <v>0</v>
      </c>
      <c r="AF721" s="98">
        <f t="shared" si="334"/>
        <v>0</v>
      </c>
      <c r="AG721" s="98">
        <f t="shared" si="334"/>
        <v>0</v>
      </c>
      <c r="AH721" s="98">
        <f t="shared" si="334"/>
        <v>0</v>
      </c>
      <c r="AI721" s="98">
        <f t="shared" si="334"/>
        <v>0</v>
      </c>
      <c r="AJ721" s="98">
        <f t="shared" si="334"/>
        <v>0</v>
      </c>
      <c r="AK721" s="98">
        <f t="shared" si="334"/>
        <v>0</v>
      </c>
      <c r="AL721" s="98">
        <f t="shared" si="334"/>
        <v>0</v>
      </c>
      <c r="AM721" s="98">
        <f t="shared" si="334"/>
        <v>0</v>
      </c>
      <c r="AN721" s="98">
        <f t="shared" si="334"/>
        <v>0</v>
      </c>
      <c r="AO721" s="98">
        <f t="shared" si="334"/>
        <v>0</v>
      </c>
      <c r="AP721" s="98">
        <f t="shared" si="334"/>
        <v>0</v>
      </c>
      <c r="AQ721" s="98">
        <f t="shared" si="334"/>
        <v>0</v>
      </c>
      <c r="AR721" s="98">
        <f t="shared" si="334"/>
        <v>0</v>
      </c>
      <c r="AS721" s="98">
        <f t="shared" si="334"/>
        <v>0</v>
      </c>
      <c r="AT721" s="98">
        <f t="shared" si="334"/>
        <v>0</v>
      </c>
      <c r="AU721" s="98">
        <f t="shared" si="334"/>
        <v>0</v>
      </c>
      <c r="AV721" s="98">
        <f t="shared" si="334"/>
        <v>0</v>
      </c>
    </row>
    <row r="722" spans="1:48" s="229" customFormat="1" ht="15" customHeight="1">
      <c r="A722" s="385"/>
      <c r="B722" s="357"/>
      <c r="C722" s="366"/>
      <c r="D722" s="317"/>
      <c r="E722" s="98" t="s">
        <v>1269</v>
      </c>
      <c r="F722" s="98"/>
      <c r="G722" s="98" t="s">
        <v>29</v>
      </c>
      <c r="H722" s="98"/>
      <c r="I722" s="98"/>
      <c r="J722" s="98">
        <f xml:space="preserve"> SUM(L722:AV722)</f>
        <v>0</v>
      </c>
      <c r="K722" s="98"/>
      <c r="L722" s="98">
        <f t="shared" ref="L722:AV722" si="335" xml:space="preserve"> L709 * ( $F$711 = $F$713 )</f>
        <v>0</v>
      </c>
      <c r="M722" s="98">
        <f t="shared" si="335"/>
        <v>0</v>
      </c>
      <c r="N722" s="98">
        <f t="shared" si="335"/>
        <v>0</v>
      </c>
      <c r="O722" s="98">
        <f t="shared" si="335"/>
        <v>0</v>
      </c>
      <c r="P722" s="98">
        <f t="shared" si="335"/>
        <v>0</v>
      </c>
      <c r="Q722" s="98">
        <f t="shared" si="335"/>
        <v>0</v>
      </c>
      <c r="R722" s="98">
        <f t="shared" si="335"/>
        <v>0</v>
      </c>
      <c r="S722" s="98">
        <f t="shared" si="335"/>
        <v>0</v>
      </c>
      <c r="T722" s="98">
        <f t="shared" si="335"/>
        <v>0</v>
      </c>
      <c r="U722" s="98">
        <f t="shared" si="335"/>
        <v>0</v>
      </c>
      <c r="V722" s="98">
        <f t="shared" si="335"/>
        <v>0</v>
      </c>
      <c r="W722" s="98">
        <f t="shared" si="335"/>
        <v>0</v>
      </c>
      <c r="X722" s="98">
        <f t="shared" si="335"/>
        <v>0</v>
      </c>
      <c r="Y722" s="98">
        <f t="shared" si="335"/>
        <v>0</v>
      </c>
      <c r="Z722" s="98">
        <f t="shared" si="335"/>
        <v>0</v>
      </c>
      <c r="AA722" s="98">
        <f t="shared" si="335"/>
        <v>0</v>
      </c>
      <c r="AB722" s="98">
        <f t="shared" si="335"/>
        <v>0</v>
      </c>
      <c r="AC722" s="98">
        <f t="shared" si="335"/>
        <v>0</v>
      </c>
      <c r="AD722" s="98">
        <f t="shared" si="335"/>
        <v>0</v>
      </c>
      <c r="AE722" s="98">
        <f t="shared" si="335"/>
        <v>0</v>
      </c>
      <c r="AF722" s="98">
        <f t="shared" si="335"/>
        <v>0</v>
      </c>
      <c r="AG722" s="98">
        <f t="shared" si="335"/>
        <v>0</v>
      </c>
      <c r="AH722" s="98">
        <f t="shared" si="335"/>
        <v>0</v>
      </c>
      <c r="AI722" s="98">
        <f t="shared" si="335"/>
        <v>0</v>
      </c>
      <c r="AJ722" s="98">
        <f t="shared" si="335"/>
        <v>0</v>
      </c>
      <c r="AK722" s="98">
        <f t="shared" si="335"/>
        <v>0</v>
      </c>
      <c r="AL722" s="98">
        <f t="shared" si="335"/>
        <v>0</v>
      </c>
      <c r="AM722" s="98">
        <f t="shared" si="335"/>
        <v>0</v>
      </c>
      <c r="AN722" s="98">
        <f t="shared" si="335"/>
        <v>0</v>
      </c>
      <c r="AO722" s="98">
        <f t="shared" si="335"/>
        <v>0</v>
      </c>
      <c r="AP722" s="98">
        <f t="shared" si="335"/>
        <v>0</v>
      </c>
      <c r="AQ722" s="98">
        <f t="shared" si="335"/>
        <v>0</v>
      </c>
      <c r="AR722" s="98">
        <f t="shared" si="335"/>
        <v>0</v>
      </c>
      <c r="AS722" s="98">
        <f t="shared" si="335"/>
        <v>0</v>
      </c>
      <c r="AT722" s="98">
        <f t="shared" si="335"/>
        <v>0</v>
      </c>
      <c r="AU722" s="98">
        <f t="shared" si="335"/>
        <v>0</v>
      </c>
      <c r="AV722" s="98">
        <f t="shared" si="335"/>
        <v>0</v>
      </c>
    </row>
    <row r="723" spans="1:48" s="323" customFormat="1" ht="15" customHeight="1">
      <c r="A723" s="440"/>
      <c r="B723" s="435"/>
      <c r="C723" s="439"/>
      <c r="D723" s="859"/>
    </row>
    <row r="724" spans="1:48" s="229" customFormat="1" ht="15" customHeight="1">
      <c r="A724" s="385"/>
      <c r="B724" s="357"/>
      <c r="C724" s="366"/>
      <c r="D724" s="317"/>
      <c r="E724" s="76" t="str">
        <f xml:space="preserve"> InputsCon!E$130</f>
        <v>Interest withholding tax</v>
      </c>
      <c r="F724" s="268">
        <f xml:space="preserve"> InputsCon!F$130</f>
        <v>0</v>
      </c>
      <c r="G724" s="76" t="str">
        <f xml:space="preserve"> InputsCon!G$130</f>
        <v>%</v>
      </c>
      <c r="H724" s="76">
        <f xml:space="preserve"> InputsCon!H$130</f>
        <v>0</v>
      </c>
      <c r="I724" s="76" t="str">
        <f xml:space="preserve"> InputsCon!I$130</f>
        <v>source</v>
      </c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  <c r="Z724" s="98"/>
      <c r="AA724" s="98"/>
      <c r="AB724" s="98"/>
      <c r="AC724" s="98"/>
      <c r="AD724" s="98"/>
      <c r="AE724" s="98"/>
      <c r="AF724" s="98"/>
      <c r="AG724" s="98"/>
      <c r="AH724" s="98"/>
      <c r="AI724" s="98"/>
      <c r="AJ724" s="98"/>
      <c r="AK724" s="98"/>
      <c r="AL724" s="98"/>
      <c r="AM724" s="98"/>
      <c r="AN724" s="98"/>
      <c r="AO724" s="98"/>
      <c r="AP724" s="98"/>
      <c r="AQ724" s="98"/>
      <c r="AR724" s="98"/>
      <c r="AS724" s="98"/>
      <c r="AT724" s="98"/>
      <c r="AU724" s="98"/>
      <c r="AV724" s="98"/>
    </row>
    <row r="725" spans="1:48" s="229" customFormat="1" ht="15" customHeight="1">
      <c r="A725" s="385"/>
      <c r="B725" s="357"/>
      <c r="C725" s="366"/>
      <c r="D725" s="317"/>
      <c r="E725" s="98" t="s">
        <v>751</v>
      </c>
      <c r="F725" s="98"/>
      <c r="G725" s="98" t="s">
        <v>29</v>
      </c>
      <c r="H725" s="98"/>
      <c r="I725" s="98"/>
      <c r="J725" s="98">
        <f xml:space="preserve"> SUM(L725:AV725)</f>
        <v>0</v>
      </c>
      <c r="K725" s="98"/>
      <c r="L725" s="98">
        <f t="shared" ref="L725:AV725" si="336" xml:space="preserve"> L709 * $F$724</f>
        <v>0</v>
      </c>
      <c r="M725" s="98">
        <f t="shared" si="336"/>
        <v>0</v>
      </c>
      <c r="N725" s="98">
        <f t="shared" si="336"/>
        <v>0</v>
      </c>
      <c r="O725" s="98">
        <f t="shared" si="336"/>
        <v>0</v>
      </c>
      <c r="P725" s="98">
        <f t="shared" si="336"/>
        <v>0</v>
      </c>
      <c r="Q725" s="98">
        <f t="shared" si="336"/>
        <v>0</v>
      </c>
      <c r="R725" s="98">
        <f t="shared" si="336"/>
        <v>0</v>
      </c>
      <c r="S725" s="98">
        <f t="shared" si="336"/>
        <v>0</v>
      </c>
      <c r="T725" s="98">
        <f t="shared" si="336"/>
        <v>0</v>
      </c>
      <c r="U725" s="98">
        <f t="shared" si="336"/>
        <v>0</v>
      </c>
      <c r="V725" s="98">
        <f t="shared" si="336"/>
        <v>0</v>
      </c>
      <c r="W725" s="98">
        <f t="shared" si="336"/>
        <v>0</v>
      </c>
      <c r="X725" s="98">
        <f t="shared" si="336"/>
        <v>0</v>
      </c>
      <c r="Y725" s="98">
        <f t="shared" si="336"/>
        <v>0</v>
      </c>
      <c r="Z725" s="98">
        <f t="shared" si="336"/>
        <v>0</v>
      </c>
      <c r="AA725" s="98">
        <f t="shared" si="336"/>
        <v>0</v>
      </c>
      <c r="AB725" s="98">
        <f t="shared" si="336"/>
        <v>0</v>
      </c>
      <c r="AC725" s="98">
        <f t="shared" si="336"/>
        <v>0</v>
      </c>
      <c r="AD725" s="98">
        <f t="shared" si="336"/>
        <v>0</v>
      </c>
      <c r="AE725" s="98">
        <f t="shared" si="336"/>
        <v>0</v>
      </c>
      <c r="AF725" s="98">
        <f t="shared" si="336"/>
        <v>0</v>
      </c>
      <c r="AG725" s="98">
        <f t="shared" si="336"/>
        <v>0</v>
      </c>
      <c r="AH725" s="98">
        <f t="shared" si="336"/>
        <v>0</v>
      </c>
      <c r="AI725" s="98">
        <f t="shared" si="336"/>
        <v>0</v>
      </c>
      <c r="AJ725" s="98">
        <f t="shared" si="336"/>
        <v>0</v>
      </c>
      <c r="AK725" s="98">
        <f t="shared" si="336"/>
        <v>0</v>
      </c>
      <c r="AL725" s="98">
        <f t="shared" si="336"/>
        <v>0</v>
      </c>
      <c r="AM725" s="98">
        <f t="shared" si="336"/>
        <v>0</v>
      </c>
      <c r="AN725" s="98">
        <f t="shared" si="336"/>
        <v>0</v>
      </c>
      <c r="AO725" s="98">
        <f t="shared" si="336"/>
        <v>0</v>
      </c>
      <c r="AP725" s="98">
        <f t="shared" si="336"/>
        <v>0</v>
      </c>
      <c r="AQ725" s="98">
        <f t="shared" si="336"/>
        <v>0</v>
      </c>
      <c r="AR725" s="98">
        <f t="shared" si="336"/>
        <v>0</v>
      </c>
      <c r="AS725" s="98">
        <f t="shared" si="336"/>
        <v>0</v>
      </c>
      <c r="AT725" s="98">
        <f t="shared" si="336"/>
        <v>0</v>
      </c>
      <c r="AU725" s="98">
        <f t="shared" si="336"/>
        <v>0</v>
      </c>
      <c r="AV725" s="98">
        <f t="shared" si="336"/>
        <v>0</v>
      </c>
    </row>
    <row r="726" spans="1:48" s="229" customFormat="1" ht="15" customHeight="1">
      <c r="A726" s="385"/>
      <c r="B726" s="357"/>
      <c r="C726" s="366"/>
      <c r="D726" s="317"/>
      <c r="E726" s="102"/>
      <c r="F726" s="98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269"/>
      <c r="Y726" s="269"/>
      <c r="Z726" s="98"/>
      <c r="AA726" s="98"/>
      <c r="AB726" s="98"/>
      <c r="AC726" s="98"/>
      <c r="AD726" s="98"/>
      <c r="AE726" s="98"/>
      <c r="AF726" s="98"/>
      <c r="AG726" s="98"/>
      <c r="AH726" s="98"/>
      <c r="AI726" s="98"/>
      <c r="AJ726" s="98"/>
      <c r="AK726" s="98"/>
      <c r="AL726" s="98"/>
      <c r="AM726" s="98"/>
      <c r="AN726" s="98"/>
      <c r="AO726" s="98"/>
      <c r="AP726" s="98"/>
      <c r="AQ726" s="98"/>
      <c r="AR726" s="98"/>
      <c r="AS726" s="98"/>
      <c r="AT726" s="98"/>
      <c r="AU726" s="98"/>
      <c r="AV726" s="98"/>
    </row>
    <row r="727" spans="1:48" s="160" customFormat="1" ht="15" customHeight="1">
      <c r="A727" s="164" t="s">
        <v>1259</v>
      </c>
      <c r="B727" s="162"/>
      <c r="C727" s="315"/>
      <c r="D727" s="386"/>
      <c r="E727" s="162"/>
      <c r="F727" s="162"/>
      <c r="G727" s="162"/>
      <c r="H727" s="162"/>
    </row>
    <row r="728" spans="1:48" s="3" customFormat="1" ht="15" customHeight="1">
      <c r="C728" s="434"/>
      <c r="D728" s="850"/>
    </row>
    <row r="729" spans="1:48" s="3" customFormat="1" ht="15" customHeight="1">
      <c r="B729" s="241" t="s">
        <v>1262</v>
      </c>
      <c r="C729" s="434"/>
      <c r="D729" s="850"/>
    </row>
    <row r="730" spans="1:48" s="3" customFormat="1" ht="15" customHeight="1">
      <c r="C730" s="434"/>
      <c r="D730" s="850"/>
      <c r="E730" s="3" t="str">
        <f t="shared" ref="E730:AV730" si="337" xml:space="preserve"> E$602</f>
        <v>Metalkol Cashflow after tax</v>
      </c>
      <c r="F730" s="3">
        <f t="shared" si="337"/>
        <v>0</v>
      </c>
      <c r="G730" s="3" t="str">
        <f t="shared" si="337"/>
        <v>$ mn</v>
      </c>
      <c r="H730" s="3">
        <f t="shared" si="337"/>
        <v>0</v>
      </c>
      <c r="I730" s="3">
        <f t="shared" si="337"/>
        <v>0</v>
      </c>
      <c r="J730" s="3">
        <f t="shared" si="337"/>
        <v>4540.3243763995642</v>
      </c>
      <c r="K730" s="3">
        <f t="shared" si="337"/>
        <v>0</v>
      </c>
      <c r="L730" s="3">
        <f t="shared" si="337"/>
        <v>0</v>
      </c>
      <c r="M730" s="3">
        <f t="shared" si="337"/>
        <v>0</v>
      </c>
      <c r="N730" s="3">
        <f t="shared" si="337"/>
        <v>0</v>
      </c>
      <c r="O730" s="3">
        <f t="shared" si="337"/>
        <v>0</v>
      </c>
      <c r="P730" s="3">
        <f t="shared" si="337"/>
        <v>-946.95764879847923</v>
      </c>
      <c r="Q730" s="3">
        <f t="shared" si="337"/>
        <v>501.61658460010506</v>
      </c>
      <c r="R730" s="3">
        <f t="shared" si="337"/>
        <v>204.99402695506274</v>
      </c>
      <c r="S730" s="3">
        <f t="shared" si="337"/>
        <v>687.49619317974657</v>
      </c>
      <c r="T730" s="3">
        <f t="shared" si="337"/>
        <v>712.49190530438136</v>
      </c>
      <c r="U730" s="3">
        <f t="shared" si="337"/>
        <v>410.33402270158717</v>
      </c>
      <c r="V730" s="3">
        <f t="shared" si="337"/>
        <v>294.65305171112095</v>
      </c>
      <c r="W730" s="3">
        <f t="shared" si="337"/>
        <v>395.39937364837988</v>
      </c>
      <c r="X730" s="3">
        <f t="shared" si="337"/>
        <v>345.71486152287639</v>
      </c>
      <c r="Y730" s="3">
        <f t="shared" si="337"/>
        <v>342.94375075502694</v>
      </c>
      <c r="Z730" s="3">
        <f t="shared" si="337"/>
        <v>328.16688707779031</v>
      </c>
      <c r="AA730" s="3">
        <f t="shared" si="337"/>
        <v>321.68301381470155</v>
      </c>
      <c r="AB730" s="3">
        <f t="shared" si="337"/>
        <v>270.70993906364743</v>
      </c>
      <c r="AC730" s="3">
        <f t="shared" si="337"/>
        <v>327.03591485157972</v>
      </c>
      <c r="AD730" s="3">
        <f t="shared" si="337"/>
        <v>344.04250001203786</v>
      </c>
      <c r="AE730" s="3">
        <f t="shared" si="337"/>
        <v>0</v>
      </c>
      <c r="AF730" s="3">
        <f t="shared" si="337"/>
        <v>0</v>
      </c>
      <c r="AG730" s="3">
        <f t="shared" si="337"/>
        <v>0</v>
      </c>
      <c r="AH730" s="3">
        <f t="shared" si="337"/>
        <v>0</v>
      </c>
      <c r="AI730" s="3">
        <f t="shared" si="337"/>
        <v>0</v>
      </c>
      <c r="AJ730" s="3">
        <f t="shared" si="337"/>
        <v>0</v>
      </c>
      <c r="AK730" s="3">
        <f t="shared" si="337"/>
        <v>0</v>
      </c>
      <c r="AL730" s="3">
        <f t="shared" si="337"/>
        <v>0</v>
      </c>
      <c r="AM730" s="3">
        <f t="shared" si="337"/>
        <v>0</v>
      </c>
      <c r="AN730" s="3">
        <f t="shared" si="337"/>
        <v>0</v>
      </c>
      <c r="AO730" s="3">
        <f t="shared" si="337"/>
        <v>0</v>
      </c>
      <c r="AP730" s="3">
        <f t="shared" si="337"/>
        <v>0</v>
      </c>
      <c r="AQ730" s="3">
        <f t="shared" si="337"/>
        <v>0</v>
      </c>
      <c r="AR730" s="3">
        <f t="shared" si="337"/>
        <v>0</v>
      </c>
      <c r="AS730" s="3">
        <f t="shared" si="337"/>
        <v>0</v>
      </c>
      <c r="AT730" s="3">
        <f t="shared" si="337"/>
        <v>0</v>
      </c>
      <c r="AU730" s="3">
        <f t="shared" si="337"/>
        <v>0</v>
      </c>
      <c r="AV730" s="3">
        <f t="shared" si="337"/>
        <v>0</v>
      </c>
    </row>
    <row r="731" spans="1:48" s="8" customFormat="1" ht="15" customHeight="1">
      <c r="C731" s="478"/>
      <c r="D731" s="860"/>
      <c r="E731" s="8" t="str">
        <f t="shared" ref="E731:AV731" si="338" xml:space="preserve"> E$720</f>
        <v>[Net Debt cashflows (borrower)]</v>
      </c>
      <c r="F731" s="8">
        <f t="shared" si="338"/>
        <v>0</v>
      </c>
      <c r="G731" s="8">
        <f t="shared" si="338"/>
        <v>0</v>
      </c>
      <c r="H731" s="8">
        <f t="shared" si="338"/>
        <v>0</v>
      </c>
      <c r="I731" s="8">
        <f t="shared" si="338"/>
        <v>0</v>
      </c>
      <c r="J731" s="8">
        <f t="shared" si="338"/>
        <v>-1372.5285068756166</v>
      </c>
      <c r="K731" s="8">
        <f t="shared" si="338"/>
        <v>0</v>
      </c>
      <c r="L731" s="8">
        <f t="shared" si="338"/>
        <v>0</v>
      </c>
      <c r="M731" s="8">
        <f t="shared" si="338"/>
        <v>0</v>
      </c>
      <c r="N731" s="8">
        <f t="shared" si="338"/>
        <v>0</v>
      </c>
      <c r="O731" s="8">
        <f t="shared" si="338"/>
        <v>0</v>
      </c>
      <c r="P731" s="8">
        <f t="shared" si="338"/>
        <v>0</v>
      </c>
      <c r="Q731" s="8">
        <f t="shared" si="338"/>
        <v>838.36</v>
      </c>
      <c r="R731" s="8">
        <f t="shared" si="338"/>
        <v>-17.317399999999999</v>
      </c>
      <c r="S731" s="8">
        <f t="shared" si="338"/>
        <v>-69.050010000000015</v>
      </c>
      <c r="T731" s="8">
        <f t="shared" si="338"/>
        <v>-124.25872261111111</v>
      </c>
      <c r="U731" s="8">
        <f t="shared" si="338"/>
        <v>-159.87003100277781</v>
      </c>
      <c r="V731" s="8">
        <f t="shared" si="338"/>
        <v>-167.97982136748016</v>
      </c>
      <c r="W731" s="8">
        <f t="shared" si="338"/>
        <v>-214.13179457260219</v>
      </c>
      <c r="X731" s="8">
        <f t="shared" si="338"/>
        <v>-236.66656375849252</v>
      </c>
      <c r="Y731" s="8">
        <f t="shared" si="338"/>
        <v>-298.98654832226634</v>
      </c>
      <c r="Z731" s="8">
        <f t="shared" si="338"/>
        <v>-341.29453057060636</v>
      </c>
      <c r="AA731" s="8">
        <f t="shared" si="338"/>
        <v>-409.68371015619732</v>
      </c>
      <c r="AB731" s="8">
        <f t="shared" si="338"/>
        <v>-171.64937451408275</v>
      </c>
      <c r="AC731" s="8">
        <f t="shared" si="338"/>
        <v>0</v>
      </c>
      <c r="AD731" s="8">
        <f t="shared" si="338"/>
        <v>0</v>
      </c>
      <c r="AE731" s="8">
        <f t="shared" si="338"/>
        <v>0</v>
      </c>
      <c r="AF731" s="8">
        <f t="shared" si="338"/>
        <v>0</v>
      </c>
      <c r="AG731" s="8">
        <f t="shared" si="338"/>
        <v>0</v>
      </c>
      <c r="AH731" s="8">
        <f t="shared" si="338"/>
        <v>0</v>
      </c>
      <c r="AI731" s="8">
        <f t="shared" si="338"/>
        <v>0</v>
      </c>
      <c r="AJ731" s="8">
        <f t="shared" si="338"/>
        <v>0</v>
      </c>
      <c r="AK731" s="8">
        <f t="shared" si="338"/>
        <v>0</v>
      </c>
      <c r="AL731" s="8">
        <f t="shared" si="338"/>
        <v>0</v>
      </c>
      <c r="AM731" s="8">
        <f t="shared" si="338"/>
        <v>0</v>
      </c>
      <c r="AN731" s="8">
        <f t="shared" si="338"/>
        <v>0</v>
      </c>
      <c r="AO731" s="8">
        <f t="shared" si="338"/>
        <v>0</v>
      </c>
      <c r="AP731" s="8">
        <f t="shared" si="338"/>
        <v>0</v>
      </c>
      <c r="AQ731" s="8">
        <f t="shared" si="338"/>
        <v>0</v>
      </c>
      <c r="AR731" s="8">
        <f t="shared" si="338"/>
        <v>0</v>
      </c>
      <c r="AS731" s="8">
        <f t="shared" si="338"/>
        <v>0</v>
      </c>
      <c r="AT731" s="8">
        <f t="shared" si="338"/>
        <v>0</v>
      </c>
      <c r="AU731" s="8">
        <f t="shared" si="338"/>
        <v>0</v>
      </c>
      <c r="AV731" s="8">
        <f t="shared" si="338"/>
        <v>0</v>
      </c>
    </row>
    <row r="732" spans="1:48" s="8" customFormat="1" ht="15" customHeight="1">
      <c r="C732" s="478"/>
      <c r="D732" s="860"/>
      <c r="E732" s="8" t="s">
        <v>1261</v>
      </c>
      <c r="G732" s="8" t="s">
        <v>29</v>
      </c>
      <c r="J732" s="8">
        <f xml:space="preserve"> SUM(L732:AV732)</f>
        <v>3167.7958695239486</v>
      </c>
      <c r="L732" s="8">
        <f t="shared" ref="L732:AV732" si="339" xml:space="preserve"> L730 + L731</f>
        <v>0</v>
      </c>
      <c r="M732" s="8">
        <f t="shared" si="339"/>
        <v>0</v>
      </c>
      <c r="N732" s="8">
        <f t="shared" si="339"/>
        <v>0</v>
      </c>
      <c r="O732" s="8">
        <f t="shared" si="339"/>
        <v>0</v>
      </c>
      <c r="P732" s="8">
        <f t="shared" si="339"/>
        <v>-946.95764879847923</v>
      </c>
      <c r="Q732" s="8">
        <f t="shared" si="339"/>
        <v>1339.9765846001051</v>
      </c>
      <c r="R732" s="8">
        <f t="shared" si="339"/>
        <v>187.67662695506274</v>
      </c>
      <c r="S732" s="8">
        <f t="shared" si="339"/>
        <v>618.44618317974653</v>
      </c>
      <c r="T732" s="8">
        <f t="shared" si="339"/>
        <v>588.23318269327024</v>
      </c>
      <c r="U732" s="8">
        <f t="shared" si="339"/>
        <v>250.46399169880937</v>
      </c>
      <c r="V732" s="8">
        <f t="shared" si="339"/>
        <v>126.6732303436408</v>
      </c>
      <c r="W732" s="8">
        <f t="shared" si="339"/>
        <v>181.26757907577769</v>
      </c>
      <c r="X732" s="8">
        <f t="shared" si="339"/>
        <v>109.04829776438388</v>
      </c>
      <c r="Y732" s="8">
        <f t="shared" si="339"/>
        <v>43.957202432760596</v>
      </c>
      <c r="Z732" s="8">
        <f t="shared" si="339"/>
        <v>-13.127643492816048</v>
      </c>
      <c r="AA732" s="8">
        <f t="shared" si="339"/>
        <v>-88.000696341495768</v>
      </c>
      <c r="AB732" s="8">
        <f t="shared" si="339"/>
        <v>99.060564549564674</v>
      </c>
      <c r="AC732" s="8">
        <f t="shared" si="339"/>
        <v>327.03591485157972</v>
      </c>
      <c r="AD732" s="8">
        <f t="shared" si="339"/>
        <v>344.04250001203786</v>
      </c>
      <c r="AE732" s="8">
        <f t="shared" si="339"/>
        <v>0</v>
      </c>
      <c r="AF732" s="8">
        <f t="shared" si="339"/>
        <v>0</v>
      </c>
      <c r="AG732" s="8">
        <f t="shared" si="339"/>
        <v>0</v>
      </c>
      <c r="AH732" s="8">
        <f t="shared" si="339"/>
        <v>0</v>
      </c>
      <c r="AI732" s="8">
        <f t="shared" si="339"/>
        <v>0</v>
      </c>
      <c r="AJ732" s="8">
        <f t="shared" si="339"/>
        <v>0</v>
      </c>
      <c r="AK732" s="8">
        <f t="shared" si="339"/>
        <v>0</v>
      </c>
      <c r="AL732" s="8">
        <f t="shared" si="339"/>
        <v>0</v>
      </c>
      <c r="AM732" s="8">
        <f t="shared" si="339"/>
        <v>0</v>
      </c>
      <c r="AN732" s="8">
        <f t="shared" si="339"/>
        <v>0</v>
      </c>
      <c r="AO732" s="8">
        <f t="shared" si="339"/>
        <v>0</v>
      </c>
      <c r="AP732" s="8">
        <f t="shared" si="339"/>
        <v>0</v>
      </c>
      <c r="AQ732" s="8">
        <f t="shared" si="339"/>
        <v>0</v>
      </c>
      <c r="AR732" s="8">
        <f t="shared" si="339"/>
        <v>0</v>
      </c>
      <c r="AS732" s="8">
        <f t="shared" si="339"/>
        <v>0</v>
      </c>
      <c r="AT732" s="8">
        <f t="shared" si="339"/>
        <v>0</v>
      </c>
      <c r="AU732" s="8">
        <f t="shared" si="339"/>
        <v>0</v>
      </c>
      <c r="AV732" s="8">
        <f t="shared" si="339"/>
        <v>0</v>
      </c>
    </row>
    <row r="733" spans="1:48" s="3" customFormat="1" ht="15" customHeight="1">
      <c r="C733" s="434"/>
      <c r="D733" s="850"/>
    </row>
    <row r="734" spans="1:48" s="160" customFormat="1" ht="15" customHeight="1">
      <c r="A734" s="164" t="s">
        <v>1265</v>
      </c>
      <c r="B734" s="162"/>
      <c r="C734" s="315"/>
      <c r="D734" s="386"/>
      <c r="E734" s="162"/>
      <c r="F734" s="162"/>
      <c r="G734" s="162"/>
      <c r="H734" s="162"/>
    </row>
    <row r="735" spans="1:48" s="229" customFormat="1" ht="15" customHeight="1">
      <c r="A735" s="225"/>
      <c r="B735" s="226"/>
      <c r="C735" s="325"/>
      <c r="D735" s="387"/>
      <c r="E735" s="226"/>
      <c r="F735" s="226"/>
      <c r="G735" s="226"/>
      <c r="H735" s="226"/>
    </row>
    <row r="736" spans="1:48" s="202" customFormat="1" ht="15" customHeight="1">
      <c r="C736" s="384"/>
      <c r="D736" s="858"/>
      <c r="E736" s="202" t="str">
        <f t="shared" ref="E736:AV736" si="340" xml:space="preserve"> E$732</f>
        <v>Metalkol cashflows after debt</v>
      </c>
      <c r="F736" s="202">
        <f t="shared" si="340"/>
        <v>0</v>
      </c>
      <c r="G736" s="202" t="str">
        <f t="shared" si="340"/>
        <v>$ mn</v>
      </c>
      <c r="H736" s="202">
        <f t="shared" si="340"/>
        <v>0</v>
      </c>
      <c r="I736" s="202">
        <f t="shared" si="340"/>
        <v>0</v>
      </c>
      <c r="J736" s="202">
        <f t="shared" si="340"/>
        <v>3167.7958695239486</v>
      </c>
      <c r="K736" s="202">
        <f t="shared" si="340"/>
        <v>0</v>
      </c>
      <c r="L736" s="202">
        <f t="shared" si="340"/>
        <v>0</v>
      </c>
      <c r="M736" s="202">
        <f t="shared" si="340"/>
        <v>0</v>
      </c>
      <c r="N736" s="202">
        <f t="shared" si="340"/>
        <v>0</v>
      </c>
      <c r="O736" s="202">
        <f t="shared" si="340"/>
        <v>0</v>
      </c>
      <c r="P736" s="202">
        <f t="shared" si="340"/>
        <v>-946.95764879847923</v>
      </c>
      <c r="Q736" s="202">
        <f t="shared" si="340"/>
        <v>1339.9765846001051</v>
      </c>
      <c r="R736" s="202">
        <f t="shared" si="340"/>
        <v>187.67662695506274</v>
      </c>
      <c r="S736" s="202">
        <f t="shared" si="340"/>
        <v>618.44618317974653</v>
      </c>
      <c r="T736" s="202">
        <f t="shared" si="340"/>
        <v>588.23318269327024</v>
      </c>
      <c r="U736" s="202">
        <f t="shared" si="340"/>
        <v>250.46399169880937</v>
      </c>
      <c r="V736" s="202">
        <f t="shared" si="340"/>
        <v>126.6732303436408</v>
      </c>
      <c r="W736" s="202">
        <f t="shared" si="340"/>
        <v>181.26757907577769</v>
      </c>
      <c r="X736" s="202">
        <f t="shared" si="340"/>
        <v>109.04829776438388</v>
      </c>
      <c r="Y736" s="202">
        <f t="shared" si="340"/>
        <v>43.957202432760596</v>
      </c>
      <c r="Z736" s="202">
        <f t="shared" si="340"/>
        <v>-13.127643492816048</v>
      </c>
      <c r="AA736" s="202">
        <f t="shared" si="340"/>
        <v>-88.000696341495768</v>
      </c>
      <c r="AB736" s="202">
        <f t="shared" si="340"/>
        <v>99.060564549564674</v>
      </c>
      <c r="AC736" s="202">
        <f t="shared" si="340"/>
        <v>327.03591485157972</v>
      </c>
      <c r="AD736" s="202">
        <f t="shared" si="340"/>
        <v>344.04250001203786</v>
      </c>
      <c r="AE736" s="202">
        <f t="shared" si="340"/>
        <v>0</v>
      </c>
      <c r="AF736" s="202">
        <f t="shared" si="340"/>
        <v>0</v>
      </c>
      <c r="AG736" s="202">
        <f t="shared" si="340"/>
        <v>0</v>
      </c>
      <c r="AH736" s="202">
        <f t="shared" si="340"/>
        <v>0</v>
      </c>
      <c r="AI736" s="202">
        <f t="shared" si="340"/>
        <v>0</v>
      </c>
      <c r="AJ736" s="202">
        <f t="shared" si="340"/>
        <v>0</v>
      </c>
      <c r="AK736" s="202">
        <f t="shared" si="340"/>
        <v>0</v>
      </c>
      <c r="AL736" s="202">
        <f t="shared" si="340"/>
        <v>0</v>
      </c>
      <c r="AM736" s="202">
        <f t="shared" si="340"/>
        <v>0</v>
      </c>
      <c r="AN736" s="202">
        <f t="shared" si="340"/>
        <v>0</v>
      </c>
      <c r="AO736" s="202">
        <f t="shared" si="340"/>
        <v>0</v>
      </c>
      <c r="AP736" s="202">
        <f t="shared" si="340"/>
        <v>0</v>
      </c>
      <c r="AQ736" s="202">
        <f t="shared" si="340"/>
        <v>0</v>
      </c>
      <c r="AR736" s="202">
        <f t="shared" si="340"/>
        <v>0</v>
      </c>
      <c r="AS736" s="202">
        <f t="shared" si="340"/>
        <v>0</v>
      </c>
      <c r="AT736" s="202">
        <f t="shared" si="340"/>
        <v>0</v>
      </c>
      <c r="AU736" s="202">
        <f t="shared" si="340"/>
        <v>0</v>
      </c>
      <c r="AV736" s="202">
        <f t="shared" si="340"/>
        <v>0</v>
      </c>
    </row>
    <row r="737" spans="1:48" s="229" customFormat="1" ht="15" customHeight="1">
      <c r="A737" s="225"/>
      <c r="B737" s="226"/>
      <c r="C737" s="325"/>
      <c r="D737" s="387"/>
      <c r="E737" s="226"/>
      <c r="F737" s="226"/>
      <c r="G737" s="226"/>
      <c r="H737" s="226"/>
    </row>
    <row r="738" spans="1:48" s="229" customFormat="1" ht="15" customHeight="1">
      <c r="A738" s="225"/>
      <c r="B738" s="226"/>
      <c r="C738" s="325" t="s">
        <v>1302</v>
      </c>
      <c r="D738" s="387"/>
      <c r="E738" s="226"/>
      <c r="F738" s="226"/>
      <c r="G738" s="226"/>
      <c r="H738" s="226"/>
    </row>
    <row r="739" spans="1:48" ht="15" customHeight="1">
      <c r="E739" s="70" t="str">
        <f xml:space="preserve"> InputsCon!E$168</f>
        <v>Gecamines share of project</v>
      </c>
      <c r="F739" s="268">
        <f xml:space="preserve"> InputsCon!F$168</f>
        <v>0.05</v>
      </c>
      <c r="G739" s="132" t="str">
        <f xml:space="preserve"> InputsCon!G$168</f>
        <v>%</v>
      </c>
      <c r="H739" s="320"/>
      <c r="I739" s="320"/>
      <c r="J739" s="320"/>
      <c r="L739" s="320"/>
      <c r="M739" s="320"/>
      <c r="N739" s="320"/>
      <c r="O739" s="320"/>
      <c r="P739" s="320"/>
      <c r="Q739" s="320"/>
      <c r="R739" s="320"/>
      <c r="S739" s="320"/>
      <c r="T739" s="320"/>
      <c r="U739" s="320"/>
      <c r="V739" s="320"/>
      <c r="W739" s="320"/>
      <c r="X739" s="320"/>
      <c r="Y739" s="320"/>
      <c r="Z739" s="320"/>
      <c r="AA739" s="320"/>
      <c r="AB739" s="320"/>
      <c r="AC739" s="320"/>
      <c r="AD739" s="320"/>
      <c r="AE739" s="320"/>
      <c r="AF739" s="320"/>
      <c r="AG739" s="320"/>
      <c r="AH739" s="320"/>
      <c r="AI739" s="320"/>
      <c r="AJ739" s="320"/>
      <c r="AK739" s="320"/>
      <c r="AL739" s="320"/>
      <c r="AM739" s="320"/>
      <c r="AN739" s="320"/>
      <c r="AO739" s="320"/>
      <c r="AP739" s="320"/>
      <c r="AQ739" s="320"/>
      <c r="AR739" s="320"/>
      <c r="AS739" s="320"/>
      <c r="AT739" s="320"/>
      <c r="AU739" s="320"/>
      <c r="AV739" s="320"/>
    </row>
    <row r="740" spans="1:48" s="805" customFormat="1" ht="15" customHeight="1">
      <c r="A740" s="879"/>
      <c r="B740" s="879"/>
      <c r="C740" s="191"/>
      <c r="D740" s="880"/>
      <c r="E740" s="62" t="s">
        <v>1300</v>
      </c>
      <c r="F740" s="881"/>
      <c r="G740" s="150" t="s">
        <v>26</v>
      </c>
      <c r="H740" s="150"/>
      <c r="I740" s="150"/>
      <c r="J740" s="150"/>
      <c r="K740" s="150"/>
      <c r="L740" s="204">
        <f t="shared" ref="L740:AV740" si="341" xml:space="preserve"> $F$739</f>
        <v>0.05</v>
      </c>
      <c r="M740" s="204">
        <f t="shared" si="341"/>
        <v>0.05</v>
      </c>
      <c r="N740" s="204">
        <f t="shared" si="341"/>
        <v>0.05</v>
      </c>
      <c r="O740" s="204">
        <f t="shared" si="341"/>
        <v>0.05</v>
      </c>
      <c r="P740" s="204">
        <f t="shared" si="341"/>
        <v>0.05</v>
      </c>
      <c r="Q740" s="204">
        <f t="shared" si="341"/>
        <v>0.05</v>
      </c>
      <c r="R740" s="204">
        <f t="shared" si="341"/>
        <v>0.05</v>
      </c>
      <c r="S740" s="204">
        <f t="shared" si="341"/>
        <v>0.05</v>
      </c>
      <c r="T740" s="204">
        <f t="shared" si="341"/>
        <v>0.05</v>
      </c>
      <c r="U740" s="204">
        <f t="shared" si="341"/>
        <v>0.05</v>
      </c>
      <c r="V740" s="204">
        <f t="shared" si="341"/>
        <v>0.05</v>
      </c>
      <c r="W740" s="204">
        <f t="shared" si="341"/>
        <v>0.05</v>
      </c>
      <c r="X740" s="204">
        <f t="shared" si="341"/>
        <v>0.05</v>
      </c>
      <c r="Y740" s="204">
        <f t="shared" si="341"/>
        <v>0.05</v>
      </c>
      <c r="Z740" s="204">
        <f t="shared" si="341"/>
        <v>0.05</v>
      </c>
      <c r="AA740" s="204">
        <f t="shared" si="341"/>
        <v>0.05</v>
      </c>
      <c r="AB740" s="204">
        <f t="shared" si="341"/>
        <v>0.05</v>
      </c>
      <c r="AC740" s="204">
        <f t="shared" si="341"/>
        <v>0.05</v>
      </c>
      <c r="AD740" s="204">
        <f t="shared" si="341"/>
        <v>0.05</v>
      </c>
      <c r="AE740" s="204">
        <f t="shared" si="341"/>
        <v>0.05</v>
      </c>
      <c r="AF740" s="204">
        <f t="shared" si="341"/>
        <v>0.05</v>
      </c>
      <c r="AG740" s="204">
        <f t="shared" si="341"/>
        <v>0.05</v>
      </c>
      <c r="AH740" s="204">
        <f t="shared" si="341"/>
        <v>0.05</v>
      </c>
      <c r="AI740" s="204">
        <f t="shared" si="341"/>
        <v>0.05</v>
      </c>
      <c r="AJ740" s="204">
        <f t="shared" si="341"/>
        <v>0.05</v>
      </c>
      <c r="AK740" s="204">
        <f t="shared" si="341"/>
        <v>0.05</v>
      </c>
      <c r="AL740" s="204">
        <f t="shared" si="341"/>
        <v>0.05</v>
      </c>
      <c r="AM740" s="204">
        <f t="shared" si="341"/>
        <v>0.05</v>
      </c>
      <c r="AN740" s="204">
        <f t="shared" si="341"/>
        <v>0.05</v>
      </c>
      <c r="AO740" s="204">
        <f t="shared" si="341"/>
        <v>0.05</v>
      </c>
      <c r="AP740" s="204">
        <f t="shared" si="341"/>
        <v>0.05</v>
      </c>
      <c r="AQ740" s="204">
        <f t="shared" si="341"/>
        <v>0.05</v>
      </c>
      <c r="AR740" s="204">
        <f t="shared" si="341"/>
        <v>0.05</v>
      </c>
      <c r="AS740" s="204">
        <f t="shared" si="341"/>
        <v>0.05</v>
      </c>
      <c r="AT740" s="204">
        <f t="shared" si="341"/>
        <v>0.05</v>
      </c>
      <c r="AU740" s="204">
        <f t="shared" si="341"/>
        <v>0.05</v>
      </c>
      <c r="AV740" s="204">
        <f t="shared" si="341"/>
        <v>0.05</v>
      </c>
    </row>
    <row r="741" spans="1:48" s="805" customFormat="1" ht="15" customHeight="1">
      <c r="A741" s="879"/>
      <c r="B741" s="879"/>
      <c r="C741" s="191"/>
      <c r="D741" s="880"/>
      <c r="E741" s="62"/>
      <c r="F741" s="881"/>
      <c r="G741" s="150"/>
      <c r="H741" s="150"/>
      <c r="I741" s="150"/>
      <c r="J741" s="150"/>
      <c r="K741" s="150"/>
      <c r="L741" s="204"/>
      <c r="M741" s="204"/>
      <c r="N741" s="204"/>
      <c r="O741" s="204"/>
      <c r="P741" s="204"/>
      <c r="Q741" s="204"/>
      <c r="R741" s="204"/>
      <c r="S741" s="204"/>
      <c r="T741" s="204"/>
      <c r="U741" s="204"/>
      <c r="V741" s="204"/>
      <c r="W741" s="204"/>
      <c r="X741" s="204"/>
      <c r="Y741" s="204"/>
      <c r="Z741" s="204"/>
      <c r="AA741" s="204"/>
      <c r="AB741" s="204"/>
      <c r="AC741" s="204"/>
      <c r="AD741" s="204"/>
      <c r="AE741" s="204"/>
      <c r="AF741" s="204"/>
      <c r="AG741" s="204"/>
      <c r="AH741" s="204"/>
      <c r="AI741" s="204"/>
      <c r="AJ741" s="204"/>
      <c r="AK741" s="204"/>
      <c r="AL741" s="204"/>
      <c r="AM741" s="204"/>
      <c r="AN741" s="204"/>
      <c r="AO741" s="204"/>
      <c r="AP741" s="204"/>
      <c r="AQ741" s="204"/>
      <c r="AR741" s="204"/>
      <c r="AS741" s="204"/>
      <c r="AT741" s="204"/>
      <c r="AU741" s="204"/>
      <c r="AV741" s="204"/>
    </row>
    <row r="742" spans="1:48" s="805" customFormat="1" ht="15" customHeight="1">
      <c r="A742" s="879"/>
      <c r="B742" s="879"/>
      <c r="C742" s="325" t="s">
        <v>1303</v>
      </c>
      <c r="D742" s="880"/>
      <c r="E742" s="62"/>
      <c r="F742" s="881"/>
      <c r="G742" s="150"/>
      <c r="H742" s="150"/>
      <c r="I742" s="150"/>
      <c r="J742" s="150"/>
      <c r="K742" s="150"/>
      <c r="L742" s="204"/>
      <c r="M742" s="204"/>
      <c r="N742" s="204"/>
      <c r="O742" s="204"/>
      <c r="P742" s="204"/>
      <c r="Q742" s="204"/>
      <c r="R742" s="204"/>
      <c r="S742" s="204"/>
      <c r="T742" s="204"/>
      <c r="U742" s="204"/>
      <c r="V742" s="204"/>
      <c r="W742" s="204"/>
      <c r="X742" s="204"/>
      <c r="Y742" s="204"/>
      <c r="Z742" s="204"/>
      <c r="AA742" s="204"/>
      <c r="AB742" s="204"/>
      <c r="AC742" s="204"/>
      <c r="AD742" s="204"/>
      <c r="AE742" s="204"/>
      <c r="AF742" s="204"/>
      <c r="AG742" s="204"/>
      <c r="AH742" s="204"/>
      <c r="AI742" s="204"/>
      <c r="AJ742" s="204"/>
      <c r="AK742" s="204"/>
      <c r="AL742" s="204"/>
      <c r="AM742" s="204"/>
      <c r="AN742" s="204"/>
      <c r="AO742" s="204"/>
      <c r="AP742" s="204"/>
      <c r="AQ742" s="204"/>
      <c r="AR742" s="204"/>
      <c r="AS742" s="204"/>
      <c r="AT742" s="204"/>
      <c r="AU742" s="204"/>
      <c r="AV742" s="204"/>
    </row>
    <row r="743" spans="1:48" ht="15" customHeight="1">
      <c r="E743" s="70" t="str">
        <f xml:space="preserve"> InputsCon!E$170</f>
        <v>Additional state share on license renewal</v>
      </c>
      <c r="F743" s="268">
        <f xml:space="preserve"> InputsCon!F$170</f>
        <v>0.05</v>
      </c>
      <c r="G743" s="132" t="str">
        <f xml:space="preserve"> InputsCon!G$170</f>
        <v>%</v>
      </c>
      <c r="H743" s="320"/>
      <c r="I743" s="320"/>
      <c r="J743" s="320"/>
      <c r="L743" s="320"/>
      <c r="M743" s="320"/>
      <c r="N743" s="320"/>
      <c r="O743" s="320"/>
      <c r="P743" s="320"/>
      <c r="Q743" s="320"/>
      <c r="R743" s="320"/>
      <c r="S743" s="320"/>
      <c r="T743" s="320"/>
      <c r="U743" s="320"/>
      <c r="V743" s="320"/>
      <c r="W743" s="320"/>
      <c r="X743" s="320"/>
      <c r="Y743" s="320"/>
      <c r="Z743" s="320"/>
      <c r="AA743" s="320"/>
      <c r="AB743" s="320"/>
      <c r="AC743" s="320"/>
      <c r="AD743" s="320"/>
      <c r="AE743" s="320"/>
      <c r="AF743" s="320"/>
      <c r="AG743" s="320"/>
      <c r="AH743" s="320"/>
      <c r="AI743" s="320"/>
      <c r="AJ743" s="320"/>
      <c r="AK743" s="320"/>
      <c r="AL743" s="320"/>
      <c r="AM743" s="320"/>
      <c r="AN743" s="320"/>
      <c r="AO743" s="320"/>
      <c r="AP743" s="320"/>
      <c r="AQ743" s="320"/>
      <c r="AR743" s="320"/>
      <c r="AS743" s="320"/>
      <c r="AT743" s="320"/>
      <c r="AU743" s="320"/>
      <c r="AV743" s="320"/>
    </row>
    <row r="744" spans="1:48" ht="15" customHeight="1">
      <c r="E744" s="70" t="str">
        <f xml:space="preserve"> InputsCon!E$169</f>
        <v>License Renewal Year</v>
      </c>
      <c r="F744" s="878">
        <f xml:space="preserve"> InputsCon!F$169</f>
        <v>2018</v>
      </c>
      <c r="G744" s="132" t="str">
        <f xml:space="preserve"> InputsCon!G$169</f>
        <v>year</v>
      </c>
      <c r="H744" s="320"/>
      <c r="I744" s="320"/>
      <c r="J744" s="320"/>
      <c r="L744" s="320"/>
      <c r="M744" s="320"/>
      <c r="N744" s="320"/>
      <c r="O744" s="320"/>
      <c r="P744" s="320"/>
      <c r="Q744" s="320"/>
      <c r="R744" s="320"/>
      <c r="S744" s="320"/>
      <c r="T744" s="320"/>
      <c r="U744" s="320"/>
      <c r="V744" s="320"/>
      <c r="W744" s="320"/>
      <c r="X744" s="320"/>
      <c r="Y744" s="320"/>
      <c r="Z744" s="320"/>
      <c r="AA744" s="320"/>
      <c r="AB744" s="320"/>
      <c r="AC744" s="320"/>
      <c r="AD744" s="320"/>
      <c r="AE744" s="320"/>
      <c r="AF744" s="320"/>
      <c r="AG744" s="320"/>
      <c r="AH744" s="320"/>
      <c r="AI744" s="320"/>
      <c r="AJ744" s="320"/>
      <c r="AK744" s="320"/>
      <c r="AL744" s="320"/>
      <c r="AM744" s="320"/>
      <c r="AN744" s="320"/>
      <c r="AO744" s="320"/>
      <c r="AP744" s="320"/>
      <c r="AQ744" s="320"/>
      <c r="AR744" s="320"/>
      <c r="AS744" s="320"/>
      <c r="AT744" s="320"/>
      <c r="AU744" s="320"/>
      <c r="AV744" s="320"/>
    </row>
    <row r="745" spans="1:48" s="805" customFormat="1" ht="15" customHeight="1">
      <c r="A745" s="879"/>
      <c r="B745" s="879"/>
      <c r="C745" s="191"/>
      <c r="D745" s="880"/>
      <c r="E745" s="62" t="s">
        <v>1299</v>
      </c>
      <c r="F745" s="881"/>
      <c r="G745" s="150" t="s">
        <v>26</v>
      </c>
      <c r="H745" s="150"/>
      <c r="I745" s="150"/>
      <c r="J745" s="150"/>
      <c r="K745" s="150"/>
      <c r="L745" s="204">
        <f t="shared" ref="L745:AV745" si="342" xml:space="preserve"> IF(L2&lt;=$F$744,$F$739,$F$739+$F$743)</f>
        <v>0.05</v>
      </c>
      <c r="M745" s="204">
        <f t="shared" si="342"/>
        <v>0.05</v>
      </c>
      <c r="N745" s="204">
        <f t="shared" si="342"/>
        <v>0.05</v>
      </c>
      <c r="O745" s="204">
        <f t="shared" si="342"/>
        <v>0.05</v>
      </c>
      <c r="P745" s="204">
        <f t="shared" si="342"/>
        <v>0.05</v>
      </c>
      <c r="Q745" s="204">
        <f t="shared" si="342"/>
        <v>0.1</v>
      </c>
      <c r="R745" s="204">
        <f t="shared" si="342"/>
        <v>0.1</v>
      </c>
      <c r="S745" s="204">
        <f t="shared" si="342"/>
        <v>0.1</v>
      </c>
      <c r="T745" s="204">
        <f t="shared" si="342"/>
        <v>0.1</v>
      </c>
      <c r="U745" s="204">
        <f t="shared" si="342"/>
        <v>0.1</v>
      </c>
      <c r="V745" s="204">
        <f t="shared" si="342"/>
        <v>0.1</v>
      </c>
      <c r="W745" s="204">
        <f t="shared" si="342"/>
        <v>0.1</v>
      </c>
      <c r="X745" s="204">
        <f t="shared" si="342"/>
        <v>0.1</v>
      </c>
      <c r="Y745" s="204">
        <f t="shared" si="342"/>
        <v>0.1</v>
      </c>
      <c r="Z745" s="204">
        <f t="shared" si="342"/>
        <v>0.1</v>
      </c>
      <c r="AA745" s="204">
        <f t="shared" si="342"/>
        <v>0.1</v>
      </c>
      <c r="AB745" s="204">
        <f t="shared" si="342"/>
        <v>0.1</v>
      </c>
      <c r="AC745" s="204">
        <f t="shared" si="342"/>
        <v>0.1</v>
      </c>
      <c r="AD745" s="204">
        <f t="shared" si="342"/>
        <v>0.1</v>
      </c>
      <c r="AE745" s="204">
        <f t="shared" si="342"/>
        <v>0.1</v>
      </c>
      <c r="AF745" s="204">
        <f t="shared" si="342"/>
        <v>0.1</v>
      </c>
      <c r="AG745" s="204">
        <f t="shared" si="342"/>
        <v>0.1</v>
      </c>
      <c r="AH745" s="204">
        <f t="shared" si="342"/>
        <v>0.1</v>
      </c>
      <c r="AI745" s="204">
        <f t="shared" si="342"/>
        <v>0.1</v>
      </c>
      <c r="AJ745" s="204">
        <f t="shared" si="342"/>
        <v>0.1</v>
      </c>
      <c r="AK745" s="204">
        <f t="shared" si="342"/>
        <v>0.1</v>
      </c>
      <c r="AL745" s="204">
        <f t="shared" si="342"/>
        <v>0.1</v>
      </c>
      <c r="AM745" s="204">
        <f t="shared" si="342"/>
        <v>0.1</v>
      </c>
      <c r="AN745" s="204">
        <f t="shared" si="342"/>
        <v>0.1</v>
      </c>
      <c r="AO745" s="204">
        <f t="shared" si="342"/>
        <v>0.1</v>
      </c>
      <c r="AP745" s="204">
        <f t="shared" si="342"/>
        <v>0.1</v>
      </c>
      <c r="AQ745" s="204">
        <f t="shared" si="342"/>
        <v>0.1</v>
      </c>
      <c r="AR745" s="204">
        <f t="shared" si="342"/>
        <v>0.1</v>
      </c>
      <c r="AS745" s="204">
        <f t="shared" si="342"/>
        <v>0.1</v>
      </c>
      <c r="AT745" s="204">
        <f t="shared" si="342"/>
        <v>0.1</v>
      </c>
      <c r="AU745" s="204">
        <f t="shared" si="342"/>
        <v>0.1</v>
      </c>
      <c r="AV745" s="204">
        <f t="shared" si="342"/>
        <v>0.1</v>
      </c>
    </row>
    <row r="746" spans="1:48" s="805" customFormat="1" ht="15" customHeight="1">
      <c r="A746" s="879"/>
      <c r="B746" s="879"/>
      <c r="C746" s="191"/>
      <c r="D746" s="880"/>
      <c r="E746" s="62"/>
      <c r="F746" s="881"/>
      <c r="G746" s="150"/>
      <c r="H746" s="150"/>
      <c r="I746" s="150"/>
      <c r="J746" s="150"/>
      <c r="K746" s="150"/>
      <c r="L746" s="204"/>
      <c r="M746" s="204"/>
      <c r="N746" s="204"/>
      <c r="O746" s="204"/>
      <c r="P746" s="204"/>
      <c r="Q746" s="204"/>
      <c r="R746" s="204"/>
      <c r="S746" s="204"/>
      <c r="T746" s="204"/>
      <c r="U746" s="204"/>
      <c r="V746" s="204"/>
      <c r="W746" s="204"/>
      <c r="X746" s="204"/>
      <c r="Y746" s="204"/>
      <c r="Z746" s="204"/>
      <c r="AA746" s="204"/>
      <c r="AB746" s="204"/>
      <c r="AC746" s="204"/>
      <c r="AD746" s="204"/>
      <c r="AE746" s="204"/>
      <c r="AF746" s="204"/>
      <c r="AG746" s="204"/>
      <c r="AH746" s="204"/>
      <c r="AI746" s="204"/>
      <c r="AJ746" s="204"/>
      <c r="AK746" s="204"/>
      <c r="AL746" s="204"/>
      <c r="AM746" s="204"/>
      <c r="AN746" s="204"/>
      <c r="AO746" s="204"/>
      <c r="AP746" s="204"/>
      <c r="AQ746" s="204"/>
      <c r="AR746" s="204"/>
      <c r="AS746" s="204"/>
      <c r="AT746" s="204"/>
      <c r="AU746" s="204"/>
      <c r="AV746" s="204"/>
    </row>
    <row r="747" spans="1:48" s="805" customFormat="1" ht="15" customHeight="1">
      <c r="A747" s="879"/>
      <c r="B747" s="879"/>
      <c r="C747" s="191"/>
      <c r="D747" s="880"/>
      <c r="E747" s="70" t="str">
        <f xml:space="preserve"> InputsCon!E$93</f>
        <v>apply increased State Participation</v>
      </c>
      <c r="F747" s="883" t="str">
        <f xml:space="preserve"> InputsCon!F$93</f>
        <v>yes</v>
      </c>
      <c r="G747" s="132" t="str">
        <f xml:space="preserve"> InputsCon!G$93</f>
        <v>flag</v>
      </c>
      <c r="H747" s="150"/>
      <c r="I747" s="150"/>
      <c r="J747" s="150"/>
      <c r="K747" s="150"/>
      <c r="L747" s="150"/>
      <c r="M747" s="150"/>
      <c r="N747" s="150"/>
      <c r="O747" s="150"/>
      <c r="P747" s="150"/>
      <c r="Q747" s="150"/>
      <c r="R747" s="150"/>
      <c r="S747" s="150"/>
      <c r="T747" s="150"/>
      <c r="U747" s="150"/>
      <c r="V747" s="150"/>
      <c r="W747" s="150"/>
      <c r="X747" s="150"/>
      <c r="Y747" s="150"/>
      <c r="Z747" s="150"/>
      <c r="AA747" s="150"/>
      <c r="AB747" s="150"/>
      <c r="AC747" s="150"/>
      <c r="AD747" s="150"/>
      <c r="AE747" s="150"/>
      <c r="AF747" s="150"/>
      <c r="AG747" s="150"/>
      <c r="AH747" s="150"/>
      <c r="AI747" s="150"/>
      <c r="AJ747" s="150"/>
      <c r="AK747" s="150"/>
      <c r="AL747" s="150"/>
      <c r="AM747" s="150"/>
      <c r="AN747" s="150"/>
      <c r="AO747" s="150"/>
      <c r="AP747" s="150"/>
      <c r="AQ747" s="150"/>
      <c r="AR747" s="150"/>
      <c r="AS747" s="150"/>
      <c r="AT747" s="150"/>
      <c r="AU747" s="150"/>
      <c r="AV747" s="150"/>
    </row>
    <row r="748" spans="1:48" s="805" customFormat="1" ht="15" customHeight="1">
      <c r="A748" s="879"/>
      <c r="B748" s="879"/>
      <c r="C748" s="191"/>
      <c r="D748" s="880"/>
      <c r="E748" s="62" t="s">
        <v>1304</v>
      </c>
      <c r="F748" s="206"/>
      <c r="G748" s="150" t="s">
        <v>26</v>
      </c>
      <c r="H748" s="150"/>
      <c r="I748" s="150"/>
      <c r="J748" s="150"/>
      <c r="K748" s="150"/>
      <c r="L748" s="204">
        <f t="shared" ref="L748:AV748" si="343">IF($F$747="yes",L745,L740)</f>
        <v>0.05</v>
      </c>
      <c r="M748" s="204">
        <f t="shared" si="343"/>
        <v>0.05</v>
      </c>
      <c r="N748" s="204">
        <f t="shared" si="343"/>
        <v>0.05</v>
      </c>
      <c r="O748" s="204">
        <f t="shared" si="343"/>
        <v>0.05</v>
      </c>
      <c r="P748" s="204">
        <f t="shared" si="343"/>
        <v>0.05</v>
      </c>
      <c r="Q748" s="204">
        <f t="shared" si="343"/>
        <v>0.1</v>
      </c>
      <c r="R748" s="204">
        <f t="shared" si="343"/>
        <v>0.1</v>
      </c>
      <c r="S748" s="204">
        <f t="shared" si="343"/>
        <v>0.1</v>
      </c>
      <c r="T748" s="204">
        <f t="shared" si="343"/>
        <v>0.1</v>
      </c>
      <c r="U748" s="204">
        <f t="shared" si="343"/>
        <v>0.1</v>
      </c>
      <c r="V748" s="204">
        <f t="shared" si="343"/>
        <v>0.1</v>
      </c>
      <c r="W748" s="204">
        <f t="shared" si="343"/>
        <v>0.1</v>
      </c>
      <c r="X748" s="204">
        <f t="shared" si="343"/>
        <v>0.1</v>
      </c>
      <c r="Y748" s="204">
        <f t="shared" si="343"/>
        <v>0.1</v>
      </c>
      <c r="Z748" s="204">
        <f t="shared" si="343"/>
        <v>0.1</v>
      </c>
      <c r="AA748" s="204">
        <f t="shared" si="343"/>
        <v>0.1</v>
      </c>
      <c r="AB748" s="204">
        <f t="shared" si="343"/>
        <v>0.1</v>
      </c>
      <c r="AC748" s="204">
        <f t="shared" si="343"/>
        <v>0.1</v>
      </c>
      <c r="AD748" s="204">
        <f t="shared" si="343"/>
        <v>0.1</v>
      </c>
      <c r="AE748" s="204">
        <f t="shared" si="343"/>
        <v>0.1</v>
      </c>
      <c r="AF748" s="204">
        <f t="shared" si="343"/>
        <v>0.1</v>
      </c>
      <c r="AG748" s="204">
        <f t="shared" si="343"/>
        <v>0.1</v>
      </c>
      <c r="AH748" s="204">
        <f t="shared" si="343"/>
        <v>0.1</v>
      </c>
      <c r="AI748" s="204">
        <f t="shared" si="343"/>
        <v>0.1</v>
      </c>
      <c r="AJ748" s="204">
        <f t="shared" si="343"/>
        <v>0.1</v>
      </c>
      <c r="AK748" s="204">
        <f t="shared" si="343"/>
        <v>0.1</v>
      </c>
      <c r="AL748" s="204">
        <f t="shared" si="343"/>
        <v>0.1</v>
      </c>
      <c r="AM748" s="204">
        <f t="shared" si="343"/>
        <v>0.1</v>
      </c>
      <c r="AN748" s="204">
        <f t="shared" si="343"/>
        <v>0.1</v>
      </c>
      <c r="AO748" s="204">
        <f t="shared" si="343"/>
        <v>0.1</v>
      </c>
      <c r="AP748" s="204">
        <f t="shared" si="343"/>
        <v>0.1</v>
      </c>
      <c r="AQ748" s="204">
        <f t="shared" si="343"/>
        <v>0.1</v>
      </c>
      <c r="AR748" s="204">
        <f t="shared" si="343"/>
        <v>0.1</v>
      </c>
      <c r="AS748" s="204">
        <f t="shared" si="343"/>
        <v>0.1</v>
      </c>
      <c r="AT748" s="204">
        <f t="shared" si="343"/>
        <v>0.1</v>
      </c>
      <c r="AU748" s="204">
        <f t="shared" si="343"/>
        <v>0.1</v>
      </c>
      <c r="AV748" s="204">
        <f t="shared" si="343"/>
        <v>0.1</v>
      </c>
    </row>
    <row r="749" spans="1:48" ht="15" customHeight="1">
      <c r="E749" s="70"/>
      <c r="F749" s="268"/>
      <c r="G749" s="132"/>
      <c r="H749" s="320"/>
      <c r="I749" s="320"/>
      <c r="J749" s="320"/>
      <c r="L749" s="320"/>
      <c r="M749" s="320"/>
      <c r="N749" s="320"/>
      <c r="O749" s="320"/>
      <c r="P749" s="320"/>
      <c r="Q749" s="320"/>
      <c r="R749" s="320"/>
      <c r="S749" s="320"/>
      <c r="T749" s="320"/>
      <c r="U749" s="320"/>
      <c r="V749" s="320"/>
      <c r="W749" s="320"/>
      <c r="X749" s="320"/>
      <c r="Y749" s="320"/>
      <c r="Z749" s="320"/>
      <c r="AA749" s="320"/>
      <c r="AB749" s="320"/>
      <c r="AC749" s="320"/>
      <c r="AD749" s="320"/>
      <c r="AE749" s="320"/>
      <c r="AF749" s="320"/>
      <c r="AG749" s="320"/>
      <c r="AH749" s="320"/>
      <c r="AI749" s="320"/>
      <c r="AJ749" s="320"/>
      <c r="AK749" s="320"/>
      <c r="AL749" s="320"/>
      <c r="AM749" s="320"/>
      <c r="AN749" s="320"/>
      <c r="AO749" s="320"/>
      <c r="AP749" s="320"/>
      <c r="AQ749" s="320"/>
      <c r="AR749" s="320"/>
      <c r="AS749" s="320"/>
      <c r="AT749" s="320"/>
      <c r="AU749" s="320"/>
      <c r="AV749" s="320"/>
    </row>
    <row r="750" spans="1:48" ht="15" customHeight="1">
      <c r="E750" s="6" t="s">
        <v>660</v>
      </c>
      <c r="F750" s="320"/>
      <c r="G750" s="320" t="s">
        <v>29</v>
      </c>
      <c r="H750" s="320"/>
      <c r="I750" s="320"/>
      <c r="J750" s="320">
        <f xml:space="preserve"> SUM(L750:AV750)</f>
        <v>364.12746939231874</v>
      </c>
      <c r="L750" s="320">
        <f t="shared" ref="L750:AV750" si="344" xml:space="preserve"> L736 * L748</f>
        <v>0</v>
      </c>
      <c r="M750" s="320">
        <f t="shared" si="344"/>
        <v>0</v>
      </c>
      <c r="N750" s="320">
        <f t="shared" si="344"/>
        <v>0</v>
      </c>
      <c r="O750" s="320">
        <f t="shared" si="344"/>
        <v>0</v>
      </c>
      <c r="P750" s="320">
        <f xml:space="preserve"> P736 * P748</f>
        <v>-47.347882439923964</v>
      </c>
      <c r="Q750" s="320">
        <f t="shared" si="344"/>
        <v>133.99765846001051</v>
      </c>
      <c r="R750" s="320">
        <f t="shared" si="344"/>
        <v>18.767662695506274</v>
      </c>
      <c r="S750" s="320">
        <f t="shared" si="344"/>
        <v>61.844618317974657</v>
      </c>
      <c r="T750" s="320">
        <f t="shared" si="344"/>
        <v>58.823318269327025</v>
      </c>
      <c r="U750" s="320">
        <f t="shared" si="344"/>
        <v>25.046399169880939</v>
      </c>
      <c r="V750" s="320">
        <f t="shared" si="344"/>
        <v>12.667323034364081</v>
      </c>
      <c r="W750" s="320">
        <f t="shared" si="344"/>
        <v>18.126757907577769</v>
      </c>
      <c r="X750" s="320">
        <f t="shared" si="344"/>
        <v>10.904829776438389</v>
      </c>
      <c r="Y750" s="320">
        <f t="shared" si="344"/>
        <v>4.3957202432760596</v>
      </c>
      <c r="Z750" s="320">
        <f t="shared" si="344"/>
        <v>-1.312764349281605</v>
      </c>
      <c r="AA750" s="320">
        <f t="shared" si="344"/>
        <v>-8.8000696341495779</v>
      </c>
      <c r="AB750" s="320">
        <f t="shared" si="344"/>
        <v>9.9060564549564685</v>
      </c>
      <c r="AC750" s="320">
        <f t="shared" si="344"/>
        <v>32.703591485157972</v>
      </c>
      <c r="AD750" s="320">
        <f t="shared" si="344"/>
        <v>34.404250001203785</v>
      </c>
      <c r="AE750" s="320">
        <f t="shared" si="344"/>
        <v>0</v>
      </c>
      <c r="AF750" s="320">
        <f t="shared" si="344"/>
        <v>0</v>
      </c>
      <c r="AG750" s="320">
        <f t="shared" si="344"/>
        <v>0</v>
      </c>
      <c r="AH750" s="320">
        <f t="shared" si="344"/>
        <v>0</v>
      </c>
      <c r="AI750" s="320">
        <f t="shared" si="344"/>
        <v>0</v>
      </c>
      <c r="AJ750" s="320">
        <f t="shared" si="344"/>
        <v>0</v>
      </c>
      <c r="AK750" s="320">
        <f t="shared" si="344"/>
        <v>0</v>
      </c>
      <c r="AL750" s="320">
        <f t="shared" si="344"/>
        <v>0</v>
      </c>
      <c r="AM750" s="320">
        <f t="shared" si="344"/>
        <v>0</v>
      </c>
      <c r="AN750" s="320">
        <f t="shared" si="344"/>
        <v>0</v>
      </c>
      <c r="AO750" s="320">
        <f t="shared" si="344"/>
        <v>0</v>
      </c>
      <c r="AP750" s="320">
        <f t="shared" si="344"/>
        <v>0</v>
      </c>
      <c r="AQ750" s="320">
        <f t="shared" si="344"/>
        <v>0</v>
      </c>
      <c r="AR750" s="320">
        <f t="shared" si="344"/>
        <v>0</v>
      </c>
      <c r="AS750" s="320">
        <f t="shared" si="344"/>
        <v>0</v>
      </c>
      <c r="AT750" s="320">
        <f t="shared" si="344"/>
        <v>0</v>
      </c>
      <c r="AU750" s="320">
        <f t="shared" si="344"/>
        <v>0</v>
      </c>
      <c r="AV750" s="320">
        <f t="shared" si="344"/>
        <v>0</v>
      </c>
    </row>
    <row r="751" spans="1:48" ht="15" customHeight="1">
      <c r="E751" s="70" t="str">
        <f xml:space="preserve"> InputsCon!E$172</f>
        <v>Proportion Gecamines cashflows used to repay loan</v>
      </c>
      <c r="F751" s="268">
        <f xml:space="preserve"> InputsCon!F$172</f>
        <v>1</v>
      </c>
      <c r="G751" s="132" t="str">
        <f xml:space="preserve"> InputsCon!G$172</f>
        <v>%</v>
      </c>
      <c r="H751" s="320"/>
      <c r="I751" s="320"/>
      <c r="J751" s="320"/>
      <c r="L751" s="320"/>
      <c r="M751" s="320"/>
      <c r="N751" s="320"/>
      <c r="O751" s="320"/>
      <c r="P751" s="320"/>
      <c r="Q751" s="320"/>
      <c r="R751" s="320"/>
      <c r="S751" s="320"/>
      <c r="T751" s="320"/>
      <c r="U751" s="320"/>
      <c r="V751" s="320"/>
      <c r="W751" s="320"/>
      <c r="X751" s="320"/>
      <c r="Y751" s="320"/>
      <c r="Z751" s="320"/>
      <c r="AA751" s="320"/>
      <c r="AB751" s="320"/>
      <c r="AC751" s="320"/>
      <c r="AD751" s="320"/>
      <c r="AE751" s="320"/>
      <c r="AF751" s="320"/>
      <c r="AG751" s="320"/>
      <c r="AH751" s="320"/>
      <c r="AI751" s="320"/>
      <c r="AJ751" s="320"/>
      <c r="AK751" s="320"/>
      <c r="AL751" s="320"/>
      <c r="AM751" s="320"/>
      <c r="AN751" s="320"/>
      <c r="AO751" s="320"/>
      <c r="AP751" s="320"/>
      <c r="AQ751" s="320"/>
      <c r="AR751" s="320"/>
      <c r="AS751" s="320"/>
      <c r="AT751" s="320"/>
      <c r="AU751" s="320"/>
      <c r="AV751" s="320"/>
    </row>
    <row r="752" spans="1:48" ht="15" customHeight="1">
      <c r="E752" s="6" t="s">
        <v>660</v>
      </c>
      <c r="F752" s="3"/>
      <c r="G752" s="320" t="s">
        <v>29</v>
      </c>
      <c r="H752" s="320"/>
      <c r="I752" s="320"/>
      <c r="J752" s="320">
        <f xml:space="preserve"> SUM(L752:AV752)</f>
        <v>421.58818581567391</v>
      </c>
      <c r="L752" s="320">
        <f t="shared" ref="L752:AV752" si="345" xml:space="preserve"> L750 * (L750 &gt; 0) * $F751</f>
        <v>0</v>
      </c>
      <c r="M752" s="320">
        <f t="shared" si="345"/>
        <v>0</v>
      </c>
      <c r="N752" s="320">
        <f t="shared" si="345"/>
        <v>0</v>
      </c>
      <c r="O752" s="320">
        <f t="shared" si="345"/>
        <v>0</v>
      </c>
      <c r="P752" s="320">
        <f t="shared" si="345"/>
        <v>0</v>
      </c>
      <c r="Q752" s="320">
        <f t="shared" si="345"/>
        <v>133.99765846001051</v>
      </c>
      <c r="R752" s="320">
        <f t="shared" si="345"/>
        <v>18.767662695506274</v>
      </c>
      <c r="S752" s="320">
        <f t="shared" si="345"/>
        <v>61.844618317974657</v>
      </c>
      <c r="T752" s="320">
        <f t="shared" si="345"/>
        <v>58.823318269327025</v>
      </c>
      <c r="U752" s="320">
        <f t="shared" si="345"/>
        <v>25.046399169880939</v>
      </c>
      <c r="V752" s="320">
        <f t="shared" si="345"/>
        <v>12.667323034364081</v>
      </c>
      <c r="W752" s="320">
        <f t="shared" si="345"/>
        <v>18.126757907577769</v>
      </c>
      <c r="X752" s="320">
        <f t="shared" si="345"/>
        <v>10.904829776438389</v>
      </c>
      <c r="Y752" s="320">
        <f t="shared" si="345"/>
        <v>4.3957202432760596</v>
      </c>
      <c r="Z752" s="320">
        <f t="shared" si="345"/>
        <v>0</v>
      </c>
      <c r="AA752" s="320">
        <f t="shared" si="345"/>
        <v>0</v>
      </c>
      <c r="AB752" s="320">
        <f t="shared" si="345"/>
        <v>9.9060564549564685</v>
      </c>
      <c r="AC752" s="320">
        <f t="shared" si="345"/>
        <v>32.703591485157972</v>
      </c>
      <c r="AD752" s="320">
        <f t="shared" si="345"/>
        <v>34.404250001203785</v>
      </c>
      <c r="AE752" s="320">
        <f t="shared" si="345"/>
        <v>0</v>
      </c>
      <c r="AF752" s="320">
        <f t="shared" si="345"/>
        <v>0</v>
      </c>
      <c r="AG752" s="320">
        <f t="shared" si="345"/>
        <v>0</v>
      </c>
      <c r="AH752" s="320">
        <f t="shared" si="345"/>
        <v>0</v>
      </c>
      <c r="AI752" s="320">
        <f t="shared" si="345"/>
        <v>0</v>
      </c>
      <c r="AJ752" s="320">
        <f t="shared" si="345"/>
        <v>0</v>
      </c>
      <c r="AK752" s="320">
        <f t="shared" si="345"/>
        <v>0</v>
      </c>
      <c r="AL752" s="320">
        <f t="shared" si="345"/>
        <v>0</v>
      </c>
      <c r="AM752" s="320">
        <f t="shared" si="345"/>
        <v>0</v>
      </c>
      <c r="AN752" s="320">
        <f t="shared" si="345"/>
        <v>0</v>
      </c>
      <c r="AO752" s="320">
        <f t="shared" si="345"/>
        <v>0</v>
      </c>
      <c r="AP752" s="320">
        <f t="shared" si="345"/>
        <v>0</v>
      </c>
      <c r="AQ752" s="320">
        <f t="shared" si="345"/>
        <v>0</v>
      </c>
      <c r="AR752" s="320">
        <f t="shared" si="345"/>
        <v>0</v>
      </c>
      <c r="AS752" s="320">
        <f t="shared" si="345"/>
        <v>0</v>
      </c>
      <c r="AT752" s="320">
        <f t="shared" si="345"/>
        <v>0</v>
      </c>
      <c r="AU752" s="320">
        <f t="shared" si="345"/>
        <v>0</v>
      </c>
      <c r="AV752" s="320">
        <f t="shared" si="345"/>
        <v>0</v>
      </c>
    </row>
    <row r="753" spans="1:48" ht="15" customHeight="1">
      <c r="F753" s="320"/>
      <c r="G753" s="320"/>
      <c r="H753" s="320"/>
      <c r="I753" s="320"/>
      <c r="J753" s="320"/>
      <c r="L753" s="320"/>
      <c r="M753" s="320"/>
      <c r="N753" s="320"/>
      <c r="O753" s="320"/>
      <c r="P753" s="320"/>
      <c r="Q753" s="320"/>
      <c r="R753" s="320"/>
      <c r="S753" s="320"/>
      <c r="T753" s="320"/>
      <c r="U753" s="320"/>
      <c r="V753" s="320"/>
      <c r="W753" s="320"/>
      <c r="X753" s="320"/>
      <c r="Y753" s="320"/>
      <c r="Z753" s="320"/>
      <c r="AA753" s="320"/>
      <c r="AB753" s="320"/>
      <c r="AC753" s="320"/>
      <c r="AD753" s="320"/>
      <c r="AE753" s="320"/>
      <c r="AF753" s="320"/>
      <c r="AG753" s="320"/>
      <c r="AH753" s="320"/>
      <c r="AI753" s="320"/>
      <c r="AJ753" s="320"/>
      <c r="AK753" s="320"/>
      <c r="AL753" s="320"/>
      <c r="AM753" s="320"/>
      <c r="AN753" s="320"/>
      <c r="AO753" s="320"/>
      <c r="AP753" s="320"/>
      <c r="AQ753" s="320"/>
      <c r="AR753" s="320"/>
      <c r="AS753" s="320"/>
      <c r="AT753" s="320"/>
      <c r="AU753" s="320"/>
      <c r="AV753" s="320"/>
    </row>
    <row r="754" spans="1:48" s="160" customFormat="1" ht="15" customHeight="1">
      <c r="A754" s="164" t="s">
        <v>1266</v>
      </c>
      <c r="B754" s="162"/>
      <c r="C754" s="315"/>
      <c r="D754" s="386"/>
      <c r="E754" s="162"/>
      <c r="F754" s="162"/>
      <c r="G754" s="162"/>
      <c r="H754" s="162"/>
    </row>
    <row r="755" spans="1:48" ht="15" customHeight="1">
      <c r="F755" s="320"/>
      <c r="G755" s="320"/>
      <c r="H755" s="320"/>
      <c r="I755" s="320"/>
      <c r="J755" s="320"/>
      <c r="L755" s="320"/>
      <c r="M755" s="320"/>
      <c r="N755" s="320"/>
      <c r="O755" s="320"/>
      <c r="P755" s="320"/>
      <c r="Q755" s="320"/>
      <c r="R755" s="320"/>
      <c r="S755" s="320"/>
      <c r="T755" s="320"/>
      <c r="U755" s="320"/>
      <c r="V755" s="320"/>
      <c r="W755" s="320"/>
      <c r="X755" s="320"/>
      <c r="Y755" s="320"/>
      <c r="Z755" s="320"/>
      <c r="AA755" s="320"/>
      <c r="AB755" s="320"/>
      <c r="AC755" s="320"/>
      <c r="AD755" s="320"/>
      <c r="AE755" s="320"/>
      <c r="AF755" s="320"/>
      <c r="AG755" s="320"/>
      <c r="AH755" s="320"/>
      <c r="AI755" s="320"/>
      <c r="AJ755" s="320"/>
      <c r="AK755" s="320"/>
      <c r="AL755" s="320"/>
      <c r="AM755" s="320"/>
      <c r="AN755" s="320"/>
      <c r="AO755" s="320"/>
      <c r="AP755" s="320"/>
      <c r="AQ755" s="320"/>
      <c r="AR755" s="320"/>
      <c r="AS755" s="320"/>
      <c r="AT755" s="320"/>
      <c r="AU755" s="320"/>
      <c r="AV755" s="320"/>
    </row>
    <row r="756" spans="1:48" ht="15" customHeight="1">
      <c r="B756" s="111" t="s">
        <v>1267</v>
      </c>
      <c r="F756" s="320"/>
      <c r="G756" s="320"/>
      <c r="H756" s="320"/>
      <c r="I756" s="320"/>
      <c r="J756" s="320"/>
      <c r="L756" s="320"/>
      <c r="M756" s="320"/>
      <c r="N756" s="320"/>
      <c r="O756" s="320"/>
      <c r="P756" s="320"/>
      <c r="Q756" s="320"/>
      <c r="R756" s="320"/>
      <c r="S756" s="320"/>
      <c r="T756" s="320"/>
      <c r="U756" s="320"/>
      <c r="V756" s="320"/>
      <c r="W756" s="320"/>
      <c r="X756" s="320"/>
      <c r="Y756" s="320"/>
      <c r="Z756" s="320"/>
      <c r="AA756" s="320"/>
      <c r="AB756" s="320"/>
      <c r="AC756" s="320">
        <f>AC757*(5/75)</f>
        <v>21.802394323438648</v>
      </c>
      <c r="AD756" s="320">
        <f t="shared" ref="AD756:AO756" si="346">AD757*(5/75)</f>
        <v>22.936166667469191</v>
      </c>
      <c r="AE756" s="320">
        <f t="shared" si="346"/>
        <v>0</v>
      </c>
      <c r="AF756" s="320">
        <f t="shared" si="346"/>
        <v>0</v>
      </c>
      <c r="AG756" s="320">
        <f t="shared" si="346"/>
        <v>0</v>
      </c>
      <c r="AH756" s="320">
        <f t="shared" si="346"/>
        <v>0</v>
      </c>
      <c r="AI756" s="320">
        <f t="shared" si="346"/>
        <v>0</v>
      </c>
      <c r="AJ756" s="320">
        <f t="shared" si="346"/>
        <v>0</v>
      </c>
      <c r="AK756" s="320">
        <f t="shared" si="346"/>
        <v>0</v>
      </c>
      <c r="AL756" s="320">
        <f t="shared" si="346"/>
        <v>0</v>
      </c>
      <c r="AM756" s="320">
        <f t="shared" si="346"/>
        <v>0</v>
      </c>
      <c r="AN756" s="320">
        <f t="shared" si="346"/>
        <v>0</v>
      </c>
      <c r="AO756" s="320">
        <f t="shared" si="346"/>
        <v>0</v>
      </c>
      <c r="AP756" s="320"/>
      <c r="AQ756" s="320"/>
      <c r="AR756" s="320"/>
      <c r="AS756" s="320"/>
      <c r="AT756" s="320"/>
      <c r="AU756" s="320"/>
      <c r="AV756" s="320"/>
    </row>
    <row r="757" spans="1:48" s="6" customFormat="1" ht="15" customHeight="1">
      <c r="A757" s="347"/>
      <c r="B757" s="95"/>
      <c r="C757" s="96"/>
      <c r="D757" s="369"/>
      <c r="E757" s="183" t="str">
        <f t="shared" ref="E757:AV757" si="347" xml:space="preserve"> E$732</f>
        <v>Metalkol cashflows after debt</v>
      </c>
      <c r="F757" s="6">
        <f t="shared" si="347"/>
        <v>0</v>
      </c>
      <c r="G757" s="6" t="str">
        <f t="shared" si="347"/>
        <v>$ mn</v>
      </c>
      <c r="H757" s="6">
        <f t="shared" si="347"/>
        <v>0</v>
      </c>
      <c r="I757" s="6">
        <f t="shared" si="347"/>
        <v>0</v>
      </c>
      <c r="J757" s="6">
        <f t="shared" si="347"/>
        <v>3167.7958695239486</v>
      </c>
      <c r="K757" s="6">
        <f t="shared" si="347"/>
        <v>0</v>
      </c>
      <c r="L757" s="6">
        <f t="shared" si="347"/>
        <v>0</v>
      </c>
      <c r="M757" s="6">
        <f t="shared" si="347"/>
        <v>0</v>
      </c>
      <c r="N757" s="6">
        <f t="shared" si="347"/>
        <v>0</v>
      </c>
      <c r="O757" s="6">
        <f t="shared" si="347"/>
        <v>0</v>
      </c>
      <c r="P757" s="6">
        <f t="shared" si="347"/>
        <v>-946.95764879847923</v>
      </c>
      <c r="Q757" s="6">
        <f t="shared" si="347"/>
        <v>1339.9765846001051</v>
      </c>
      <c r="R757" s="6">
        <f t="shared" si="347"/>
        <v>187.67662695506274</v>
      </c>
      <c r="S757" s="6">
        <f t="shared" si="347"/>
        <v>618.44618317974653</v>
      </c>
      <c r="T757" s="6">
        <f t="shared" si="347"/>
        <v>588.23318269327024</v>
      </c>
      <c r="U757" s="6">
        <f t="shared" si="347"/>
        <v>250.46399169880937</v>
      </c>
      <c r="V757" s="6">
        <f t="shared" si="347"/>
        <v>126.6732303436408</v>
      </c>
      <c r="W757" s="6">
        <f t="shared" si="347"/>
        <v>181.26757907577769</v>
      </c>
      <c r="X757" s="6">
        <f t="shared" si="347"/>
        <v>109.04829776438388</v>
      </c>
      <c r="Y757" s="6">
        <f t="shared" si="347"/>
        <v>43.957202432760596</v>
      </c>
      <c r="Z757" s="6">
        <f t="shared" si="347"/>
        <v>-13.127643492816048</v>
      </c>
      <c r="AA757" s="6">
        <f t="shared" si="347"/>
        <v>-88.000696341495768</v>
      </c>
      <c r="AB757" s="6">
        <f t="shared" si="347"/>
        <v>99.060564549564674</v>
      </c>
      <c r="AC757" s="6">
        <f t="shared" si="347"/>
        <v>327.03591485157972</v>
      </c>
      <c r="AD757" s="6">
        <f t="shared" si="347"/>
        <v>344.04250001203786</v>
      </c>
      <c r="AE757" s="6">
        <f t="shared" si="347"/>
        <v>0</v>
      </c>
      <c r="AF757" s="6">
        <f t="shared" si="347"/>
        <v>0</v>
      </c>
      <c r="AG757" s="6">
        <f t="shared" si="347"/>
        <v>0</v>
      </c>
      <c r="AH757" s="6">
        <f t="shared" si="347"/>
        <v>0</v>
      </c>
      <c r="AI757" s="6">
        <f t="shared" si="347"/>
        <v>0</v>
      </c>
      <c r="AJ757" s="6">
        <f t="shared" si="347"/>
        <v>0</v>
      </c>
      <c r="AK757" s="6">
        <f t="shared" si="347"/>
        <v>0</v>
      </c>
      <c r="AL757" s="6">
        <f t="shared" si="347"/>
        <v>0</v>
      </c>
      <c r="AM757" s="6">
        <f t="shared" si="347"/>
        <v>0</v>
      </c>
      <c r="AN757" s="6">
        <f t="shared" si="347"/>
        <v>0</v>
      </c>
      <c r="AO757" s="6">
        <f t="shared" si="347"/>
        <v>0</v>
      </c>
      <c r="AP757" s="6">
        <f t="shared" si="347"/>
        <v>0</v>
      </c>
      <c r="AQ757" s="6">
        <f t="shared" si="347"/>
        <v>0</v>
      </c>
      <c r="AR757" s="6">
        <f t="shared" si="347"/>
        <v>0</v>
      </c>
      <c r="AS757" s="6">
        <f t="shared" si="347"/>
        <v>0</v>
      </c>
      <c r="AT757" s="6">
        <f t="shared" si="347"/>
        <v>0</v>
      </c>
      <c r="AU757" s="6">
        <f t="shared" si="347"/>
        <v>0</v>
      </c>
      <c r="AV757" s="6">
        <f t="shared" si="347"/>
        <v>0</v>
      </c>
    </row>
    <row r="758" spans="1:48" s="376" customFormat="1" ht="15" customHeight="1">
      <c r="A758" s="722"/>
      <c r="B758" s="722"/>
      <c r="C758" s="384"/>
      <c r="D758" s="858" t="s">
        <v>665</v>
      </c>
      <c r="E758" s="202" t="str">
        <f t="shared" ref="E758:AV758" si="348" xml:space="preserve"> E$752</f>
        <v>Gecamines share of net cashflows after tax</v>
      </c>
      <c r="F758" s="202">
        <f t="shared" si="348"/>
        <v>0</v>
      </c>
      <c r="G758" s="202" t="str">
        <f t="shared" si="348"/>
        <v>$ mn</v>
      </c>
      <c r="H758" s="202">
        <f t="shared" si="348"/>
        <v>0</v>
      </c>
      <c r="I758" s="202">
        <f t="shared" si="348"/>
        <v>0</v>
      </c>
      <c r="J758" s="202">
        <f t="shared" si="348"/>
        <v>421.58818581567391</v>
      </c>
      <c r="K758" s="202">
        <f t="shared" si="348"/>
        <v>0</v>
      </c>
      <c r="L758" s="202">
        <f t="shared" si="348"/>
        <v>0</v>
      </c>
      <c r="M758" s="202">
        <f t="shared" si="348"/>
        <v>0</v>
      </c>
      <c r="N758" s="202">
        <f t="shared" si="348"/>
        <v>0</v>
      </c>
      <c r="O758" s="202">
        <f t="shared" si="348"/>
        <v>0</v>
      </c>
      <c r="P758" s="202">
        <f t="shared" si="348"/>
        <v>0</v>
      </c>
      <c r="Q758" s="202">
        <f t="shared" si="348"/>
        <v>133.99765846001051</v>
      </c>
      <c r="R758" s="202">
        <f t="shared" si="348"/>
        <v>18.767662695506274</v>
      </c>
      <c r="S758" s="202">
        <f t="shared" si="348"/>
        <v>61.844618317974657</v>
      </c>
      <c r="T758" s="202">
        <f t="shared" si="348"/>
        <v>58.823318269327025</v>
      </c>
      <c r="U758" s="202">
        <f t="shared" si="348"/>
        <v>25.046399169880939</v>
      </c>
      <c r="V758" s="202">
        <f t="shared" si="348"/>
        <v>12.667323034364081</v>
      </c>
      <c r="W758" s="202">
        <f t="shared" si="348"/>
        <v>18.126757907577769</v>
      </c>
      <c r="X758" s="202">
        <f t="shared" si="348"/>
        <v>10.904829776438389</v>
      </c>
      <c r="Y758" s="202">
        <f t="shared" si="348"/>
        <v>4.3957202432760596</v>
      </c>
      <c r="Z758" s="202">
        <f t="shared" si="348"/>
        <v>0</v>
      </c>
      <c r="AA758" s="202">
        <f t="shared" si="348"/>
        <v>0</v>
      </c>
      <c r="AB758" s="202">
        <f t="shared" si="348"/>
        <v>9.9060564549564685</v>
      </c>
      <c r="AC758" s="202">
        <f t="shared" si="348"/>
        <v>32.703591485157972</v>
      </c>
      <c r="AD758" s="202">
        <f t="shared" si="348"/>
        <v>34.404250001203785</v>
      </c>
      <c r="AE758" s="202">
        <f t="shared" si="348"/>
        <v>0</v>
      </c>
      <c r="AF758" s="202">
        <f t="shared" si="348"/>
        <v>0</v>
      </c>
      <c r="AG758" s="202">
        <f t="shared" si="348"/>
        <v>0</v>
      </c>
      <c r="AH758" s="202">
        <f t="shared" si="348"/>
        <v>0</v>
      </c>
      <c r="AI758" s="202">
        <f t="shared" si="348"/>
        <v>0</v>
      </c>
      <c r="AJ758" s="202">
        <f t="shared" si="348"/>
        <v>0</v>
      </c>
      <c r="AK758" s="202">
        <f t="shared" si="348"/>
        <v>0</v>
      </c>
      <c r="AL758" s="202">
        <f t="shared" si="348"/>
        <v>0</v>
      </c>
      <c r="AM758" s="202">
        <f t="shared" si="348"/>
        <v>0</v>
      </c>
      <c r="AN758" s="202">
        <f t="shared" si="348"/>
        <v>0</v>
      </c>
      <c r="AO758" s="202">
        <f t="shared" si="348"/>
        <v>0</v>
      </c>
      <c r="AP758" s="202">
        <f t="shared" si="348"/>
        <v>0</v>
      </c>
      <c r="AQ758" s="202">
        <f t="shared" si="348"/>
        <v>0</v>
      </c>
      <c r="AR758" s="202">
        <f t="shared" si="348"/>
        <v>0</v>
      </c>
      <c r="AS758" s="202">
        <f t="shared" si="348"/>
        <v>0</v>
      </c>
      <c r="AT758" s="202">
        <f t="shared" si="348"/>
        <v>0</v>
      </c>
      <c r="AU758" s="202">
        <f t="shared" si="348"/>
        <v>0</v>
      </c>
      <c r="AV758" s="202">
        <f t="shared" si="348"/>
        <v>0</v>
      </c>
    </row>
    <row r="759" spans="1:48" s="187" customFormat="1" ht="15" customHeight="1">
      <c r="A759" s="473"/>
      <c r="B759" s="473"/>
      <c r="C759" s="474"/>
      <c r="D759" s="839"/>
      <c r="E759" s="535" t="s">
        <v>1268</v>
      </c>
      <c r="F759" s="136"/>
      <c r="G759" s="136" t="s">
        <v>29</v>
      </c>
      <c r="H759" s="136"/>
      <c r="I759" s="136"/>
      <c r="J759" s="136">
        <f xml:space="preserve"> SUM(L759:AV759)</f>
        <v>2746.2076837082741</v>
      </c>
      <c r="K759" s="136"/>
      <c r="L759" s="136">
        <f t="shared" ref="L759:AV759" si="349" xml:space="preserve"> L757 - L758</f>
        <v>0</v>
      </c>
      <c r="M759" s="136">
        <f t="shared" si="349"/>
        <v>0</v>
      </c>
      <c r="N759" s="136">
        <f t="shared" si="349"/>
        <v>0</v>
      </c>
      <c r="O759" s="136">
        <f t="shared" si="349"/>
        <v>0</v>
      </c>
      <c r="P759" s="136">
        <f t="shared" si="349"/>
        <v>-946.95764879847923</v>
      </c>
      <c r="Q759" s="136">
        <f t="shared" si="349"/>
        <v>1205.9789261400945</v>
      </c>
      <c r="R759" s="136">
        <f t="shared" si="349"/>
        <v>168.90896425955646</v>
      </c>
      <c r="S759" s="136">
        <f t="shared" si="349"/>
        <v>556.60156486177186</v>
      </c>
      <c r="T759" s="136">
        <f t="shared" si="349"/>
        <v>529.40986442394319</v>
      </c>
      <c r="U759" s="136">
        <f t="shared" si="349"/>
        <v>225.41759252892842</v>
      </c>
      <c r="V759" s="136">
        <f t="shared" si="349"/>
        <v>114.00590730927672</v>
      </c>
      <c r="W759" s="136">
        <f t="shared" si="349"/>
        <v>163.14082116819992</v>
      </c>
      <c r="X759" s="136">
        <f t="shared" si="349"/>
        <v>98.143467987945485</v>
      </c>
      <c r="Y759" s="136">
        <f t="shared" si="349"/>
        <v>39.561482189484536</v>
      </c>
      <c r="Z759" s="136">
        <f t="shared" si="349"/>
        <v>-13.127643492816048</v>
      </c>
      <c r="AA759" s="136">
        <f t="shared" si="349"/>
        <v>-88.000696341495768</v>
      </c>
      <c r="AB759" s="136">
        <f t="shared" si="349"/>
        <v>89.154508094608204</v>
      </c>
      <c r="AC759" s="136">
        <f t="shared" si="349"/>
        <v>294.33232336642175</v>
      </c>
      <c r="AD759" s="136">
        <f t="shared" si="349"/>
        <v>309.6382500108341</v>
      </c>
      <c r="AE759" s="136">
        <f t="shared" si="349"/>
        <v>0</v>
      </c>
      <c r="AF759" s="136">
        <f t="shared" si="349"/>
        <v>0</v>
      </c>
      <c r="AG759" s="136">
        <f t="shared" si="349"/>
        <v>0</v>
      </c>
      <c r="AH759" s="136">
        <f t="shared" si="349"/>
        <v>0</v>
      </c>
      <c r="AI759" s="136">
        <f t="shared" si="349"/>
        <v>0</v>
      </c>
      <c r="AJ759" s="136">
        <f t="shared" si="349"/>
        <v>0</v>
      </c>
      <c r="AK759" s="136">
        <f t="shared" si="349"/>
        <v>0</v>
      </c>
      <c r="AL759" s="136">
        <f t="shared" si="349"/>
        <v>0</v>
      </c>
      <c r="AM759" s="136">
        <f t="shared" si="349"/>
        <v>0</v>
      </c>
      <c r="AN759" s="136">
        <f t="shared" si="349"/>
        <v>0</v>
      </c>
      <c r="AO759" s="136">
        <f t="shared" si="349"/>
        <v>0</v>
      </c>
      <c r="AP759" s="136">
        <f t="shared" si="349"/>
        <v>0</v>
      </c>
      <c r="AQ759" s="136">
        <f t="shared" si="349"/>
        <v>0</v>
      </c>
      <c r="AR759" s="136">
        <f t="shared" si="349"/>
        <v>0</v>
      </c>
      <c r="AS759" s="136">
        <f t="shared" si="349"/>
        <v>0</v>
      </c>
      <c r="AT759" s="136">
        <f t="shared" si="349"/>
        <v>0</v>
      </c>
      <c r="AU759" s="136">
        <f t="shared" si="349"/>
        <v>0</v>
      </c>
      <c r="AV759" s="136">
        <f t="shared" si="349"/>
        <v>0</v>
      </c>
    </row>
    <row r="760" spans="1:48" ht="15" customHeight="1">
      <c r="E760" s="121" t="str">
        <f xml:space="preserve"> E759 &amp; "CUM"</f>
        <v>ERG  share of METALKOL cashflowCUM</v>
      </c>
      <c r="F760" s="320"/>
      <c r="G760" s="320" t="s">
        <v>29</v>
      </c>
      <c r="H760" s="320"/>
      <c r="I760" s="320"/>
      <c r="J760" s="320"/>
      <c r="K760" s="336"/>
      <c r="L760" s="320">
        <f xml:space="preserve"> K760 + L759</f>
        <v>0</v>
      </c>
      <c r="M760" s="320">
        <f t="shared" ref="M760:AV760" si="350" xml:space="preserve"> L760 + M759</f>
        <v>0</v>
      </c>
      <c r="N760" s="320">
        <f t="shared" si="350"/>
        <v>0</v>
      </c>
      <c r="O760" s="320">
        <f t="shared" si="350"/>
        <v>0</v>
      </c>
      <c r="P760" s="320">
        <f t="shared" si="350"/>
        <v>-946.95764879847923</v>
      </c>
      <c r="Q760" s="320">
        <f t="shared" si="350"/>
        <v>259.02127734161525</v>
      </c>
      <c r="R760" s="320">
        <f t="shared" si="350"/>
        <v>427.9302416011717</v>
      </c>
      <c r="S760" s="320">
        <f t="shared" si="350"/>
        <v>984.53180646294356</v>
      </c>
      <c r="T760" s="320">
        <f t="shared" si="350"/>
        <v>1513.9416708868866</v>
      </c>
      <c r="U760" s="320">
        <f t="shared" si="350"/>
        <v>1739.3592634158151</v>
      </c>
      <c r="V760" s="320">
        <f t="shared" si="350"/>
        <v>1853.365170725092</v>
      </c>
      <c r="W760" s="320">
        <f t="shared" si="350"/>
        <v>2016.5059918932918</v>
      </c>
      <c r="X760" s="320">
        <f t="shared" si="350"/>
        <v>2114.6494598812374</v>
      </c>
      <c r="Y760" s="320">
        <f t="shared" si="350"/>
        <v>2154.210942070722</v>
      </c>
      <c r="Z760" s="320">
        <f t="shared" si="350"/>
        <v>2141.0832985779061</v>
      </c>
      <c r="AA760" s="320">
        <f t="shared" si="350"/>
        <v>2053.0826022364104</v>
      </c>
      <c r="AB760" s="320">
        <f t="shared" si="350"/>
        <v>2142.2371103310184</v>
      </c>
      <c r="AC760" s="320">
        <f t="shared" si="350"/>
        <v>2436.5694336974402</v>
      </c>
      <c r="AD760" s="320">
        <f t="shared" si="350"/>
        <v>2746.2076837082741</v>
      </c>
      <c r="AE760" s="320">
        <f t="shared" si="350"/>
        <v>2746.2076837082741</v>
      </c>
      <c r="AF760" s="320">
        <f t="shared" si="350"/>
        <v>2746.2076837082741</v>
      </c>
      <c r="AG760" s="320">
        <f t="shared" si="350"/>
        <v>2746.2076837082741</v>
      </c>
      <c r="AH760" s="320">
        <f t="shared" si="350"/>
        <v>2746.2076837082741</v>
      </c>
      <c r="AI760" s="320">
        <f t="shared" si="350"/>
        <v>2746.2076837082741</v>
      </c>
      <c r="AJ760" s="320">
        <f t="shared" si="350"/>
        <v>2746.2076837082741</v>
      </c>
      <c r="AK760" s="320">
        <f t="shared" si="350"/>
        <v>2746.2076837082741</v>
      </c>
      <c r="AL760" s="320">
        <f t="shared" si="350"/>
        <v>2746.2076837082741</v>
      </c>
      <c r="AM760" s="320">
        <f t="shared" si="350"/>
        <v>2746.2076837082741</v>
      </c>
      <c r="AN760" s="320">
        <f t="shared" si="350"/>
        <v>2746.2076837082741</v>
      </c>
      <c r="AO760" s="320">
        <f t="shared" si="350"/>
        <v>2746.2076837082741</v>
      </c>
      <c r="AP760" s="320">
        <f t="shared" si="350"/>
        <v>2746.2076837082741</v>
      </c>
      <c r="AQ760" s="320">
        <f t="shared" si="350"/>
        <v>2746.2076837082741</v>
      </c>
      <c r="AR760" s="320">
        <f t="shared" si="350"/>
        <v>2746.2076837082741</v>
      </c>
      <c r="AS760" s="320">
        <f t="shared" si="350"/>
        <v>2746.2076837082741</v>
      </c>
      <c r="AT760" s="320">
        <f t="shared" si="350"/>
        <v>2746.2076837082741</v>
      </c>
      <c r="AU760" s="320">
        <f t="shared" si="350"/>
        <v>2746.2076837082741</v>
      </c>
      <c r="AV760" s="320">
        <f t="shared" si="350"/>
        <v>2746.2076837082741</v>
      </c>
    </row>
    <row r="761" spans="1:48" ht="15" customHeight="1">
      <c r="F761" s="320"/>
      <c r="G761" s="320"/>
      <c r="H761" s="320"/>
      <c r="I761" s="320"/>
      <c r="J761" s="320"/>
      <c r="L761" s="320"/>
      <c r="M761" s="320"/>
      <c r="N761" s="320"/>
      <c r="O761" s="320"/>
      <c r="P761" s="320"/>
      <c r="Q761" s="320"/>
      <c r="R761" s="320"/>
      <c r="S761" s="320"/>
      <c r="T761" s="320"/>
      <c r="U761" s="320"/>
      <c r="V761" s="320"/>
      <c r="W761" s="320"/>
      <c r="X761" s="320"/>
      <c r="Y761" s="320"/>
      <c r="Z761" s="320"/>
      <c r="AA761" s="320"/>
      <c r="AB761" s="320"/>
      <c r="AC761" s="320"/>
      <c r="AD761" s="320"/>
      <c r="AE761" s="320"/>
      <c r="AF761" s="320"/>
      <c r="AG761" s="320"/>
      <c r="AH761" s="320"/>
      <c r="AI761" s="320"/>
      <c r="AJ761" s="320"/>
      <c r="AK761" s="320"/>
      <c r="AL761" s="320"/>
      <c r="AM761" s="320"/>
      <c r="AN761" s="320"/>
      <c r="AO761" s="320"/>
      <c r="AP761" s="320"/>
      <c r="AQ761" s="320"/>
      <c r="AR761" s="320"/>
      <c r="AS761" s="320"/>
      <c r="AT761" s="320"/>
      <c r="AU761" s="320"/>
      <c r="AV761" s="320"/>
    </row>
    <row r="762" spans="1:48" ht="15" customHeight="1">
      <c r="E762" s="514" t="str">
        <f xml:space="preserve"> InputsCon!E$131</f>
        <v>Dividend withholding tax</v>
      </c>
      <c r="F762" s="268">
        <f xml:space="preserve"> InputsCon!F$131</f>
        <v>0.1</v>
      </c>
      <c r="G762" s="132" t="str">
        <f xml:space="preserve"> InputsCon!G$131</f>
        <v>%</v>
      </c>
      <c r="H762" s="320"/>
      <c r="I762" s="320"/>
      <c r="J762" s="320"/>
      <c r="L762" s="136" t="s">
        <v>799</v>
      </c>
      <c r="M762" s="320"/>
      <c r="N762" s="320"/>
      <c r="O762" s="320"/>
      <c r="P762" s="320"/>
      <c r="Q762" s="320"/>
      <c r="R762" s="320"/>
      <c r="S762" s="320"/>
      <c r="T762" s="320"/>
      <c r="U762" s="320"/>
      <c r="V762" s="320"/>
      <c r="W762" s="320"/>
      <c r="X762" s="320"/>
      <c r="Y762" s="320"/>
      <c r="Z762" s="320"/>
      <c r="AA762" s="320"/>
      <c r="AB762" s="320"/>
      <c r="AC762" s="320"/>
      <c r="AD762" s="320"/>
      <c r="AE762" s="320"/>
      <c r="AF762" s="320"/>
      <c r="AG762" s="320"/>
      <c r="AH762" s="320"/>
      <c r="AI762" s="320"/>
      <c r="AJ762" s="320"/>
      <c r="AK762" s="320"/>
      <c r="AL762" s="320"/>
      <c r="AM762" s="320"/>
      <c r="AN762" s="320"/>
      <c r="AO762" s="320"/>
      <c r="AP762" s="320"/>
      <c r="AQ762" s="320"/>
      <c r="AR762" s="320"/>
      <c r="AS762" s="320"/>
      <c r="AT762" s="320"/>
      <c r="AU762" s="320"/>
      <c r="AV762" s="320"/>
    </row>
    <row r="763" spans="1:48" ht="15" customHeight="1">
      <c r="E763" s="121" t="s">
        <v>763</v>
      </c>
      <c r="F763" s="320"/>
      <c r="G763" s="320" t="s">
        <v>29</v>
      </c>
      <c r="H763" s="320"/>
      <c r="I763" s="320"/>
      <c r="J763" s="320">
        <f xml:space="preserve"> SUM(L763:AV763)</f>
        <v>284.73360235425861</v>
      </c>
      <c r="L763" s="320">
        <f t="shared" ref="L763:AV763" si="351" xml:space="preserve"> MAX(0, MIN(L760, L759)) * $F762</f>
        <v>0</v>
      </c>
      <c r="M763" s="320">
        <f t="shared" si="351"/>
        <v>0</v>
      </c>
      <c r="N763" s="320">
        <f t="shared" si="351"/>
        <v>0</v>
      </c>
      <c r="O763" s="320">
        <f t="shared" si="351"/>
        <v>0</v>
      </c>
      <c r="P763" s="320">
        <f t="shared" si="351"/>
        <v>0</v>
      </c>
      <c r="Q763" s="320">
        <f t="shared" si="351"/>
        <v>25.902127734161525</v>
      </c>
      <c r="R763" s="320">
        <f t="shared" si="351"/>
        <v>16.890896425955646</v>
      </c>
      <c r="S763" s="320">
        <f t="shared" si="351"/>
        <v>55.660156486177186</v>
      </c>
      <c r="T763" s="320">
        <f t="shared" si="351"/>
        <v>52.940986442394319</v>
      </c>
      <c r="U763" s="320">
        <f t="shared" si="351"/>
        <v>22.541759252892845</v>
      </c>
      <c r="V763" s="320">
        <f t="shared" si="351"/>
        <v>11.400590730927673</v>
      </c>
      <c r="W763" s="320">
        <f t="shared" si="351"/>
        <v>16.314082116819993</v>
      </c>
      <c r="X763" s="320">
        <f t="shared" si="351"/>
        <v>9.8143467987945492</v>
      </c>
      <c r="Y763" s="320">
        <f t="shared" si="351"/>
        <v>3.9561482189484538</v>
      </c>
      <c r="Z763" s="320">
        <f t="shared" si="351"/>
        <v>0</v>
      </c>
      <c r="AA763" s="320">
        <f t="shared" si="351"/>
        <v>0</v>
      </c>
      <c r="AB763" s="320">
        <f t="shared" si="351"/>
        <v>8.91545080946082</v>
      </c>
      <c r="AC763" s="320">
        <f t="shared" si="351"/>
        <v>29.433232336642178</v>
      </c>
      <c r="AD763" s="320">
        <f t="shared" si="351"/>
        <v>30.963825001083411</v>
      </c>
      <c r="AE763" s="320">
        <f t="shared" si="351"/>
        <v>0</v>
      </c>
      <c r="AF763" s="320">
        <f t="shared" si="351"/>
        <v>0</v>
      </c>
      <c r="AG763" s="320">
        <f t="shared" si="351"/>
        <v>0</v>
      </c>
      <c r="AH763" s="320">
        <f t="shared" si="351"/>
        <v>0</v>
      </c>
      <c r="AI763" s="320">
        <f t="shared" si="351"/>
        <v>0</v>
      </c>
      <c r="AJ763" s="320">
        <f t="shared" si="351"/>
        <v>0</v>
      </c>
      <c r="AK763" s="320">
        <f t="shared" si="351"/>
        <v>0</v>
      </c>
      <c r="AL763" s="320">
        <f t="shared" si="351"/>
        <v>0</v>
      </c>
      <c r="AM763" s="320">
        <f t="shared" si="351"/>
        <v>0</v>
      </c>
      <c r="AN763" s="320">
        <f t="shared" si="351"/>
        <v>0</v>
      </c>
      <c r="AO763" s="320">
        <f t="shared" si="351"/>
        <v>0</v>
      </c>
      <c r="AP763" s="320">
        <f t="shared" si="351"/>
        <v>0</v>
      </c>
      <c r="AQ763" s="320">
        <f t="shared" si="351"/>
        <v>0</v>
      </c>
      <c r="AR763" s="320">
        <f t="shared" si="351"/>
        <v>0</v>
      </c>
      <c r="AS763" s="320">
        <f t="shared" si="351"/>
        <v>0</v>
      </c>
      <c r="AT763" s="320">
        <f t="shared" si="351"/>
        <v>0</v>
      </c>
      <c r="AU763" s="320">
        <f t="shared" si="351"/>
        <v>0</v>
      </c>
      <c r="AV763" s="320">
        <f t="shared" si="351"/>
        <v>0</v>
      </c>
    </row>
    <row r="764" spans="1:48" ht="15" customHeight="1">
      <c r="E764" s="607" t="str">
        <f xml:space="preserve"> InputsCon!E$132</f>
        <v>Investment treaty Dividend Witholding Tax</v>
      </c>
      <c r="F764" s="607">
        <f xml:space="preserve"> InputsCon!F$132</f>
        <v>0.05</v>
      </c>
      <c r="G764" s="607" t="str">
        <f xml:space="preserve"> InputsCon!G$132</f>
        <v>%</v>
      </c>
      <c r="H764" s="320"/>
      <c r="I764" s="320"/>
      <c r="J764" s="320"/>
      <c r="L764" s="320"/>
      <c r="M764" s="320"/>
      <c r="N764" s="320"/>
      <c r="O764" s="320"/>
      <c r="P764" s="320"/>
      <c r="Q764" s="320"/>
      <c r="R764" s="320"/>
      <c r="S764" s="320"/>
      <c r="T764" s="320"/>
      <c r="U764" s="320"/>
      <c r="V764" s="320"/>
      <c r="W764" s="320"/>
      <c r="X764" s="320"/>
      <c r="Y764" s="320"/>
      <c r="Z764" s="320"/>
      <c r="AA764" s="320"/>
      <c r="AB764" s="320"/>
      <c r="AC764" s="320"/>
      <c r="AD764" s="320"/>
      <c r="AE764" s="320"/>
      <c r="AF764" s="320"/>
      <c r="AG764" s="320"/>
      <c r="AH764" s="320"/>
      <c r="AI764" s="320"/>
      <c r="AJ764" s="320"/>
      <c r="AK764" s="320"/>
      <c r="AL764" s="320"/>
      <c r="AM764" s="320"/>
      <c r="AN764" s="320"/>
      <c r="AO764" s="320"/>
      <c r="AP764" s="320"/>
      <c r="AQ764" s="320"/>
      <c r="AR764" s="320"/>
      <c r="AS764" s="320"/>
      <c r="AT764" s="320"/>
      <c r="AU764" s="320"/>
      <c r="AV764" s="320"/>
    </row>
    <row r="765" spans="1:48" ht="15" customHeight="1">
      <c r="E765" s="121" t="str">
        <f xml:space="preserve"> E764</f>
        <v>Investment treaty Dividend Witholding Tax</v>
      </c>
      <c r="F765" s="320"/>
      <c r="G765" s="320" t="s">
        <v>29</v>
      </c>
      <c r="H765" s="320"/>
      <c r="I765" s="320"/>
      <c r="J765" s="320">
        <f xml:space="preserve"> SUM(L765:AV765)</f>
        <v>142.3668011771293</v>
      </c>
      <c r="L765" s="320">
        <f t="shared" ref="L765:AV765" si="352" xml:space="preserve"> MAX(0, MIN(L760, L759)) * $F764</f>
        <v>0</v>
      </c>
      <c r="M765" s="320">
        <f t="shared" si="352"/>
        <v>0</v>
      </c>
      <c r="N765" s="320">
        <f t="shared" si="352"/>
        <v>0</v>
      </c>
      <c r="O765" s="320">
        <f t="shared" si="352"/>
        <v>0</v>
      </c>
      <c r="P765" s="320">
        <f t="shared" si="352"/>
        <v>0</v>
      </c>
      <c r="Q765" s="320">
        <f t="shared" si="352"/>
        <v>12.951063867080762</v>
      </c>
      <c r="R765" s="320">
        <f t="shared" si="352"/>
        <v>8.4454482129778228</v>
      </c>
      <c r="S765" s="320">
        <f t="shared" si="352"/>
        <v>27.830078243088593</v>
      </c>
      <c r="T765" s="320">
        <f t="shared" si="352"/>
        <v>26.47049322119716</v>
      </c>
      <c r="U765" s="320">
        <f t="shared" si="352"/>
        <v>11.270879626446423</v>
      </c>
      <c r="V765" s="320">
        <f t="shared" si="352"/>
        <v>5.7002953654638366</v>
      </c>
      <c r="W765" s="320">
        <f t="shared" si="352"/>
        <v>8.1570410584099964</v>
      </c>
      <c r="X765" s="320">
        <f t="shared" si="352"/>
        <v>4.9071733993972746</v>
      </c>
      <c r="Y765" s="320">
        <f t="shared" si="352"/>
        <v>1.9780741094742269</v>
      </c>
      <c r="Z765" s="320">
        <f t="shared" si="352"/>
        <v>0</v>
      </c>
      <c r="AA765" s="320">
        <f t="shared" si="352"/>
        <v>0</v>
      </c>
      <c r="AB765" s="320">
        <f t="shared" si="352"/>
        <v>4.45772540473041</v>
      </c>
      <c r="AC765" s="320">
        <f t="shared" si="352"/>
        <v>14.716616168321089</v>
      </c>
      <c r="AD765" s="320">
        <f t="shared" si="352"/>
        <v>15.481912500541705</v>
      </c>
      <c r="AE765" s="320">
        <f t="shared" si="352"/>
        <v>0</v>
      </c>
      <c r="AF765" s="320">
        <f t="shared" si="352"/>
        <v>0</v>
      </c>
      <c r="AG765" s="320">
        <f t="shared" si="352"/>
        <v>0</v>
      </c>
      <c r="AH765" s="320">
        <f t="shared" si="352"/>
        <v>0</v>
      </c>
      <c r="AI765" s="320">
        <f t="shared" si="352"/>
        <v>0</v>
      </c>
      <c r="AJ765" s="320">
        <f t="shared" si="352"/>
        <v>0</v>
      </c>
      <c r="AK765" s="320">
        <f t="shared" si="352"/>
        <v>0</v>
      </c>
      <c r="AL765" s="320">
        <f t="shared" si="352"/>
        <v>0</v>
      </c>
      <c r="AM765" s="320">
        <f t="shared" si="352"/>
        <v>0</v>
      </c>
      <c r="AN765" s="320">
        <f t="shared" si="352"/>
        <v>0</v>
      </c>
      <c r="AO765" s="320">
        <f t="shared" si="352"/>
        <v>0</v>
      </c>
      <c r="AP765" s="320">
        <f t="shared" si="352"/>
        <v>0</v>
      </c>
      <c r="AQ765" s="320">
        <f t="shared" si="352"/>
        <v>0</v>
      </c>
      <c r="AR765" s="320">
        <f t="shared" si="352"/>
        <v>0</v>
      </c>
      <c r="AS765" s="320">
        <f t="shared" si="352"/>
        <v>0</v>
      </c>
      <c r="AT765" s="320">
        <f t="shared" si="352"/>
        <v>0</v>
      </c>
      <c r="AU765" s="320">
        <f t="shared" si="352"/>
        <v>0</v>
      </c>
      <c r="AV765" s="320">
        <f t="shared" si="352"/>
        <v>0</v>
      </c>
    </row>
    <row r="766" spans="1:48" ht="15" customHeight="1">
      <c r="E766" s="121" t="s">
        <v>1326</v>
      </c>
      <c r="F766" s="320"/>
      <c r="G766" s="320" t="s">
        <v>29</v>
      </c>
      <c r="H766" s="320"/>
      <c r="I766" s="320"/>
      <c r="J766" s="320">
        <f xml:space="preserve"> SUM(L766:AV766)</f>
        <v>142.3668011771293</v>
      </c>
      <c r="L766" s="320">
        <f t="shared" ref="L766:AV766" si="353" xml:space="preserve"> L763 - L765</f>
        <v>0</v>
      </c>
      <c r="M766" s="320">
        <f t="shared" si="353"/>
        <v>0</v>
      </c>
      <c r="N766" s="320">
        <f t="shared" si="353"/>
        <v>0</v>
      </c>
      <c r="O766" s="320">
        <f t="shared" si="353"/>
        <v>0</v>
      </c>
      <c r="P766" s="320">
        <f t="shared" si="353"/>
        <v>0</v>
      </c>
      <c r="Q766" s="320">
        <f t="shared" si="353"/>
        <v>12.951063867080762</v>
      </c>
      <c r="R766" s="320">
        <f t="shared" si="353"/>
        <v>8.4454482129778228</v>
      </c>
      <c r="S766" s="320">
        <f t="shared" si="353"/>
        <v>27.830078243088593</v>
      </c>
      <c r="T766" s="320">
        <f t="shared" si="353"/>
        <v>26.47049322119716</v>
      </c>
      <c r="U766" s="320">
        <f t="shared" si="353"/>
        <v>11.270879626446423</v>
      </c>
      <c r="V766" s="320">
        <f t="shared" si="353"/>
        <v>5.7002953654638366</v>
      </c>
      <c r="W766" s="320">
        <f t="shared" si="353"/>
        <v>8.1570410584099964</v>
      </c>
      <c r="X766" s="320">
        <f t="shared" si="353"/>
        <v>4.9071733993972746</v>
      </c>
      <c r="Y766" s="320">
        <f t="shared" si="353"/>
        <v>1.9780741094742269</v>
      </c>
      <c r="Z766" s="320">
        <f t="shared" si="353"/>
        <v>0</v>
      </c>
      <c r="AA766" s="320">
        <f t="shared" si="353"/>
        <v>0</v>
      </c>
      <c r="AB766" s="320">
        <f t="shared" si="353"/>
        <v>4.45772540473041</v>
      </c>
      <c r="AC766" s="320">
        <f t="shared" si="353"/>
        <v>14.716616168321089</v>
      </c>
      <c r="AD766" s="320">
        <f t="shared" si="353"/>
        <v>15.481912500541705</v>
      </c>
      <c r="AE766" s="320">
        <f t="shared" si="353"/>
        <v>0</v>
      </c>
      <c r="AF766" s="320">
        <f t="shared" si="353"/>
        <v>0</v>
      </c>
      <c r="AG766" s="320">
        <f t="shared" si="353"/>
        <v>0</v>
      </c>
      <c r="AH766" s="320">
        <f t="shared" si="353"/>
        <v>0</v>
      </c>
      <c r="AI766" s="320">
        <f t="shared" si="353"/>
        <v>0</v>
      </c>
      <c r="AJ766" s="320">
        <f t="shared" si="353"/>
        <v>0</v>
      </c>
      <c r="AK766" s="320">
        <f t="shared" si="353"/>
        <v>0</v>
      </c>
      <c r="AL766" s="320">
        <f t="shared" si="353"/>
        <v>0</v>
      </c>
      <c r="AM766" s="320">
        <f t="shared" si="353"/>
        <v>0</v>
      </c>
      <c r="AN766" s="320">
        <f t="shared" si="353"/>
        <v>0</v>
      </c>
      <c r="AO766" s="320">
        <f t="shared" si="353"/>
        <v>0</v>
      </c>
      <c r="AP766" s="320">
        <f t="shared" si="353"/>
        <v>0</v>
      </c>
      <c r="AQ766" s="320">
        <f t="shared" si="353"/>
        <v>0</v>
      </c>
      <c r="AR766" s="320">
        <f t="shared" si="353"/>
        <v>0</v>
      </c>
      <c r="AS766" s="320">
        <f t="shared" si="353"/>
        <v>0</v>
      </c>
      <c r="AT766" s="320">
        <f t="shared" si="353"/>
        <v>0</v>
      </c>
      <c r="AU766" s="320">
        <f t="shared" si="353"/>
        <v>0</v>
      </c>
      <c r="AV766" s="320">
        <f t="shared" si="353"/>
        <v>0</v>
      </c>
    </row>
    <row r="767" spans="1:48" ht="15" customHeight="1">
      <c r="F767" s="320"/>
      <c r="G767" s="320"/>
      <c r="H767" s="320"/>
      <c r="I767" s="320"/>
      <c r="J767" s="320"/>
      <c r="L767" s="320"/>
      <c r="M767" s="320"/>
      <c r="N767" s="320"/>
      <c r="O767" s="320"/>
      <c r="P767" s="320"/>
      <c r="Q767" s="320"/>
      <c r="R767" s="320"/>
      <c r="S767" s="320"/>
      <c r="T767" s="320"/>
      <c r="U767" s="320"/>
      <c r="V767" s="320"/>
      <c r="W767" s="320"/>
      <c r="X767" s="320"/>
      <c r="Y767" s="320"/>
      <c r="Z767" s="320"/>
      <c r="AA767" s="320"/>
      <c r="AB767" s="320"/>
      <c r="AC767" s="320"/>
      <c r="AD767" s="320"/>
      <c r="AE767" s="320"/>
      <c r="AF767" s="320"/>
      <c r="AG767" s="320"/>
      <c r="AH767" s="320"/>
      <c r="AI767" s="320"/>
      <c r="AJ767" s="320"/>
      <c r="AK767" s="320"/>
      <c r="AL767" s="320"/>
      <c r="AM767" s="320"/>
      <c r="AN767" s="320"/>
      <c r="AO767" s="320"/>
      <c r="AP767" s="320"/>
      <c r="AQ767" s="320"/>
      <c r="AR767" s="320"/>
      <c r="AS767" s="320"/>
      <c r="AT767" s="320"/>
      <c r="AU767" s="320"/>
      <c r="AV767" s="320"/>
    </row>
    <row r="768" spans="1:48" ht="15" customHeight="1">
      <c r="B768" s="111" t="s">
        <v>762</v>
      </c>
      <c r="F768" s="320"/>
      <c r="G768" s="320"/>
      <c r="H768" s="320"/>
      <c r="I768" s="320"/>
      <c r="J768" s="320"/>
      <c r="L768" s="320"/>
      <c r="M768" s="320"/>
      <c r="N768" s="320"/>
      <c r="O768" s="320"/>
      <c r="P768" s="320"/>
      <c r="Q768" s="320"/>
      <c r="R768" s="320"/>
      <c r="S768" s="320"/>
      <c r="T768" s="320"/>
      <c r="U768" s="320"/>
      <c r="V768" s="320"/>
      <c r="W768" s="320"/>
      <c r="X768" s="320"/>
      <c r="Y768" s="320"/>
      <c r="Z768" s="320"/>
      <c r="AA768" s="320"/>
      <c r="AB768" s="320"/>
      <c r="AC768" s="320"/>
      <c r="AD768" s="320"/>
      <c r="AE768" s="320"/>
      <c r="AF768" s="320"/>
      <c r="AG768" s="320"/>
      <c r="AH768" s="320"/>
      <c r="AI768" s="320"/>
      <c r="AJ768" s="320"/>
      <c r="AK768" s="320"/>
      <c r="AL768" s="320"/>
      <c r="AM768" s="320"/>
      <c r="AN768" s="320"/>
      <c r="AO768" s="320"/>
      <c r="AP768" s="320"/>
      <c r="AQ768" s="320"/>
      <c r="AR768" s="320"/>
      <c r="AS768" s="320"/>
      <c r="AT768" s="320"/>
      <c r="AU768" s="320"/>
      <c r="AV768" s="320"/>
    </row>
    <row r="769" spans="1:48" s="8" customFormat="1" ht="15" customHeight="1">
      <c r="A769" s="413"/>
      <c r="B769" s="413"/>
      <c r="C769" s="478"/>
      <c r="D769" s="860"/>
      <c r="E769" s="8" t="str">
        <f t="shared" ref="E769:AV769" si="354" xml:space="preserve"> E$759</f>
        <v>ERG  share of METALKOL cashflow</v>
      </c>
      <c r="F769" s="8">
        <f t="shared" si="354"/>
        <v>0</v>
      </c>
      <c r="G769" s="8" t="str">
        <f t="shared" si="354"/>
        <v>$ mn</v>
      </c>
      <c r="H769" s="8">
        <f t="shared" si="354"/>
        <v>0</v>
      </c>
      <c r="I769" s="8">
        <f t="shared" si="354"/>
        <v>0</v>
      </c>
      <c r="J769" s="8">
        <f t="shared" si="354"/>
        <v>2746.2076837082741</v>
      </c>
      <c r="K769" s="8">
        <f t="shared" si="354"/>
        <v>0</v>
      </c>
      <c r="L769" s="8">
        <f t="shared" si="354"/>
        <v>0</v>
      </c>
      <c r="M769" s="8">
        <f t="shared" si="354"/>
        <v>0</v>
      </c>
      <c r="N769" s="8">
        <f t="shared" si="354"/>
        <v>0</v>
      </c>
      <c r="O769" s="8">
        <f t="shared" si="354"/>
        <v>0</v>
      </c>
      <c r="P769" s="8">
        <f t="shared" si="354"/>
        <v>-946.95764879847923</v>
      </c>
      <c r="Q769" s="8">
        <f t="shared" si="354"/>
        <v>1205.9789261400945</v>
      </c>
      <c r="R769" s="8">
        <f t="shared" si="354"/>
        <v>168.90896425955646</v>
      </c>
      <c r="S769" s="8">
        <f t="shared" si="354"/>
        <v>556.60156486177186</v>
      </c>
      <c r="T769" s="8">
        <f t="shared" si="354"/>
        <v>529.40986442394319</v>
      </c>
      <c r="U769" s="8">
        <f t="shared" si="354"/>
        <v>225.41759252892842</v>
      </c>
      <c r="V769" s="8">
        <f t="shared" si="354"/>
        <v>114.00590730927672</v>
      </c>
      <c r="W769" s="8">
        <f t="shared" si="354"/>
        <v>163.14082116819992</v>
      </c>
      <c r="X769" s="8">
        <f t="shared" si="354"/>
        <v>98.143467987945485</v>
      </c>
      <c r="Y769" s="8">
        <f t="shared" si="354"/>
        <v>39.561482189484536</v>
      </c>
      <c r="Z769" s="8">
        <f t="shared" si="354"/>
        <v>-13.127643492816048</v>
      </c>
      <c r="AA769" s="8">
        <f t="shared" si="354"/>
        <v>-88.000696341495768</v>
      </c>
      <c r="AB769" s="8">
        <f t="shared" si="354"/>
        <v>89.154508094608204</v>
      </c>
      <c r="AC769" s="8">
        <f t="shared" si="354"/>
        <v>294.33232336642175</v>
      </c>
      <c r="AD769" s="8">
        <f t="shared" si="354"/>
        <v>309.6382500108341</v>
      </c>
      <c r="AE769" s="8">
        <f t="shared" si="354"/>
        <v>0</v>
      </c>
      <c r="AF769" s="8">
        <f t="shared" si="354"/>
        <v>0</v>
      </c>
      <c r="AG769" s="8">
        <f t="shared" si="354"/>
        <v>0</v>
      </c>
      <c r="AH769" s="8">
        <f t="shared" si="354"/>
        <v>0</v>
      </c>
      <c r="AI769" s="8">
        <f t="shared" si="354"/>
        <v>0</v>
      </c>
      <c r="AJ769" s="8">
        <f t="shared" si="354"/>
        <v>0</v>
      </c>
      <c r="AK769" s="8">
        <f t="shared" si="354"/>
        <v>0</v>
      </c>
      <c r="AL769" s="8">
        <f t="shared" si="354"/>
        <v>0</v>
      </c>
      <c r="AM769" s="8">
        <f t="shared" si="354"/>
        <v>0</v>
      </c>
      <c r="AN769" s="8">
        <f t="shared" si="354"/>
        <v>0</v>
      </c>
      <c r="AO769" s="8">
        <f t="shared" si="354"/>
        <v>0</v>
      </c>
      <c r="AP769" s="8">
        <f t="shared" si="354"/>
        <v>0</v>
      </c>
      <c r="AQ769" s="8">
        <f t="shared" si="354"/>
        <v>0</v>
      </c>
      <c r="AR769" s="8">
        <f t="shared" si="354"/>
        <v>0</v>
      </c>
      <c r="AS769" s="8">
        <f t="shared" si="354"/>
        <v>0</v>
      </c>
      <c r="AT769" s="8">
        <f t="shared" si="354"/>
        <v>0</v>
      </c>
      <c r="AU769" s="8">
        <f t="shared" si="354"/>
        <v>0</v>
      </c>
      <c r="AV769" s="8">
        <f t="shared" si="354"/>
        <v>0</v>
      </c>
    </row>
    <row r="770" spans="1:48" s="6" customFormat="1" ht="15" customHeight="1">
      <c r="A770" s="347"/>
      <c r="B770" s="95"/>
      <c r="C770" s="96"/>
      <c r="D770" s="369" t="s">
        <v>665</v>
      </c>
      <c r="E770" s="6" t="str">
        <f t="shared" ref="E770:AV770" si="355" xml:space="preserve"> E$763</f>
        <v>Dividend withholding tax</v>
      </c>
      <c r="F770" s="6">
        <f t="shared" si="355"/>
        <v>0</v>
      </c>
      <c r="G770" s="6" t="str">
        <f t="shared" si="355"/>
        <v>$ mn</v>
      </c>
      <c r="H770" s="6">
        <f t="shared" si="355"/>
        <v>0</v>
      </c>
      <c r="I770" s="6">
        <f t="shared" si="355"/>
        <v>0</v>
      </c>
      <c r="J770" s="6">
        <f t="shared" si="355"/>
        <v>284.73360235425861</v>
      </c>
      <c r="K770" s="6">
        <f t="shared" si="355"/>
        <v>0</v>
      </c>
      <c r="L770" s="6">
        <f t="shared" si="355"/>
        <v>0</v>
      </c>
      <c r="M770" s="6">
        <f t="shared" si="355"/>
        <v>0</v>
      </c>
      <c r="N770" s="6">
        <f t="shared" si="355"/>
        <v>0</v>
      </c>
      <c r="O770" s="6">
        <f t="shared" si="355"/>
        <v>0</v>
      </c>
      <c r="P770" s="6">
        <f t="shared" si="355"/>
        <v>0</v>
      </c>
      <c r="Q770" s="6">
        <f t="shared" si="355"/>
        <v>25.902127734161525</v>
      </c>
      <c r="R770" s="6">
        <f t="shared" si="355"/>
        <v>16.890896425955646</v>
      </c>
      <c r="S770" s="6">
        <f t="shared" si="355"/>
        <v>55.660156486177186</v>
      </c>
      <c r="T770" s="6">
        <f t="shared" si="355"/>
        <v>52.940986442394319</v>
      </c>
      <c r="U770" s="6">
        <f t="shared" si="355"/>
        <v>22.541759252892845</v>
      </c>
      <c r="V770" s="6">
        <f t="shared" si="355"/>
        <v>11.400590730927673</v>
      </c>
      <c r="W770" s="6">
        <f t="shared" si="355"/>
        <v>16.314082116819993</v>
      </c>
      <c r="X770" s="6">
        <f t="shared" si="355"/>
        <v>9.8143467987945492</v>
      </c>
      <c r="Y770" s="6">
        <f t="shared" si="355"/>
        <v>3.9561482189484538</v>
      </c>
      <c r="Z770" s="6">
        <f t="shared" si="355"/>
        <v>0</v>
      </c>
      <c r="AA770" s="6">
        <f t="shared" si="355"/>
        <v>0</v>
      </c>
      <c r="AB770" s="6">
        <f t="shared" si="355"/>
        <v>8.91545080946082</v>
      </c>
      <c r="AC770" s="6">
        <f t="shared" si="355"/>
        <v>29.433232336642178</v>
      </c>
      <c r="AD770" s="6">
        <f t="shared" si="355"/>
        <v>30.963825001083411</v>
      </c>
      <c r="AE770" s="6">
        <f t="shared" si="355"/>
        <v>0</v>
      </c>
      <c r="AF770" s="6">
        <f t="shared" si="355"/>
        <v>0</v>
      </c>
      <c r="AG770" s="6">
        <f t="shared" si="355"/>
        <v>0</v>
      </c>
      <c r="AH770" s="6">
        <f t="shared" si="355"/>
        <v>0</v>
      </c>
      <c r="AI770" s="6">
        <f t="shared" si="355"/>
        <v>0</v>
      </c>
      <c r="AJ770" s="6">
        <f t="shared" si="355"/>
        <v>0</v>
      </c>
      <c r="AK770" s="6">
        <f t="shared" si="355"/>
        <v>0</v>
      </c>
      <c r="AL770" s="6">
        <f t="shared" si="355"/>
        <v>0</v>
      </c>
      <c r="AM770" s="6">
        <f t="shared" si="355"/>
        <v>0</v>
      </c>
      <c r="AN770" s="6">
        <f t="shared" si="355"/>
        <v>0</v>
      </c>
      <c r="AO770" s="6">
        <f t="shared" si="355"/>
        <v>0</v>
      </c>
      <c r="AP770" s="6">
        <f t="shared" si="355"/>
        <v>0</v>
      </c>
      <c r="AQ770" s="6">
        <f t="shared" si="355"/>
        <v>0</v>
      </c>
      <c r="AR770" s="6">
        <f t="shared" si="355"/>
        <v>0</v>
      </c>
      <c r="AS770" s="6">
        <f t="shared" si="355"/>
        <v>0</v>
      </c>
      <c r="AT770" s="6">
        <f t="shared" si="355"/>
        <v>0</v>
      </c>
      <c r="AU770" s="6">
        <f t="shared" si="355"/>
        <v>0</v>
      </c>
      <c r="AV770" s="6">
        <f t="shared" si="355"/>
        <v>0</v>
      </c>
    </row>
    <row r="771" spans="1:48" s="8" customFormat="1" ht="15" customHeight="1">
      <c r="A771" s="413"/>
      <c r="B771" s="413"/>
      <c r="C771" s="478"/>
      <c r="D771" s="860"/>
      <c r="E771" s="6" t="str">
        <f t="shared" ref="E771:AV771" si="356" xml:space="preserve"> E$721</f>
        <v>[Net debt cashflows (parent co lender)]</v>
      </c>
      <c r="F771" s="6">
        <f t="shared" si="356"/>
        <v>0</v>
      </c>
      <c r="G771" s="6" t="str">
        <f t="shared" si="356"/>
        <v>$ mn</v>
      </c>
      <c r="H771" s="6">
        <f t="shared" si="356"/>
        <v>0</v>
      </c>
      <c r="I771" s="6">
        <f t="shared" si="356"/>
        <v>0</v>
      </c>
      <c r="J771" s="6">
        <f t="shared" si="356"/>
        <v>1372.5285068756166</v>
      </c>
      <c r="K771" s="6">
        <f t="shared" si="356"/>
        <v>0</v>
      </c>
      <c r="L771" s="6">
        <f t="shared" si="356"/>
        <v>0</v>
      </c>
      <c r="M771" s="6">
        <f t="shared" si="356"/>
        <v>0</v>
      </c>
      <c r="N771" s="6">
        <f t="shared" si="356"/>
        <v>0</v>
      </c>
      <c r="O771" s="6">
        <f t="shared" si="356"/>
        <v>0</v>
      </c>
      <c r="P771" s="6">
        <f t="shared" si="356"/>
        <v>0</v>
      </c>
      <c r="Q771" s="6">
        <f t="shared" si="356"/>
        <v>-838.36</v>
      </c>
      <c r="R771" s="6">
        <f t="shared" si="356"/>
        <v>17.317399999999999</v>
      </c>
      <c r="S771" s="6">
        <f t="shared" si="356"/>
        <v>69.050010000000015</v>
      </c>
      <c r="T771" s="6">
        <f t="shared" si="356"/>
        <v>124.2587226111111</v>
      </c>
      <c r="U771" s="6">
        <f t="shared" si="356"/>
        <v>159.87003100277778</v>
      </c>
      <c r="V771" s="6">
        <f t="shared" si="356"/>
        <v>167.97982136748018</v>
      </c>
      <c r="W771" s="6">
        <f t="shared" si="356"/>
        <v>214.13179457260219</v>
      </c>
      <c r="X771" s="6">
        <f t="shared" si="356"/>
        <v>236.66656375849249</v>
      </c>
      <c r="Y771" s="6">
        <f t="shared" si="356"/>
        <v>298.98654832226634</v>
      </c>
      <c r="Z771" s="6">
        <f t="shared" si="356"/>
        <v>341.29453057060636</v>
      </c>
      <c r="AA771" s="6">
        <f t="shared" si="356"/>
        <v>409.68371015619726</v>
      </c>
      <c r="AB771" s="6">
        <f t="shared" si="356"/>
        <v>171.64937451408275</v>
      </c>
      <c r="AC771" s="6">
        <f t="shared" si="356"/>
        <v>0</v>
      </c>
      <c r="AD771" s="6">
        <f t="shared" si="356"/>
        <v>0</v>
      </c>
      <c r="AE771" s="6">
        <f t="shared" si="356"/>
        <v>0</v>
      </c>
      <c r="AF771" s="6">
        <f t="shared" si="356"/>
        <v>0</v>
      </c>
      <c r="AG771" s="6">
        <f t="shared" si="356"/>
        <v>0</v>
      </c>
      <c r="AH771" s="6">
        <f t="shared" si="356"/>
        <v>0</v>
      </c>
      <c r="AI771" s="6">
        <f t="shared" si="356"/>
        <v>0</v>
      </c>
      <c r="AJ771" s="6">
        <f t="shared" si="356"/>
        <v>0</v>
      </c>
      <c r="AK771" s="6">
        <f t="shared" si="356"/>
        <v>0</v>
      </c>
      <c r="AL771" s="6">
        <f t="shared" si="356"/>
        <v>0</v>
      </c>
      <c r="AM771" s="6">
        <f t="shared" si="356"/>
        <v>0</v>
      </c>
      <c r="AN771" s="6">
        <f t="shared" si="356"/>
        <v>0</v>
      </c>
      <c r="AO771" s="6">
        <f t="shared" si="356"/>
        <v>0</v>
      </c>
      <c r="AP771" s="6">
        <f t="shared" si="356"/>
        <v>0</v>
      </c>
      <c r="AQ771" s="6">
        <f t="shared" si="356"/>
        <v>0</v>
      </c>
      <c r="AR771" s="6">
        <f t="shared" si="356"/>
        <v>0</v>
      </c>
      <c r="AS771" s="6">
        <f t="shared" si="356"/>
        <v>0</v>
      </c>
      <c r="AT771" s="6">
        <f t="shared" si="356"/>
        <v>0</v>
      </c>
      <c r="AU771" s="6">
        <f t="shared" si="356"/>
        <v>0</v>
      </c>
      <c r="AV771" s="6">
        <f t="shared" si="356"/>
        <v>0</v>
      </c>
    </row>
    <row r="772" spans="1:48" s="8" customFormat="1" ht="15" customHeight="1">
      <c r="A772" s="413"/>
      <c r="B772" s="413"/>
      <c r="C772" s="478"/>
      <c r="D772" s="860"/>
      <c r="E772" s="8" t="s">
        <v>769</v>
      </c>
      <c r="G772" s="8" t="s">
        <v>29</v>
      </c>
      <c r="J772" s="8">
        <f xml:space="preserve"> SUM(L772:AV772)</f>
        <v>3834.0025882296322</v>
      </c>
      <c r="L772" s="8">
        <f t="shared" ref="L772:AV772" si="357" xml:space="preserve"> L769 - L770 + L771</f>
        <v>0</v>
      </c>
      <c r="M772" s="8">
        <f t="shared" si="357"/>
        <v>0</v>
      </c>
      <c r="N772" s="8">
        <f t="shared" si="357"/>
        <v>0</v>
      </c>
      <c r="O772" s="8">
        <f t="shared" si="357"/>
        <v>0</v>
      </c>
      <c r="P772" s="8">
        <f t="shared" si="357"/>
        <v>-946.95764879847923</v>
      </c>
      <c r="Q772" s="8">
        <f t="shared" si="357"/>
        <v>341.71679840593299</v>
      </c>
      <c r="R772" s="8">
        <f t="shared" si="357"/>
        <v>169.3354678336008</v>
      </c>
      <c r="S772" s="8">
        <f t="shared" si="357"/>
        <v>569.99141837559466</v>
      </c>
      <c r="T772" s="8">
        <f t="shared" si="357"/>
        <v>600.72760059266</v>
      </c>
      <c r="U772" s="8">
        <f t="shared" si="357"/>
        <v>362.74586427881331</v>
      </c>
      <c r="V772" s="8">
        <f t="shared" si="357"/>
        <v>270.58513794582922</v>
      </c>
      <c r="W772" s="8">
        <f t="shared" si="357"/>
        <v>360.95853362398213</v>
      </c>
      <c r="X772" s="8">
        <f t="shared" si="357"/>
        <v>324.99568494764344</v>
      </c>
      <c r="Y772" s="8">
        <f t="shared" si="357"/>
        <v>334.59188229280244</v>
      </c>
      <c r="Z772" s="8">
        <f t="shared" si="357"/>
        <v>328.16688707779031</v>
      </c>
      <c r="AA772" s="8">
        <f t="shared" si="357"/>
        <v>321.6830138147015</v>
      </c>
      <c r="AB772" s="8">
        <f t="shared" si="357"/>
        <v>251.88843179923015</v>
      </c>
      <c r="AC772" s="8">
        <f t="shared" si="357"/>
        <v>264.89909102977958</v>
      </c>
      <c r="AD772" s="8">
        <f t="shared" si="357"/>
        <v>278.67442500975068</v>
      </c>
      <c r="AE772" s="8">
        <f t="shared" si="357"/>
        <v>0</v>
      </c>
      <c r="AF772" s="8">
        <f t="shared" si="357"/>
        <v>0</v>
      </c>
      <c r="AG772" s="8">
        <f t="shared" si="357"/>
        <v>0</v>
      </c>
      <c r="AH772" s="8">
        <f t="shared" si="357"/>
        <v>0</v>
      </c>
      <c r="AI772" s="8">
        <f t="shared" si="357"/>
        <v>0</v>
      </c>
      <c r="AJ772" s="8">
        <f t="shared" si="357"/>
        <v>0</v>
      </c>
      <c r="AK772" s="8">
        <f t="shared" si="357"/>
        <v>0</v>
      </c>
      <c r="AL772" s="8">
        <f t="shared" si="357"/>
        <v>0</v>
      </c>
      <c r="AM772" s="8">
        <f t="shared" si="357"/>
        <v>0</v>
      </c>
      <c r="AN772" s="8">
        <f t="shared" si="357"/>
        <v>0</v>
      </c>
      <c r="AO772" s="8">
        <f t="shared" si="357"/>
        <v>0</v>
      </c>
      <c r="AP772" s="8">
        <f t="shared" si="357"/>
        <v>0</v>
      </c>
      <c r="AQ772" s="8">
        <f t="shared" si="357"/>
        <v>0</v>
      </c>
      <c r="AR772" s="8">
        <f t="shared" si="357"/>
        <v>0</v>
      </c>
      <c r="AS772" s="8">
        <f t="shared" si="357"/>
        <v>0</v>
      </c>
      <c r="AT772" s="8">
        <f t="shared" si="357"/>
        <v>0</v>
      </c>
      <c r="AU772" s="8">
        <f t="shared" si="357"/>
        <v>0</v>
      </c>
      <c r="AV772" s="8">
        <f t="shared" si="357"/>
        <v>0</v>
      </c>
    </row>
    <row r="773" spans="1:48" s="6" customFormat="1" ht="15" customHeight="1">
      <c r="A773" s="347"/>
      <c r="B773" s="95"/>
      <c r="C773" s="96"/>
      <c r="D773" s="369"/>
    </row>
    <row r="774" spans="1:48" s="6" customFormat="1" ht="15" customHeight="1">
      <c r="A774" s="347"/>
      <c r="B774" s="111" t="s">
        <v>1328</v>
      </c>
      <c r="C774" s="96"/>
      <c r="D774" s="369"/>
      <c r="H774" s="6" t="s">
        <v>1327</v>
      </c>
    </row>
    <row r="775" spans="1:48" s="8" customFormat="1" ht="15" customHeight="1">
      <c r="A775" s="413"/>
      <c r="B775" s="413"/>
      <c r="C775" s="478"/>
      <c r="D775" s="860"/>
      <c r="E775" s="6" t="str">
        <f t="shared" ref="E775:AV775" si="358" xml:space="preserve"> E$766</f>
        <v>Difference in DWT Rates</v>
      </c>
      <c r="F775" s="6">
        <f t="shared" si="358"/>
        <v>0</v>
      </c>
      <c r="G775" s="6" t="str">
        <f t="shared" si="358"/>
        <v>$ mn</v>
      </c>
      <c r="H775" s="6">
        <f t="shared" si="358"/>
        <v>0</v>
      </c>
      <c r="I775" s="6">
        <f t="shared" si="358"/>
        <v>0</v>
      </c>
      <c r="J775" s="6">
        <f t="shared" si="358"/>
        <v>142.3668011771293</v>
      </c>
      <c r="K775" s="6">
        <f t="shared" si="358"/>
        <v>0</v>
      </c>
      <c r="L775" s="6">
        <f t="shared" si="358"/>
        <v>0</v>
      </c>
      <c r="M775" s="6">
        <f t="shared" si="358"/>
        <v>0</v>
      </c>
      <c r="N775" s="6">
        <f t="shared" si="358"/>
        <v>0</v>
      </c>
      <c r="O775" s="6">
        <f t="shared" si="358"/>
        <v>0</v>
      </c>
      <c r="P775" s="6">
        <f t="shared" si="358"/>
        <v>0</v>
      </c>
      <c r="Q775" s="6">
        <f t="shared" si="358"/>
        <v>12.951063867080762</v>
      </c>
      <c r="R775" s="6">
        <f t="shared" si="358"/>
        <v>8.4454482129778228</v>
      </c>
      <c r="S775" s="6">
        <f t="shared" si="358"/>
        <v>27.830078243088593</v>
      </c>
      <c r="T775" s="6">
        <f t="shared" si="358"/>
        <v>26.47049322119716</v>
      </c>
      <c r="U775" s="6">
        <f t="shared" si="358"/>
        <v>11.270879626446423</v>
      </c>
      <c r="V775" s="6">
        <f t="shared" si="358"/>
        <v>5.7002953654638366</v>
      </c>
      <c r="W775" s="6">
        <f t="shared" si="358"/>
        <v>8.1570410584099964</v>
      </c>
      <c r="X775" s="6">
        <f t="shared" si="358"/>
        <v>4.9071733993972746</v>
      </c>
      <c r="Y775" s="6">
        <f t="shared" si="358"/>
        <v>1.9780741094742269</v>
      </c>
      <c r="Z775" s="6">
        <f t="shared" si="358"/>
        <v>0</v>
      </c>
      <c r="AA775" s="6">
        <f t="shared" si="358"/>
        <v>0</v>
      </c>
      <c r="AB775" s="6">
        <f t="shared" si="358"/>
        <v>4.45772540473041</v>
      </c>
      <c r="AC775" s="6">
        <f t="shared" si="358"/>
        <v>14.716616168321089</v>
      </c>
      <c r="AD775" s="6">
        <f t="shared" si="358"/>
        <v>15.481912500541705</v>
      </c>
      <c r="AE775" s="6">
        <f t="shared" si="358"/>
        <v>0</v>
      </c>
      <c r="AF775" s="6">
        <f t="shared" si="358"/>
        <v>0</v>
      </c>
      <c r="AG775" s="6">
        <f t="shared" si="358"/>
        <v>0</v>
      </c>
      <c r="AH775" s="6">
        <f t="shared" si="358"/>
        <v>0</v>
      </c>
      <c r="AI775" s="6">
        <f t="shared" si="358"/>
        <v>0</v>
      </c>
      <c r="AJ775" s="6">
        <f t="shared" si="358"/>
        <v>0</v>
      </c>
      <c r="AK775" s="6">
        <f t="shared" si="358"/>
        <v>0</v>
      </c>
      <c r="AL775" s="6">
        <f t="shared" si="358"/>
        <v>0</v>
      </c>
      <c r="AM775" s="6">
        <f t="shared" si="358"/>
        <v>0</v>
      </c>
      <c r="AN775" s="6">
        <f t="shared" si="358"/>
        <v>0</v>
      </c>
      <c r="AO775" s="6">
        <f t="shared" si="358"/>
        <v>0</v>
      </c>
      <c r="AP775" s="6">
        <f t="shared" si="358"/>
        <v>0</v>
      </c>
      <c r="AQ775" s="6">
        <f t="shared" si="358"/>
        <v>0</v>
      </c>
      <c r="AR775" s="6">
        <f t="shared" si="358"/>
        <v>0</v>
      </c>
      <c r="AS775" s="6">
        <f t="shared" si="358"/>
        <v>0</v>
      </c>
      <c r="AT775" s="6">
        <f t="shared" si="358"/>
        <v>0</v>
      </c>
      <c r="AU775" s="6">
        <f t="shared" si="358"/>
        <v>0</v>
      </c>
      <c r="AV775" s="6">
        <f t="shared" si="358"/>
        <v>0</v>
      </c>
    </row>
    <row r="776" spans="1:48" s="6" customFormat="1" ht="15" customHeight="1">
      <c r="A776" s="347"/>
      <c r="B776" s="95"/>
      <c r="C776" s="96"/>
      <c r="D776" s="369"/>
      <c r="E776" s="6" t="str">
        <f t="shared" ref="E776:AV776" si="359" xml:space="preserve"> E$639</f>
        <v>WHT on non-resident services</v>
      </c>
      <c r="F776" s="6">
        <f t="shared" si="359"/>
        <v>0</v>
      </c>
      <c r="G776" s="6" t="str">
        <f t="shared" si="359"/>
        <v>$ mn</v>
      </c>
      <c r="H776" s="6">
        <f t="shared" si="359"/>
        <v>0</v>
      </c>
      <c r="I776" s="6">
        <f t="shared" si="359"/>
        <v>0</v>
      </c>
      <c r="J776" s="6">
        <f t="shared" si="359"/>
        <v>116.1293554984677</v>
      </c>
      <c r="K776" s="6">
        <f t="shared" si="359"/>
        <v>0</v>
      </c>
      <c r="L776" s="6">
        <f t="shared" si="359"/>
        <v>0</v>
      </c>
      <c r="M776" s="6">
        <f t="shared" si="359"/>
        <v>0</v>
      </c>
      <c r="N776" s="6">
        <f t="shared" si="359"/>
        <v>0</v>
      </c>
      <c r="O776" s="6">
        <f t="shared" si="359"/>
        <v>0</v>
      </c>
      <c r="P776" s="6">
        <f t="shared" si="359"/>
        <v>19.799919999999997</v>
      </c>
      <c r="Q776" s="6">
        <f t="shared" si="359"/>
        <v>3.4417600000000004</v>
      </c>
      <c r="R776" s="6">
        <f t="shared" si="359"/>
        <v>4.905153633597104</v>
      </c>
      <c r="S776" s="6">
        <f t="shared" si="359"/>
        <v>5.0413991194314169</v>
      </c>
      <c r="T776" s="6">
        <f t="shared" si="359"/>
        <v>6.6039795103128069</v>
      </c>
      <c r="U776" s="6">
        <f t="shared" si="359"/>
        <v>6.480050692231405</v>
      </c>
      <c r="V776" s="6">
        <f t="shared" si="359"/>
        <v>7.2970733100523271</v>
      </c>
      <c r="W776" s="6">
        <f t="shared" si="359"/>
        <v>7.1625197884942295</v>
      </c>
      <c r="X776" s="6">
        <f t="shared" si="359"/>
        <v>7.7389916412084201</v>
      </c>
      <c r="Y776" s="6">
        <f t="shared" si="359"/>
        <v>7.3653308966799234</v>
      </c>
      <c r="Z776" s="6">
        <f t="shared" si="359"/>
        <v>7.8155346410725848</v>
      </c>
      <c r="AA776" s="6">
        <f t="shared" si="359"/>
        <v>7.6564461253809046</v>
      </c>
      <c r="AB776" s="6">
        <f t="shared" si="359"/>
        <v>8.5170433605766043</v>
      </c>
      <c r="AC776" s="6">
        <f t="shared" si="359"/>
        <v>8.0311319353889452</v>
      </c>
      <c r="AD776" s="6">
        <f t="shared" si="359"/>
        <v>8.2730208440410351</v>
      </c>
      <c r="AE776" s="6">
        <f t="shared" si="359"/>
        <v>0</v>
      </c>
      <c r="AF776" s="6">
        <f t="shared" si="359"/>
        <v>0</v>
      </c>
      <c r="AG776" s="6">
        <f t="shared" si="359"/>
        <v>0</v>
      </c>
      <c r="AH776" s="6">
        <f t="shared" si="359"/>
        <v>0</v>
      </c>
      <c r="AI776" s="6">
        <f t="shared" si="359"/>
        <v>0</v>
      </c>
      <c r="AJ776" s="6">
        <f t="shared" si="359"/>
        <v>0</v>
      </c>
      <c r="AK776" s="6">
        <f t="shared" si="359"/>
        <v>0</v>
      </c>
      <c r="AL776" s="6">
        <f t="shared" si="359"/>
        <v>0</v>
      </c>
      <c r="AM776" s="6">
        <f t="shared" si="359"/>
        <v>0</v>
      </c>
      <c r="AN776" s="6">
        <f t="shared" si="359"/>
        <v>0</v>
      </c>
      <c r="AO776" s="6">
        <f t="shared" si="359"/>
        <v>0</v>
      </c>
      <c r="AP776" s="6">
        <f t="shared" si="359"/>
        <v>0</v>
      </c>
      <c r="AQ776" s="6">
        <f t="shared" si="359"/>
        <v>0</v>
      </c>
      <c r="AR776" s="6">
        <f t="shared" si="359"/>
        <v>0</v>
      </c>
      <c r="AS776" s="6">
        <f t="shared" si="359"/>
        <v>0</v>
      </c>
      <c r="AT776" s="6">
        <f t="shared" si="359"/>
        <v>0</v>
      </c>
      <c r="AU776" s="6">
        <f t="shared" si="359"/>
        <v>0</v>
      </c>
      <c r="AV776" s="6">
        <f t="shared" si="359"/>
        <v>0</v>
      </c>
    </row>
    <row r="777" spans="1:48" s="6" customFormat="1" ht="15" customHeight="1">
      <c r="A777" s="347"/>
      <c r="B777" s="95"/>
      <c r="C777" s="96"/>
      <c r="D777" s="369"/>
      <c r="E777" s="906" t="str">
        <f xml:space="preserve"> B774</f>
        <v>Potential Impact of Tax and Investment treaty obligations</v>
      </c>
      <c r="F777" s="906"/>
      <c r="G777" s="906" t="s">
        <v>29</v>
      </c>
      <c r="H777" s="906"/>
      <c r="I777" s="906"/>
      <c r="J777" s="906">
        <f xml:space="preserve"> SUM(L777:AV777)</f>
        <v>258.49615667559698</v>
      </c>
      <c r="K777" s="906"/>
      <c r="L777" s="906">
        <f t="shared" ref="L777:AV777" si="360" xml:space="preserve"> L775 + L776</f>
        <v>0</v>
      </c>
      <c r="M777" s="906">
        <f t="shared" si="360"/>
        <v>0</v>
      </c>
      <c r="N777" s="906">
        <f t="shared" si="360"/>
        <v>0</v>
      </c>
      <c r="O777" s="906">
        <f t="shared" si="360"/>
        <v>0</v>
      </c>
      <c r="P777" s="906">
        <f t="shared" si="360"/>
        <v>19.799919999999997</v>
      </c>
      <c r="Q777" s="906">
        <f t="shared" si="360"/>
        <v>16.392823867080764</v>
      </c>
      <c r="R777" s="906">
        <f t="shared" si="360"/>
        <v>13.350601846574927</v>
      </c>
      <c r="S777" s="906">
        <f t="shared" si="360"/>
        <v>32.871477362520011</v>
      </c>
      <c r="T777" s="906">
        <f t="shared" si="360"/>
        <v>33.074472731509964</v>
      </c>
      <c r="U777" s="906">
        <f t="shared" si="360"/>
        <v>17.750930318677828</v>
      </c>
      <c r="V777" s="906">
        <f t="shared" si="360"/>
        <v>12.997368675516164</v>
      </c>
      <c r="W777" s="906">
        <f t="shared" si="360"/>
        <v>15.319560846904226</v>
      </c>
      <c r="X777" s="906">
        <f t="shared" si="360"/>
        <v>12.646165040605695</v>
      </c>
      <c r="Y777" s="906">
        <f t="shared" si="360"/>
        <v>9.3434050061541498</v>
      </c>
      <c r="Z777" s="906">
        <f t="shared" si="360"/>
        <v>7.8155346410725848</v>
      </c>
      <c r="AA777" s="906">
        <f t="shared" si="360"/>
        <v>7.6564461253809046</v>
      </c>
      <c r="AB777" s="906">
        <f t="shared" si="360"/>
        <v>12.974768765307015</v>
      </c>
      <c r="AC777" s="906">
        <f t="shared" si="360"/>
        <v>22.747748103710034</v>
      </c>
      <c r="AD777" s="906">
        <f t="shared" si="360"/>
        <v>23.754933344582739</v>
      </c>
      <c r="AE777" s="906">
        <f t="shared" si="360"/>
        <v>0</v>
      </c>
      <c r="AF777" s="906">
        <f t="shared" si="360"/>
        <v>0</v>
      </c>
      <c r="AG777" s="906">
        <f t="shared" si="360"/>
        <v>0</v>
      </c>
      <c r="AH777" s="906">
        <f t="shared" si="360"/>
        <v>0</v>
      </c>
      <c r="AI777" s="906">
        <f t="shared" si="360"/>
        <v>0</v>
      </c>
      <c r="AJ777" s="906">
        <f t="shared" si="360"/>
        <v>0</v>
      </c>
      <c r="AK777" s="906">
        <f t="shared" si="360"/>
        <v>0</v>
      </c>
      <c r="AL777" s="906">
        <f t="shared" si="360"/>
        <v>0</v>
      </c>
      <c r="AM777" s="906">
        <f t="shared" si="360"/>
        <v>0</v>
      </c>
      <c r="AN777" s="906">
        <f t="shared" si="360"/>
        <v>0</v>
      </c>
      <c r="AO777" s="906">
        <f t="shared" si="360"/>
        <v>0</v>
      </c>
      <c r="AP777" s="906">
        <f t="shared" si="360"/>
        <v>0</v>
      </c>
      <c r="AQ777" s="906">
        <f t="shared" si="360"/>
        <v>0</v>
      </c>
      <c r="AR777" s="906">
        <f t="shared" si="360"/>
        <v>0</v>
      </c>
      <c r="AS777" s="906">
        <f t="shared" si="360"/>
        <v>0</v>
      </c>
      <c r="AT777" s="906">
        <f t="shared" si="360"/>
        <v>0</v>
      </c>
      <c r="AU777" s="906">
        <f t="shared" si="360"/>
        <v>0</v>
      </c>
      <c r="AV777" s="906">
        <f t="shared" si="360"/>
        <v>0</v>
      </c>
    </row>
    <row r="778" spans="1:48" s="6" customFormat="1" ht="15" customHeight="1">
      <c r="A778" s="347"/>
      <c r="B778" s="95"/>
      <c r="C778" s="96"/>
      <c r="D778" s="369"/>
    </row>
    <row r="779" spans="1:48" s="160" customFormat="1" ht="15" customHeight="1">
      <c r="A779" s="164" t="s">
        <v>770</v>
      </c>
      <c r="B779" s="162"/>
      <c r="C779" s="315"/>
      <c r="D779" s="386"/>
      <c r="E779" s="162"/>
      <c r="F779" s="162"/>
      <c r="G779" s="162"/>
      <c r="H779" s="162"/>
    </row>
    <row r="780" spans="1:48" s="229" customFormat="1" ht="15" customHeight="1">
      <c r="A780" s="385"/>
      <c r="B780" s="357"/>
      <c r="C780" s="366"/>
      <c r="D780" s="317"/>
      <c r="E780" s="98"/>
      <c r="F780" s="98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  <c r="Z780" s="98"/>
      <c r="AA780" s="98"/>
      <c r="AB780" s="98"/>
      <c r="AC780" s="98"/>
      <c r="AD780" s="98"/>
      <c r="AE780" s="98"/>
      <c r="AF780" s="98"/>
      <c r="AG780" s="98"/>
      <c r="AH780" s="98"/>
      <c r="AI780" s="98"/>
      <c r="AJ780" s="98"/>
      <c r="AK780" s="98"/>
      <c r="AL780" s="98"/>
      <c r="AM780" s="98"/>
      <c r="AN780" s="98"/>
      <c r="AO780" s="98"/>
      <c r="AP780" s="98"/>
      <c r="AQ780" s="98"/>
      <c r="AR780" s="98"/>
      <c r="AS780" s="98"/>
      <c r="AT780" s="98"/>
      <c r="AU780" s="98"/>
      <c r="AV780" s="98"/>
    </row>
    <row r="781" spans="1:48" s="229" customFormat="1" ht="15" customHeight="1">
      <c r="A781" s="385"/>
      <c r="B781" s="357" t="s">
        <v>666</v>
      </c>
      <c r="C781" s="366"/>
      <c r="D781" s="317"/>
      <c r="E781" s="98"/>
      <c r="F781" s="98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  <c r="Z781" s="98"/>
      <c r="AA781" s="98"/>
      <c r="AB781" s="98"/>
      <c r="AC781" s="98"/>
      <c r="AD781" s="98"/>
      <c r="AE781" s="98"/>
      <c r="AF781" s="98"/>
      <c r="AG781" s="98"/>
      <c r="AH781" s="98"/>
      <c r="AI781" s="98"/>
      <c r="AJ781" s="98"/>
      <c r="AK781" s="98"/>
      <c r="AL781" s="98"/>
      <c r="AM781" s="98"/>
      <c r="AN781" s="98"/>
      <c r="AO781" s="98"/>
      <c r="AP781" s="98"/>
      <c r="AQ781" s="98"/>
      <c r="AR781" s="98"/>
      <c r="AS781" s="98"/>
      <c r="AT781" s="98"/>
      <c r="AU781" s="98"/>
      <c r="AV781" s="98"/>
    </row>
    <row r="782" spans="1:48" s="393" customFormat="1" ht="15" customHeight="1">
      <c r="A782" s="388"/>
      <c r="B782" s="389"/>
      <c r="C782" s="390"/>
      <c r="D782" s="861"/>
      <c r="E782" s="391"/>
      <c r="F782" s="391" t="s">
        <v>610</v>
      </c>
      <c r="G782" s="391"/>
      <c r="H782" s="391"/>
      <c r="I782" s="391"/>
      <c r="J782" s="391"/>
      <c r="K782" s="391"/>
      <c r="L782" s="391"/>
      <c r="M782" s="391"/>
      <c r="N782" s="391"/>
      <c r="O782" s="391"/>
      <c r="P782" s="391"/>
      <c r="Q782" s="391"/>
      <c r="R782" s="391"/>
      <c r="S782" s="391"/>
      <c r="T782" s="391"/>
      <c r="U782" s="391"/>
      <c r="V782" s="391"/>
      <c r="W782" s="391"/>
      <c r="X782" s="391"/>
      <c r="Y782" s="391"/>
      <c r="Z782" s="391"/>
      <c r="AA782" s="391"/>
      <c r="AB782" s="391"/>
      <c r="AC782" s="391"/>
      <c r="AD782" s="391"/>
      <c r="AE782" s="391"/>
      <c r="AF782" s="391"/>
      <c r="AG782" s="391"/>
      <c r="AH782" s="391"/>
      <c r="AI782" s="391"/>
      <c r="AJ782" s="391"/>
      <c r="AK782" s="391"/>
      <c r="AL782" s="391"/>
      <c r="AM782" s="391"/>
      <c r="AN782" s="391"/>
      <c r="AO782" s="391"/>
      <c r="AP782" s="391"/>
      <c r="AQ782" s="391"/>
      <c r="AR782" s="391"/>
      <c r="AS782" s="391"/>
      <c r="AT782" s="391"/>
      <c r="AU782" s="391"/>
      <c r="AV782" s="391"/>
    </row>
    <row r="783" spans="1:48" s="229" customFormat="1" ht="15" customHeight="1">
      <c r="A783" s="385"/>
      <c r="B783" s="357"/>
      <c r="C783" s="366"/>
      <c r="D783" s="317"/>
      <c r="E783" s="98" t="str">
        <f t="shared" ref="E783:AV783" si="361" xml:space="preserve"> E$241</f>
        <v>Cu + Co government royalty</v>
      </c>
      <c r="F783" s="98">
        <f t="shared" si="361"/>
        <v>0</v>
      </c>
      <c r="G783" s="98" t="str">
        <f t="shared" si="361"/>
        <v>$ mn</v>
      </c>
      <c r="H783" s="98">
        <f t="shared" si="361"/>
        <v>0</v>
      </c>
      <c r="I783" s="98">
        <f t="shared" si="361"/>
        <v>0</v>
      </c>
      <c r="J783" s="98">
        <f t="shared" si="361"/>
        <v>1154.1185307309543</v>
      </c>
      <c r="K783" s="98">
        <f t="shared" si="361"/>
        <v>0</v>
      </c>
      <c r="L783" s="98">
        <f t="shared" si="361"/>
        <v>0</v>
      </c>
      <c r="M783" s="98">
        <f t="shared" si="361"/>
        <v>0</v>
      </c>
      <c r="N783" s="98">
        <f t="shared" si="361"/>
        <v>0</v>
      </c>
      <c r="O783" s="98">
        <f t="shared" si="361"/>
        <v>0</v>
      </c>
      <c r="P783" s="98">
        <f t="shared" si="361"/>
        <v>1.3427250785885494</v>
      </c>
      <c r="Q783" s="98">
        <f t="shared" si="361"/>
        <v>59.696032281620234</v>
      </c>
      <c r="R783" s="98">
        <f t="shared" si="361"/>
        <v>49.751271941506673</v>
      </c>
      <c r="S783" s="98">
        <f t="shared" si="361"/>
        <v>100.44151821818988</v>
      </c>
      <c r="T783" s="98">
        <f t="shared" si="361"/>
        <v>125.24236751817006</v>
      </c>
      <c r="U783" s="98">
        <f t="shared" si="361"/>
        <v>74.909657127852839</v>
      </c>
      <c r="V783" s="98">
        <f t="shared" si="361"/>
        <v>64.166519191185927</v>
      </c>
      <c r="W783" s="98">
        <f t="shared" si="361"/>
        <v>83.797779767771601</v>
      </c>
      <c r="X783" s="98">
        <f t="shared" si="361"/>
        <v>82.486579491115037</v>
      </c>
      <c r="Y783" s="98">
        <f t="shared" si="361"/>
        <v>79.838713164114836</v>
      </c>
      <c r="Z783" s="98">
        <f t="shared" si="361"/>
        <v>83.346107494918243</v>
      </c>
      <c r="AA783" s="98">
        <f t="shared" si="361"/>
        <v>83.122063374167709</v>
      </c>
      <c r="AB783" s="98">
        <f t="shared" si="361"/>
        <v>82.215048780097291</v>
      </c>
      <c r="AC783" s="98">
        <f t="shared" si="361"/>
        <v>90.275004523844174</v>
      </c>
      <c r="AD783" s="98">
        <f t="shared" si="361"/>
        <v>93.487142777811286</v>
      </c>
      <c r="AE783" s="98">
        <f t="shared" si="361"/>
        <v>0</v>
      </c>
      <c r="AF783" s="98">
        <f t="shared" si="361"/>
        <v>0</v>
      </c>
      <c r="AG783" s="98">
        <f t="shared" si="361"/>
        <v>0</v>
      </c>
      <c r="AH783" s="98">
        <f t="shared" si="361"/>
        <v>0</v>
      </c>
      <c r="AI783" s="98">
        <f t="shared" si="361"/>
        <v>0</v>
      </c>
      <c r="AJ783" s="98">
        <f t="shared" si="361"/>
        <v>0</v>
      </c>
      <c r="AK783" s="98">
        <f t="shared" si="361"/>
        <v>0</v>
      </c>
      <c r="AL783" s="98">
        <f t="shared" si="361"/>
        <v>0</v>
      </c>
      <c r="AM783" s="98">
        <f t="shared" si="361"/>
        <v>0</v>
      </c>
      <c r="AN783" s="98">
        <f t="shared" si="361"/>
        <v>0</v>
      </c>
      <c r="AO783" s="98">
        <f t="shared" si="361"/>
        <v>0</v>
      </c>
      <c r="AP783" s="98">
        <f t="shared" si="361"/>
        <v>0</v>
      </c>
      <c r="AQ783" s="98">
        <f t="shared" si="361"/>
        <v>0</v>
      </c>
      <c r="AR783" s="98">
        <f t="shared" si="361"/>
        <v>0</v>
      </c>
      <c r="AS783" s="98">
        <f t="shared" si="361"/>
        <v>0</v>
      </c>
      <c r="AT783" s="98">
        <f t="shared" si="361"/>
        <v>0</v>
      </c>
      <c r="AU783" s="98">
        <f t="shared" si="361"/>
        <v>0</v>
      </c>
      <c r="AV783" s="98">
        <f t="shared" si="361"/>
        <v>0</v>
      </c>
    </row>
    <row r="784" spans="1:48" s="229" customFormat="1" ht="15" customHeight="1">
      <c r="A784" s="385"/>
      <c r="B784" s="357"/>
      <c r="C784" s="366"/>
      <c r="D784" s="317"/>
      <c r="E784" s="98" t="str">
        <f t="shared" ref="E784:AV784" si="362" xml:space="preserve"> E$307</f>
        <v>Turnover tax (Chiffre d'Affaires 0.3PC)</v>
      </c>
      <c r="F784" s="98">
        <f t="shared" si="362"/>
        <v>0</v>
      </c>
      <c r="G784" s="98" t="str">
        <f t="shared" si="362"/>
        <v>$ mn</v>
      </c>
      <c r="H784" s="98">
        <f t="shared" si="362"/>
        <v>0</v>
      </c>
      <c r="I784" s="98">
        <f t="shared" si="362"/>
        <v>0</v>
      </c>
      <c r="J784" s="98">
        <f t="shared" si="362"/>
        <v>57.035766295213875</v>
      </c>
      <c r="K784" s="98">
        <f t="shared" si="362"/>
        <v>0</v>
      </c>
      <c r="L784" s="98">
        <f t="shared" si="362"/>
        <v>0</v>
      </c>
      <c r="M784" s="98">
        <f t="shared" si="362"/>
        <v>0</v>
      </c>
      <c r="N784" s="98">
        <f t="shared" si="362"/>
        <v>0</v>
      </c>
      <c r="O784" s="98">
        <f t="shared" si="362"/>
        <v>0</v>
      </c>
      <c r="P784" s="98">
        <f t="shared" si="362"/>
        <v>0.2014087617882824</v>
      </c>
      <c r="Q784" s="98">
        <f t="shared" si="362"/>
        <v>2.8397867531093386</v>
      </c>
      <c r="R784" s="98">
        <f t="shared" si="362"/>
        <v>2.4029186334589721</v>
      </c>
      <c r="S784" s="98">
        <f t="shared" si="362"/>
        <v>4.6647816973138623</v>
      </c>
      <c r="T784" s="98">
        <f t="shared" si="362"/>
        <v>5.3707620239571421</v>
      </c>
      <c r="U784" s="98">
        <f t="shared" si="362"/>
        <v>3.8609864429442342</v>
      </c>
      <c r="V784" s="98">
        <f t="shared" si="362"/>
        <v>3.5929701648905819</v>
      </c>
      <c r="W784" s="98">
        <f t="shared" si="362"/>
        <v>4.2112770109237267</v>
      </c>
      <c r="X784" s="98">
        <f t="shared" si="362"/>
        <v>4.1734041896755718</v>
      </c>
      <c r="Y784" s="98">
        <f t="shared" si="362"/>
        <v>4.1076505879026843</v>
      </c>
      <c r="Z784" s="98">
        <f t="shared" si="362"/>
        <v>4.1950049876038724</v>
      </c>
      <c r="AA784" s="98">
        <f t="shared" si="362"/>
        <v>4.1800550590593506</v>
      </c>
      <c r="AB784" s="98">
        <f t="shared" si="362"/>
        <v>4.2019989650855409</v>
      </c>
      <c r="AC784" s="98">
        <f t="shared" si="362"/>
        <v>4.4714046473635181</v>
      </c>
      <c r="AD784" s="98">
        <f t="shared" si="362"/>
        <v>4.5613563701371929</v>
      </c>
      <c r="AE784" s="98">
        <f t="shared" si="362"/>
        <v>0</v>
      </c>
      <c r="AF784" s="98">
        <f t="shared" si="362"/>
        <v>0</v>
      </c>
      <c r="AG784" s="98">
        <f t="shared" si="362"/>
        <v>0</v>
      </c>
      <c r="AH784" s="98">
        <f t="shared" si="362"/>
        <v>0</v>
      </c>
      <c r="AI784" s="98">
        <f t="shared" si="362"/>
        <v>0</v>
      </c>
      <c r="AJ784" s="98">
        <f t="shared" si="362"/>
        <v>0</v>
      </c>
      <c r="AK784" s="98">
        <f t="shared" si="362"/>
        <v>0</v>
      </c>
      <c r="AL784" s="98">
        <f t="shared" si="362"/>
        <v>0</v>
      </c>
      <c r="AM784" s="98">
        <f t="shared" si="362"/>
        <v>0</v>
      </c>
      <c r="AN784" s="98">
        <f t="shared" si="362"/>
        <v>0</v>
      </c>
      <c r="AO784" s="98">
        <f t="shared" si="362"/>
        <v>0</v>
      </c>
      <c r="AP784" s="98">
        <f t="shared" si="362"/>
        <v>0</v>
      </c>
      <c r="AQ784" s="98">
        <f t="shared" si="362"/>
        <v>0</v>
      </c>
      <c r="AR784" s="98">
        <f t="shared" si="362"/>
        <v>0</v>
      </c>
      <c r="AS784" s="98">
        <f t="shared" si="362"/>
        <v>0</v>
      </c>
      <c r="AT784" s="98">
        <f t="shared" si="362"/>
        <v>0</v>
      </c>
      <c r="AU784" s="98">
        <f t="shared" si="362"/>
        <v>0</v>
      </c>
      <c r="AV784" s="98">
        <f t="shared" si="362"/>
        <v>0</v>
      </c>
    </row>
    <row r="785" spans="1:48" s="229" customFormat="1" ht="15" customHeight="1">
      <c r="A785" s="385"/>
      <c r="B785" s="357"/>
      <c r="C785" s="366"/>
      <c r="D785" s="317"/>
      <c r="E785" s="98" t="str">
        <f t="shared" ref="E785:AV785" si="363" xml:space="preserve"> E$583</f>
        <v>CIT payable</v>
      </c>
      <c r="F785" s="98">
        <f t="shared" si="363"/>
        <v>0</v>
      </c>
      <c r="G785" s="98" t="str">
        <f t="shared" si="363"/>
        <v>$ mn</v>
      </c>
      <c r="H785" s="98">
        <f t="shared" si="363"/>
        <v>0</v>
      </c>
      <c r="I785" s="98">
        <f t="shared" si="363"/>
        <v>0</v>
      </c>
      <c r="J785" s="98">
        <f t="shared" si="363"/>
        <v>1375.6952723039724</v>
      </c>
      <c r="K785" s="98">
        <f t="shared" si="363"/>
        <v>0</v>
      </c>
      <c r="L785" s="98">
        <f t="shared" si="363"/>
        <v>0</v>
      </c>
      <c r="M785" s="98">
        <f t="shared" si="363"/>
        <v>0</v>
      </c>
      <c r="N785" s="98">
        <f t="shared" si="363"/>
        <v>0</v>
      </c>
      <c r="O785" s="98">
        <f t="shared" si="363"/>
        <v>0</v>
      </c>
      <c r="P785" s="98">
        <f t="shared" si="363"/>
        <v>0.6713625392942747</v>
      </c>
      <c r="Q785" s="98">
        <f t="shared" si="363"/>
        <v>183.17829112570044</v>
      </c>
      <c r="R785" s="98">
        <f t="shared" si="363"/>
        <v>37.162397854489413</v>
      </c>
      <c r="S785" s="98">
        <f t="shared" si="363"/>
        <v>171.7373177444376</v>
      </c>
      <c r="T785" s="98">
        <f t="shared" si="363"/>
        <v>175.18703567870509</v>
      </c>
      <c r="U785" s="98">
        <f t="shared" si="363"/>
        <v>34.153976633190744</v>
      </c>
      <c r="V785" s="98">
        <f t="shared" si="363"/>
        <v>11.976567216301939</v>
      </c>
      <c r="W785" s="98">
        <f t="shared" si="363"/>
        <v>85.016741604265363</v>
      </c>
      <c r="X785" s="98">
        <f t="shared" si="363"/>
        <v>85.767391044424485</v>
      </c>
      <c r="Y785" s="98">
        <f t="shared" si="363"/>
        <v>80.116120896881185</v>
      </c>
      <c r="Z785" s="98">
        <f t="shared" si="363"/>
        <v>85.114435537737563</v>
      </c>
      <c r="AA785" s="98">
        <f t="shared" si="363"/>
        <v>87.686432998471005</v>
      </c>
      <c r="AB785" s="98">
        <f t="shared" si="363"/>
        <v>94.242093101167413</v>
      </c>
      <c r="AC785" s="98">
        <f t="shared" si="363"/>
        <v>124.99406869768933</v>
      </c>
      <c r="AD785" s="98">
        <f t="shared" si="363"/>
        <v>118.69103963121651</v>
      </c>
      <c r="AE785" s="98">
        <f t="shared" si="363"/>
        <v>0</v>
      </c>
      <c r="AF785" s="98">
        <f t="shared" si="363"/>
        <v>0</v>
      </c>
      <c r="AG785" s="98">
        <f t="shared" si="363"/>
        <v>0</v>
      </c>
      <c r="AH785" s="98">
        <f t="shared" si="363"/>
        <v>0</v>
      </c>
      <c r="AI785" s="98">
        <f t="shared" si="363"/>
        <v>0</v>
      </c>
      <c r="AJ785" s="98">
        <f t="shared" si="363"/>
        <v>0</v>
      </c>
      <c r="AK785" s="98">
        <f t="shared" si="363"/>
        <v>0</v>
      </c>
      <c r="AL785" s="98">
        <f t="shared" si="363"/>
        <v>0</v>
      </c>
      <c r="AM785" s="98">
        <f t="shared" si="363"/>
        <v>0</v>
      </c>
      <c r="AN785" s="98">
        <f t="shared" si="363"/>
        <v>0</v>
      </c>
      <c r="AO785" s="98">
        <f t="shared" si="363"/>
        <v>0</v>
      </c>
      <c r="AP785" s="98">
        <f t="shared" si="363"/>
        <v>0</v>
      </c>
      <c r="AQ785" s="98">
        <f t="shared" si="363"/>
        <v>0</v>
      </c>
      <c r="AR785" s="98">
        <f t="shared" si="363"/>
        <v>0</v>
      </c>
      <c r="AS785" s="98">
        <f t="shared" si="363"/>
        <v>0</v>
      </c>
      <c r="AT785" s="98">
        <f t="shared" si="363"/>
        <v>0</v>
      </c>
      <c r="AU785" s="98">
        <f t="shared" si="363"/>
        <v>0</v>
      </c>
      <c r="AV785" s="98">
        <f t="shared" si="363"/>
        <v>0</v>
      </c>
    </row>
    <row r="786" spans="1:48" s="229" customFormat="1" ht="15" customHeight="1">
      <c r="A786" s="385"/>
      <c r="B786" s="357"/>
      <c r="C786" s="366"/>
      <c r="D786" s="317"/>
      <c r="E786" s="98" t="str">
        <f t="shared" ref="E786:AV786" si="364" xml:space="preserve"> E$530</f>
        <v>Special Tax On Excess Profits</v>
      </c>
      <c r="F786" s="98">
        <f t="shared" si="364"/>
        <v>0</v>
      </c>
      <c r="G786" s="98" t="str">
        <f t="shared" si="364"/>
        <v>$ mn</v>
      </c>
      <c r="H786" s="98">
        <f t="shared" si="364"/>
        <v>0</v>
      </c>
      <c r="I786" s="98">
        <f t="shared" si="364"/>
        <v>0</v>
      </c>
      <c r="J786" s="98">
        <f t="shared" si="364"/>
        <v>0</v>
      </c>
      <c r="K786" s="98">
        <f t="shared" si="364"/>
        <v>0</v>
      </c>
      <c r="L786" s="98">
        <f t="shared" si="364"/>
        <v>0</v>
      </c>
      <c r="M786" s="98">
        <f t="shared" si="364"/>
        <v>0</v>
      </c>
      <c r="N786" s="98">
        <f t="shared" si="364"/>
        <v>0</v>
      </c>
      <c r="O786" s="98">
        <f t="shared" si="364"/>
        <v>0</v>
      </c>
      <c r="P786" s="98">
        <f t="shared" si="364"/>
        <v>0</v>
      </c>
      <c r="Q786" s="98">
        <f t="shared" si="364"/>
        <v>0</v>
      </c>
      <c r="R786" s="98">
        <f t="shared" si="364"/>
        <v>0</v>
      </c>
      <c r="S786" s="98">
        <f t="shared" si="364"/>
        <v>0</v>
      </c>
      <c r="T786" s="98">
        <f t="shared" si="364"/>
        <v>0</v>
      </c>
      <c r="U786" s="98">
        <f t="shared" si="364"/>
        <v>0</v>
      </c>
      <c r="V786" s="98">
        <f t="shared" si="364"/>
        <v>0</v>
      </c>
      <c r="W786" s="98">
        <f t="shared" si="364"/>
        <v>0</v>
      </c>
      <c r="X786" s="98">
        <f t="shared" si="364"/>
        <v>0</v>
      </c>
      <c r="Y786" s="98">
        <f t="shared" si="364"/>
        <v>0</v>
      </c>
      <c r="Z786" s="98">
        <f t="shared" si="364"/>
        <v>0</v>
      </c>
      <c r="AA786" s="98">
        <f t="shared" si="364"/>
        <v>0</v>
      </c>
      <c r="AB786" s="98">
        <f t="shared" si="364"/>
        <v>0</v>
      </c>
      <c r="AC786" s="98">
        <f t="shared" si="364"/>
        <v>0</v>
      </c>
      <c r="AD786" s="98">
        <f t="shared" si="364"/>
        <v>0</v>
      </c>
      <c r="AE786" s="98">
        <f t="shared" si="364"/>
        <v>0</v>
      </c>
      <c r="AF786" s="98">
        <f t="shared" si="364"/>
        <v>0</v>
      </c>
      <c r="AG786" s="98">
        <f t="shared" si="364"/>
        <v>0</v>
      </c>
      <c r="AH786" s="98">
        <f t="shared" si="364"/>
        <v>0</v>
      </c>
      <c r="AI786" s="98">
        <f t="shared" si="364"/>
        <v>0</v>
      </c>
      <c r="AJ786" s="98">
        <f t="shared" si="364"/>
        <v>0</v>
      </c>
      <c r="AK786" s="98">
        <f t="shared" si="364"/>
        <v>0</v>
      </c>
      <c r="AL786" s="98">
        <f t="shared" si="364"/>
        <v>0</v>
      </c>
      <c r="AM786" s="98">
        <f t="shared" si="364"/>
        <v>0</v>
      </c>
      <c r="AN786" s="98">
        <f t="shared" si="364"/>
        <v>0</v>
      </c>
      <c r="AO786" s="98">
        <f t="shared" si="364"/>
        <v>0</v>
      </c>
      <c r="AP786" s="98">
        <f t="shared" si="364"/>
        <v>0</v>
      </c>
      <c r="AQ786" s="98">
        <f t="shared" si="364"/>
        <v>0</v>
      </c>
      <c r="AR786" s="98">
        <f t="shared" si="364"/>
        <v>0</v>
      </c>
      <c r="AS786" s="98">
        <f t="shared" si="364"/>
        <v>0</v>
      </c>
      <c r="AT786" s="98">
        <f t="shared" si="364"/>
        <v>0</v>
      </c>
      <c r="AU786" s="98">
        <f t="shared" si="364"/>
        <v>0</v>
      </c>
      <c r="AV786" s="98">
        <f t="shared" si="364"/>
        <v>0</v>
      </c>
    </row>
    <row r="787" spans="1:48" s="229" customFormat="1" ht="15" customHeight="1">
      <c r="A787" s="385"/>
      <c r="B787" s="357"/>
      <c r="C787" s="366"/>
      <c r="D787" s="317"/>
      <c r="E787" s="98" t="str">
        <f t="shared" ref="E787:AV787" si="365" xml:space="preserve"> E$653</f>
        <v>Payroll taxes (included in costs)</v>
      </c>
      <c r="F787" s="98">
        <f t="shared" si="365"/>
        <v>0</v>
      </c>
      <c r="G787" s="98" t="str">
        <f t="shared" si="365"/>
        <v>$ mn</v>
      </c>
      <c r="H787" s="98">
        <f t="shared" si="365"/>
        <v>0</v>
      </c>
      <c r="I787" s="98">
        <f t="shared" si="365"/>
        <v>0</v>
      </c>
      <c r="J787" s="98">
        <f t="shared" si="365"/>
        <v>198.14906260966347</v>
      </c>
      <c r="K787" s="98">
        <f t="shared" si="365"/>
        <v>0</v>
      </c>
      <c r="L787" s="98">
        <f t="shared" si="365"/>
        <v>0</v>
      </c>
      <c r="M787" s="98">
        <f t="shared" si="365"/>
        <v>0</v>
      </c>
      <c r="N787" s="98">
        <f t="shared" si="365"/>
        <v>0</v>
      </c>
      <c r="O787" s="98">
        <f t="shared" si="365"/>
        <v>0</v>
      </c>
      <c r="P787" s="98">
        <f t="shared" si="365"/>
        <v>0</v>
      </c>
      <c r="Q787" s="98">
        <f t="shared" si="365"/>
        <v>0</v>
      </c>
      <c r="R787" s="98">
        <f t="shared" si="365"/>
        <v>8.5400000000000009</v>
      </c>
      <c r="S787" s="98">
        <f t="shared" si="365"/>
        <v>10.64</v>
      </c>
      <c r="T787" s="98">
        <f t="shared" si="365"/>
        <v>14.1</v>
      </c>
      <c r="U787" s="98">
        <f t="shared" si="365"/>
        <v>14.485831425574377</v>
      </c>
      <c r="V787" s="98">
        <f t="shared" si="365"/>
        <v>15.211281323399248</v>
      </c>
      <c r="W787" s="98">
        <f t="shared" si="365"/>
        <v>15.70909013691362</v>
      </c>
      <c r="X787" s="98">
        <f t="shared" si="365"/>
        <v>16.018442795506687</v>
      </c>
      <c r="Y787" s="98">
        <f t="shared" si="365"/>
        <v>16.337476745333156</v>
      </c>
      <c r="Z787" s="98">
        <f t="shared" si="365"/>
        <v>16.756732538326823</v>
      </c>
      <c r="AA787" s="98">
        <f t="shared" si="365"/>
        <v>17.024409072806872</v>
      </c>
      <c r="AB787" s="98">
        <f t="shared" si="365"/>
        <v>17.332453605128741</v>
      </c>
      <c r="AC787" s="98">
        <f t="shared" si="365"/>
        <v>17.944513126258659</v>
      </c>
      <c r="AD787" s="98">
        <f t="shared" si="365"/>
        <v>18.048831840415318</v>
      </c>
      <c r="AE787" s="98">
        <f t="shared" si="365"/>
        <v>0</v>
      </c>
      <c r="AF787" s="98">
        <f t="shared" si="365"/>
        <v>0</v>
      </c>
      <c r="AG787" s="98">
        <f t="shared" si="365"/>
        <v>0</v>
      </c>
      <c r="AH787" s="98">
        <f t="shared" si="365"/>
        <v>0</v>
      </c>
      <c r="AI787" s="98">
        <f t="shared" si="365"/>
        <v>0</v>
      </c>
      <c r="AJ787" s="98">
        <f t="shared" si="365"/>
        <v>0</v>
      </c>
      <c r="AK787" s="98">
        <f t="shared" si="365"/>
        <v>0</v>
      </c>
      <c r="AL787" s="98">
        <f t="shared" si="365"/>
        <v>0</v>
      </c>
      <c r="AM787" s="98">
        <f t="shared" si="365"/>
        <v>0</v>
      </c>
      <c r="AN787" s="98">
        <f t="shared" si="365"/>
        <v>0</v>
      </c>
      <c r="AO787" s="98">
        <f t="shared" si="365"/>
        <v>0</v>
      </c>
      <c r="AP787" s="98">
        <f t="shared" si="365"/>
        <v>0</v>
      </c>
      <c r="AQ787" s="98">
        <f t="shared" si="365"/>
        <v>0</v>
      </c>
      <c r="AR787" s="98">
        <f t="shared" si="365"/>
        <v>0</v>
      </c>
      <c r="AS787" s="98">
        <f t="shared" si="365"/>
        <v>0</v>
      </c>
      <c r="AT787" s="98">
        <f t="shared" si="365"/>
        <v>0</v>
      </c>
      <c r="AU787" s="98">
        <f t="shared" si="365"/>
        <v>0</v>
      </c>
      <c r="AV787" s="98">
        <f t="shared" si="365"/>
        <v>0</v>
      </c>
    </row>
    <row r="788" spans="1:48" s="229" customFormat="1" ht="15" customHeight="1">
      <c r="A788" s="385"/>
      <c r="B788" s="357"/>
      <c r="C788" s="366"/>
      <c r="D788" s="317"/>
      <c r="E788" s="98" t="str">
        <f t="shared" ref="E788:AV788" si="366" xml:space="preserve"> E$614</f>
        <v>Import duties</v>
      </c>
      <c r="F788" s="98">
        <f t="shared" si="366"/>
        <v>0</v>
      </c>
      <c r="G788" s="98" t="str">
        <f t="shared" si="366"/>
        <v>$ mn</v>
      </c>
      <c r="H788" s="98">
        <f t="shared" si="366"/>
        <v>0</v>
      </c>
      <c r="I788" s="98">
        <f t="shared" si="366"/>
        <v>0</v>
      </c>
      <c r="J788" s="98">
        <f t="shared" si="366"/>
        <v>15.316407444483447</v>
      </c>
      <c r="K788" s="98">
        <f t="shared" si="366"/>
        <v>0</v>
      </c>
      <c r="L788" s="98">
        <f t="shared" si="366"/>
        <v>0</v>
      </c>
      <c r="M788" s="98">
        <f t="shared" si="366"/>
        <v>0</v>
      </c>
      <c r="N788" s="98">
        <f t="shared" si="366"/>
        <v>0</v>
      </c>
      <c r="O788" s="98">
        <f t="shared" si="366"/>
        <v>0</v>
      </c>
      <c r="P788" s="98">
        <f t="shared" si="366"/>
        <v>1.7756350777216481</v>
      </c>
      <c r="Q788" s="98">
        <f t="shared" si="366"/>
        <v>3.4820250524972924</v>
      </c>
      <c r="R788" s="98">
        <f t="shared" si="366"/>
        <v>0</v>
      </c>
      <c r="S788" s="98">
        <f t="shared" si="366"/>
        <v>0</v>
      </c>
      <c r="T788" s="98">
        <f t="shared" si="366"/>
        <v>10.058747314264506</v>
      </c>
      <c r="U788" s="98">
        <f t="shared" si="366"/>
        <v>0</v>
      </c>
      <c r="V788" s="98">
        <f t="shared" si="366"/>
        <v>0</v>
      </c>
      <c r="W788" s="98">
        <f t="shared" si="366"/>
        <v>0</v>
      </c>
      <c r="X788" s="98">
        <f t="shared" si="366"/>
        <v>0</v>
      </c>
      <c r="Y788" s="98">
        <f t="shared" si="366"/>
        <v>0</v>
      </c>
      <c r="Z788" s="98">
        <f t="shared" si="366"/>
        <v>0</v>
      </c>
      <c r="AA788" s="98">
        <f t="shared" si="366"/>
        <v>0</v>
      </c>
      <c r="AB788" s="98">
        <f t="shared" si="366"/>
        <v>0</v>
      </c>
      <c r="AC788" s="98">
        <f t="shared" si="366"/>
        <v>0</v>
      </c>
      <c r="AD788" s="98">
        <f t="shared" si="366"/>
        <v>0</v>
      </c>
      <c r="AE788" s="98">
        <f t="shared" si="366"/>
        <v>0</v>
      </c>
      <c r="AF788" s="98">
        <f t="shared" si="366"/>
        <v>0</v>
      </c>
      <c r="AG788" s="98">
        <f t="shared" si="366"/>
        <v>0</v>
      </c>
      <c r="AH788" s="98">
        <f t="shared" si="366"/>
        <v>0</v>
      </c>
      <c r="AI788" s="98">
        <f t="shared" si="366"/>
        <v>0</v>
      </c>
      <c r="AJ788" s="98">
        <f t="shared" si="366"/>
        <v>0</v>
      </c>
      <c r="AK788" s="98">
        <f t="shared" si="366"/>
        <v>0</v>
      </c>
      <c r="AL788" s="98">
        <f t="shared" si="366"/>
        <v>0</v>
      </c>
      <c r="AM788" s="98">
        <f t="shared" si="366"/>
        <v>0</v>
      </c>
      <c r="AN788" s="98">
        <f t="shared" si="366"/>
        <v>0</v>
      </c>
      <c r="AO788" s="98">
        <f t="shared" si="366"/>
        <v>0</v>
      </c>
      <c r="AP788" s="98">
        <f t="shared" si="366"/>
        <v>0</v>
      </c>
      <c r="AQ788" s="98">
        <f t="shared" si="366"/>
        <v>0</v>
      </c>
      <c r="AR788" s="98">
        <f t="shared" si="366"/>
        <v>0</v>
      </c>
      <c r="AS788" s="98">
        <f t="shared" si="366"/>
        <v>0</v>
      </c>
      <c r="AT788" s="98">
        <f t="shared" si="366"/>
        <v>0</v>
      </c>
      <c r="AU788" s="98">
        <f t="shared" si="366"/>
        <v>0</v>
      </c>
      <c r="AV788" s="98">
        <f t="shared" si="366"/>
        <v>0</v>
      </c>
    </row>
    <row r="789" spans="1:48" s="229" customFormat="1" ht="15" customHeight="1">
      <c r="A789" s="385"/>
      <c r="B789" s="357"/>
      <c r="C789" s="366"/>
      <c r="D789" s="317"/>
      <c r="E789" s="323" t="str">
        <f t="shared" ref="E789:AV789" si="367" xml:space="preserve"> E$725</f>
        <v>Interest Withholding Tax</v>
      </c>
      <c r="F789" s="323">
        <f t="shared" si="367"/>
        <v>0</v>
      </c>
      <c r="G789" s="323" t="str">
        <f t="shared" si="367"/>
        <v>$ mn</v>
      </c>
      <c r="H789" s="323">
        <f t="shared" si="367"/>
        <v>0</v>
      </c>
      <c r="I789" s="323">
        <f t="shared" si="367"/>
        <v>0</v>
      </c>
      <c r="J789" s="323">
        <f t="shared" si="367"/>
        <v>0</v>
      </c>
      <c r="K789" s="323">
        <f t="shared" si="367"/>
        <v>0</v>
      </c>
      <c r="L789" s="323">
        <f t="shared" si="367"/>
        <v>0</v>
      </c>
      <c r="M789" s="323">
        <f t="shared" si="367"/>
        <v>0</v>
      </c>
      <c r="N789" s="323">
        <f t="shared" si="367"/>
        <v>0</v>
      </c>
      <c r="O789" s="323">
        <f t="shared" si="367"/>
        <v>0</v>
      </c>
      <c r="P789" s="323">
        <f t="shared" si="367"/>
        <v>0</v>
      </c>
      <c r="Q789" s="323">
        <f t="shared" si="367"/>
        <v>0</v>
      </c>
      <c r="R789" s="323">
        <f t="shared" si="367"/>
        <v>0</v>
      </c>
      <c r="S789" s="323">
        <f t="shared" si="367"/>
        <v>0</v>
      </c>
      <c r="T789" s="323">
        <f t="shared" si="367"/>
        <v>0</v>
      </c>
      <c r="U789" s="323">
        <f t="shared" si="367"/>
        <v>0</v>
      </c>
      <c r="V789" s="323">
        <f t="shared" si="367"/>
        <v>0</v>
      </c>
      <c r="W789" s="323">
        <f t="shared" si="367"/>
        <v>0</v>
      </c>
      <c r="X789" s="323">
        <f t="shared" si="367"/>
        <v>0</v>
      </c>
      <c r="Y789" s="323">
        <f t="shared" si="367"/>
        <v>0</v>
      </c>
      <c r="Z789" s="323">
        <f t="shared" si="367"/>
        <v>0</v>
      </c>
      <c r="AA789" s="323">
        <f t="shared" si="367"/>
        <v>0</v>
      </c>
      <c r="AB789" s="323">
        <f t="shared" si="367"/>
        <v>0</v>
      </c>
      <c r="AC789" s="323">
        <f t="shared" si="367"/>
        <v>0</v>
      </c>
      <c r="AD789" s="323">
        <f t="shared" si="367"/>
        <v>0</v>
      </c>
      <c r="AE789" s="323">
        <f t="shared" si="367"/>
        <v>0</v>
      </c>
      <c r="AF789" s="323">
        <f t="shared" si="367"/>
        <v>0</v>
      </c>
      <c r="AG789" s="323">
        <f t="shared" si="367"/>
        <v>0</v>
      </c>
      <c r="AH789" s="323">
        <f t="shared" si="367"/>
        <v>0</v>
      </c>
      <c r="AI789" s="323">
        <f t="shared" si="367"/>
        <v>0</v>
      </c>
      <c r="AJ789" s="323">
        <f t="shared" si="367"/>
        <v>0</v>
      </c>
      <c r="AK789" s="323">
        <f t="shared" si="367"/>
        <v>0</v>
      </c>
      <c r="AL789" s="323">
        <f t="shared" si="367"/>
        <v>0</v>
      </c>
      <c r="AM789" s="323">
        <f t="shared" si="367"/>
        <v>0</v>
      </c>
      <c r="AN789" s="323">
        <f t="shared" si="367"/>
        <v>0</v>
      </c>
      <c r="AO789" s="323">
        <f t="shared" si="367"/>
        <v>0</v>
      </c>
      <c r="AP789" s="323">
        <f t="shared" si="367"/>
        <v>0</v>
      </c>
      <c r="AQ789" s="323">
        <f t="shared" si="367"/>
        <v>0</v>
      </c>
      <c r="AR789" s="323">
        <f t="shared" si="367"/>
        <v>0</v>
      </c>
      <c r="AS789" s="323">
        <f t="shared" si="367"/>
        <v>0</v>
      </c>
      <c r="AT789" s="323">
        <f t="shared" si="367"/>
        <v>0</v>
      </c>
      <c r="AU789" s="323">
        <f t="shared" si="367"/>
        <v>0</v>
      </c>
      <c r="AV789" s="323">
        <f t="shared" si="367"/>
        <v>0</v>
      </c>
    </row>
    <row r="790" spans="1:48" s="229" customFormat="1" ht="15" customHeight="1">
      <c r="A790" s="385"/>
      <c r="B790" s="357"/>
      <c r="C790" s="366"/>
      <c r="D790" s="317"/>
      <c r="E790" s="323" t="str">
        <f t="shared" ref="E790:AV790" si="368" xml:space="preserve"> E$763</f>
        <v>Dividend withholding tax</v>
      </c>
      <c r="F790" s="323">
        <f t="shared" si="368"/>
        <v>0</v>
      </c>
      <c r="G790" s="323" t="str">
        <f t="shared" si="368"/>
        <v>$ mn</v>
      </c>
      <c r="H790" s="323">
        <f t="shared" si="368"/>
        <v>0</v>
      </c>
      <c r="I790" s="323">
        <f t="shared" si="368"/>
        <v>0</v>
      </c>
      <c r="J790" s="323">
        <f t="shared" si="368"/>
        <v>284.73360235425861</v>
      </c>
      <c r="K790" s="323">
        <f t="shared" si="368"/>
        <v>0</v>
      </c>
      <c r="L790" s="323">
        <f t="shared" si="368"/>
        <v>0</v>
      </c>
      <c r="M790" s="323">
        <f t="shared" si="368"/>
        <v>0</v>
      </c>
      <c r="N790" s="323">
        <f t="shared" si="368"/>
        <v>0</v>
      </c>
      <c r="O790" s="323">
        <f t="shared" si="368"/>
        <v>0</v>
      </c>
      <c r="P790" s="323">
        <f t="shared" si="368"/>
        <v>0</v>
      </c>
      <c r="Q790" s="323">
        <f t="shared" si="368"/>
        <v>25.902127734161525</v>
      </c>
      <c r="R790" s="323">
        <f t="shared" si="368"/>
        <v>16.890896425955646</v>
      </c>
      <c r="S790" s="323">
        <f t="shared" si="368"/>
        <v>55.660156486177186</v>
      </c>
      <c r="T790" s="323">
        <f t="shared" si="368"/>
        <v>52.940986442394319</v>
      </c>
      <c r="U790" s="323">
        <f t="shared" si="368"/>
        <v>22.541759252892845</v>
      </c>
      <c r="V790" s="323">
        <f t="shared" si="368"/>
        <v>11.400590730927673</v>
      </c>
      <c r="W790" s="323">
        <f t="shared" si="368"/>
        <v>16.314082116819993</v>
      </c>
      <c r="X790" s="323">
        <f t="shared" si="368"/>
        <v>9.8143467987945492</v>
      </c>
      <c r="Y790" s="323">
        <f t="shared" si="368"/>
        <v>3.9561482189484538</v>
      </c>
      <c r="Z790" s="323">
        <f t="shared" si="368"/>
        <v>0</v>
      </c>
      <c r="AA790" s="323">
        <f t="shared" si="368"/>
        <v>0</v>
      </c>
      <c r="AB790" s="323">
        <f t="shared" si="368"/>
        <v>8.91545080946082</v>
      </c>
      <c r="AC790" s="323">
        <f t="shared" si="368"/>
        <v>29.433232336642178</v>
      </c>
      <c r="AD790" s="323">
        <f t="shared" si="368"/>
        <v>30.963825001083411</v>
      </c>
      <c r="AE790" s="323">
        <f t="shared" si="368"/>
        <v>0</v>
      </c>
      <c r="AF790" s="323">
        <f t="shared" si="368"/>
        <v>0</v>
      </c>
      <c r="AG790" s="323">
        <f t="shared" si="368"/>
        <v>0</v>
      </c>
      <c r="AH790" s="323">
        <f t="shared" si="368"/>
        <v>0</v>
      </c>
      <c r="AI790" s="323">
        <f t="shared" si="368"/>
        <v>0</v>
      </c>
      <c r="AJ790" s="323">
        <f t="shared" si="368"/>
        <v>0</v>
      </c>
      <c r="AK790" s="323">
        <f t="shared" si="368"/>
        <v>0</v>
      </c>
      <c r="AL790" s="323">
        <f t="shared" si="368"/>
        <v>0</v>
      </c>
      <c r="AM790" s="323">
        <f t="shared" si="368"/>
        <v>0</v>
      </c>
      <c r="AN790" s="323">
        <f t="shared" si="368"/>
        <v>0</v>
      </c>
      <c r="AO790" s="323">
        <f t="shared" si="368"/>
        <v>0</v>
      </c>
      <c r="AP790" s="323">
        <f t="shared" si="368"/>
        <v>0</v>
      </c>
      <c r="AQ790" s="323">
        <f t="shared" si="368"/>
        <v>0</v>
      </c>
      <c r="AR790" s="323">
        <f t="shared" si="368"/>
        <v>0</v>
      </c>
      <c r="AS790" s="323">
        <f t="shared" si="368"/>
        <v>0</v>
      </c>
      <c r="AT790" s="323">
        <f t="shared" si="368"/>
        <v>0</v>
      </c>
      <c r="AU790" s="323">
        <f t="shared" si="368"/>
        <v>0</v>
      </c>
      <c r="AV790" s="323">
        <f t="shared" si="368"/>
        <v>0</v>
      </c>
    </row>
    <row r="791" spans="1:48" s="229" customFormat="1" ht="15" customHeight="1">
      <c r="A791" s="385"/>
      <c r="B791" s="357"/>
      <c r="C791" s="366"/>
      <c r="D791" s="317"/>
      <c r="E791" s="323" t="str">
        <f t="shared" ref="E791:AV791" si="369" xml:space="preserve"> E$639</f>
        <v>WHT on non-resident services</v>
      </c>
      <c r="F791" s="323">
        <f t="shared" si="369"/>
        <v>0</v>
      </c>
      <c r="G791" s="323" t="str">
        <f t="shared" si="369"/>
        <v>$ mn</v>
      </c>
      <c r="H791" s="323">
        <f t="shared" si="369"/>
        <v>0</v>
      </c>
      <c r="I791" s="323">
        <f t="shared" si="369"/>
        <v>0</v>
      </c>
      <c r="J791" s="323">
        <f t="shared" si="369"/>
        <v>116.1293554984677</v>
      </c>
      <c r="K791" s="323">
        <f t="shared" si="369"/>
        <v>0</v>
      </c>
      <c r="L791" s="323">
        <f t="shared" si="369"/>
        <v>0</v>
      </c>
      <c r="M791" s="323">
        <f t="shared" si="369"/>
        <v>0</v>
      </c>
      <c r="N791" s="323">
        <f t="shared" si="369"/>
        <v>0</v>
      </c>
      <c r="O791" s="323">
        <f t="shared" si="369"/>
        <v>0</v>
      </c>
      <c r="P791" s="323">
        <f t="shared" si="369"/>
        <v>19.799919999999997</v>
      </c>
      <c r="Q791" s="323">
        <f t="shared" si="369"/>
        <v>3.4417600000000004</v>
      </c>
      <c r="R791" s="323">
        <f t="shared" si="369"/>
        <v>4.905153633597104</v>
      </c>
      <c r="S791" s="323">
        <f t="shared" si="369"/>
        <v>5.0413991194314169</v>
      </c>
      <c r="T791" s="323">
        <f t="shared" si="369"/>
        <v>6.6039795103128069</v>
      </c>
      <c r="U791" s="323">
        <f t="shared" si="369"/>
        <v>6.480050692231405</v>
      </c>
      <c r="V791" s="323">
        <f t="shared" si="369"/>
        <v>7.2970733100523271</v>
      </c>
      <c r="W791" s="323">
        <f t="shared" si="369"/>
        <v>7.1625197884942295</v>
      </c>
      <c r="X791" s="323">
        <f t="shared" si="369"/>
        <v>7.7389916412084201</v>
      </c>
      <c r="Y791" s="323">
        <f t="shared" si="369"/>
        <v>7.3653308966799234</v>
      </c>
      <c r="Z791" s="323">
        <f t="shared" si="369"/>
        <v>7.8155346410725848</v>
      </c>
      <c r="AA791" s="323">
        <f t="shared" si="369"/>
        <v>7.6564461253809046</v>
      </c>
      <c r="AB791" s="323">
        <f t="shared" si="369"/>
        <v>8.5170433605766043</v>
      </c>
      <c r="AC791" s="323">
        <f t="shared" si="369"/>
        <v>8.0311319353889452</v>
      </c>
      <c r="AD791" s="323">
        <f t="shared" si="369"/>
        <v>8.2730208440410351</v>
      </c>
      <c r="AE791" s="323">
        <f t="shared" si="369"/>
        <v>0</v>
      </c>
      <c r="AF791" s="323">
        <f t="shared" si="369"/>
        <v>0</v>
      </c>
      <c r="AG791" s="323">
        <f t="shared" si="369"/>
        <v>0</v>
      </c>
      <c r="AH791" s="323">
        <f t="shared" si="369"/>
        <v>0</v>
      </c>
      <c r="AI791" s="323">
        <f t="shared" si="369"/>
        <v>0</v>
      </c>
      <c r="AJ791" s="323">
        <f t="shared" si="369"/>
        <v>0</v>
      </c>
      <c r="AK791" s="323">
        <f t="shared" si="369"/>
        <v>0</v>
      </c>
      <c r="AL791" s="323">
        <f t="shared" si="369"/>
        <v>0</v>
      </c>
      <c r="AM791" s="323">
        <f t="shared" si="369"/>
        <v>0</v>
      </c>
      <c r="AN791" s="323">
        <f t="shared" si="369"/>
        <v>0</v>
      </c>
      <c r="AO791" s="323">
        <f t="shared" si="369"/>
        <v>0</v>
      </c>
      <c r="AP791" s="323">
        <f t="shared" si="369"/>
        <v>0</v>
      </c>
      <c r="AQ791" s="323">
        <f t="shared" si="369"/>
        <v>0</v>
      </c>
      <c r="AR791" s="323">
        <f t="shared" si="369"/>
        <v>0</v>
      </c>
      <c r="AS791" s="323">
        <f t="shared" si="369"/>
        <v>0</v>
      </c>
      <c r="AT791" s="323">
        <f t="shared" si="369"/>
        <v>0</v>
      </c>
      <c r="AU791" s="323">
        <f t="shared" si="369"/>
        <v>0</v>
      </c>
      <c r="AV791" s="323">
        <f t="shared" si="369"/>
        <v>0</v>
      </c>
    </row>
    <row r="792" spans="1:48" s="393" customFormat="1" ht="15" customHeight="1">
      <c r="A792" s="388"/>
      <c r="B792" s="389"/>
      <c r="C792" s="390"/>
      <c r="D792" s="861"/>
      <c r="E792" s="391"/>
      <c r="F792" s="391" t="s">
        <v>611</v>
      </c>
      <c r="G792" s="391"/>
      <c r="H792" s="391"/>
      <c r="I792" s="391"/>
      <c r="J792" s="391"/>
      <c r="K792" s="391"/>
      <c r="L792" s="391"/>
      <c r="M792" s="391"/>
      <c r="N792" s="391"/>
      <c r="O792" s="391"/>
      <c r="P792" s="391"/>
      <c r="Q792" s="391"/>
      <c r="R792" s="391"/>
      <c r="S792" s="391"/>
      <c r="T792" s="391"/>
      <c r="U792" s="391"/>
      <c r="V792" s="391"/>
      <c r="W792" s="391"/>
      <c r="X792" s="391"/>
      <c r="Y792" s="391"/>
      <c r="Z792" s="391"/>
      <c r="AA792" s="391"/>
      <c r="AB792" s="391"/>
      <c r="AC792" s="391"/>
      <c r="AD792" s="391"/>
      <c r="AE792" s="391"/>
      <c r="AF792" s="391"/>
      <c r="AG792" s="391"/>
      <c r="AH792" s="391"/>
      <c r="AI792" s="391"/>
      <c r="AJ792" s="391"/>
      <c r="AK792" s="391"/>
      <c r="AL792" s="391"/>
      <c r="AM792" s="391"/>
      <c r="AN792" s="391"/>
      <c r="AO792" s="391"/>
      <c r="AP792" s="391"/>
      <c r="AQ792" s="391"/>
      <c r="AR792" s="391"/>
      <c r="AS792" s="391"/>
      <c r="AT792" s="391"/>
      <c r="AU792" s="391"/>
      <c r="AV792" s="391"/>
    </row>
    <row r="793" spans="1:48" s="229" customFormat="1" ht="15" customHeight="1">
      <c r="A793" s="385"/>
      <c r="B793" s="357"/>
      <c r="C793" s="366"/>
      <c r="D793" s="317"/>
      <c r="E793" s="98" t="s">
        <v>679</v>
      </c>
      <c r="F793" s="98"/>
      <c r="G793" s="98" t="s">
        <v>29</v>
      </c>
      <c r="H793" s="98"/>
      <c r="I793" s="98"/>
      <c r="J793" s="98">
        <f xml:space="preserve"> SUM(L793:AV793)</f>
        <v>3201.1779972370141</v>
      </c>
      <c r="K793" s="98"/>
      <c r="L793" s="98">
        <f t="shared" ref="L793:AV793" si="370" xml:space="preserve"> SUM(L782:L792)</f>
        <v>0</v>
      </c>
      <c r="M793" s="98">
        <f t="shared" si="370"/>
        <v>0</v>
      </c>
      <c r="N793" s="98">
        <f t="shared" si="370"/>
        <v>0</v>
      </c>
      <c r="O793" s="98">
        <f t="shared" si="370"/>
        <v>0</v>
      </c>
      <c r="P793" s="98">
        <f t="shared" si="370"/>
        <v>23.791051457392751</v>
      </c>
      <c r="Q793" s="98">
        <f t="shared" si="370"/>
        <v>278.54002294708886</v>
      </c>
      <c r="R793" s="98">
        <f t="shared" si="370"/>
        <v>119.65263848900783</v>
      </c>
      <c r="S793" s="98">
        <f t="shared" si="370"/>
        <v>348.18517326554991</v>
      </c>
      <c r="T793" s="98">
        <f t="shared" si="370"/>
        <v>389.50387848780395</v>
      </c>
      <c r="U793" s="98">
        <f t="shared" si="370"/>
        <v>156.43226157468644</v>
      </c>
      <c r="V793" s="98">
        <f t="shared" si="370"/>
        <v>113.64500193675771</v>
      </c>
      <c r="W793" s="98">
        <f t="shared" si="370"/>
        <v>212.21149042518854</v>
      </c>
      <c r="X793" s="98">
        <f t="shared" si="370"/>
        <v>205.99915596072478</v>
      </c>
      <c r="Y793" s="98">
        <f t="shared" si="370"/>
        <v>191.72144050986023</v>
      </c>
      <c r="Z793" s="98">
        <f t="shared" si="370"/>
        <v>197.22781519965909</v>
      </c>
      <c r="AA793" s="98">
        <f t="shared" si="370"/>
        <v>199.66940662988583</v>
      </c>
      <c r="AB793" s="98">
        <f t="shared" si="370"/>
        <v>215.42408862151638</v>
      </c>
      <c r="AC793" s="98">
        <f t="shared" si="370"/>
        <v>275.14935526718682</v>
      </c>
      <c r="AD793" s="98">
        <f t="shared" si="370"/>
        <v>274.02521646470473</v>
      </c>
      <c r="AE793" s="98">
        <f t="shared" si="370"/>
        <v>0</v>
      </c>
      <c r="AF793" s="98">
        <f t="shared" si="370"/>
        <v>0</v>
      </c>
      <c r="AG793" s="98">
        <f t="shared" si="370"/>
        <v>0</v>
      </c>
      <c r="AH793" s="98">
        <f t="shared" si="370"/>
        <v>0</v>
      </c>
      <c r="AI793" s="98">
        <f t="shared" si="370"/>
        <v>0</v>
      </c>
      <c r="AJ793" s="98">
        <f t="shared" si="370"/>
        <v>0</v>
      </c>
      <c r="AK793" s="98">
        <f t="shared" si="370"/>
        <v>0</v>
      </c>
      <c r="AL793" s="98">
        <f t="shared" si="370"/>
        <v>0</v>
      </c>
      <c r="AM793" s="98">
        <f t="shared" si="370"/>
        <v>0</v>
      </c>
      <c r="AN793" s="98">
        <f t="shared" si="370"/>
        <v>0</v>
      </c>
      <c r="AO793" s="98">
        <f t="shared" si="370"/>
        <v>0</v>
      </c>
      <c r="AP793" s="98">
        <f t="shared" si="370"/>
        <v>0</v>
      </c>
      <c r="AQ793" s="98">
        <f t="shared" si="370"/>
        <v>0</v>
      </c>
      <c r="AR793" s="98">
        <f t="shared" si="370"/>
        <v>0</v>
      </c>
      <c r="AS793" s="98">
        <f t="shared" si="370"/>
        <v>0</v>
      </c>
      <c r="AT793" s="98">
        <f t="shared" si="370"/>
        <v>0</v>
      </c>
      <c r="AU793" s="98">
        <f t="shared" si="370"/>
        <v>0</v>
      </c>
      <c r="AV793" s="98">
        <f t="shared" si="370"/>
        <v>0</v>
      </c>
    </row>
    <row r="794" spans="1:48" s="376" customFormat="1" ht="15" customHeight="1">
      <c r="A794" s="722"/>
      <c r="B794" s="722"/>
      <c r="C794" s="384"/>
      <c r="D794" s="858"/>
      <c r="E794" s="202" t="str">
        <f t="shared" ref="E794:AV794" si="371" xml:space="preserve"> E$752</f>
        <v>Gecamines share of net cashflows after tax</v>
      </c>
      <c r="F794" s="202">
        <f t="shared" si="371"/>
        <v>0</v>
      </c>
      <c r="G794" s="202" t="str">
        <f t="shared" si="371"/>
        <v>$ mn</v>
      </c>
      <c r="H794" s="202">
        <f t="shared" si="371"/>
        <v>0</v>
      </c>
      <c r="I794" s="202">
        <f t="shared" si="371"/>
        <v>0</v>
      </c>
      <c r="J794" s="202">
        <f t="shared" si="371"/>
        <v>421.58818581567391</v>
      </c>
      <c r="K794" s="202">
        <f t="shared" si="371"/>
        <v>0</v>
      </c>
      <c r="L794" s="202">
        <f t="shared" si="371"/>
        <v>0</v>
      </c>
      <c r="M794" s="202">
        <f t="shared" si="371"/>
        <v>0</v>
      </c>
      <c r="N794" s="202">
        <f t="shared" si="371"/>
        <v>0</v>
      </c>
      <c r="O794" s="202">
        <f t="shared" si="371"/>
        <v>0</v>
      </c>
      <c r="P794" s="202">
        <f t="shared" si="371"/>
        <v>0</v>
      </c>
      <c r="Q794" s="202">
        <f t="shared" si="371"/>
        <v>133.99765846001051</v>
      </c>
      <c r="R794" s="202">
        <f t="shared" si="371"/>
        <v>18.767662695506274</v>
      </c>
      <c r="S794" s="202">
        <f t="shared" si="371"/>
        <v>61.844618317974657</v>
      </c>
      <c r="T794" s="202">
        <f t="shared" si="371"/>
        <v>58.823318269327025</v>
      </c>
      <c r="U794" s="202">
        <f t="shared" si="371"/>
        <v>25.046399169880939</v>
      </c>
      <c r="V794" s="202">
        <f t="shared" si="371"/>
        <v>12.667323034364081</v>
      </c>
      <c r="W794" s="202">
        <f t="shared" si="371"/>
        <v>18.126757907577769</v>
      </c>
      <c r="X794" s="202">
        <f t="shared" si="371"/>
        <v>10.904829776438389</v>
      </c>
      <c r="Y794" s="202">
        <f t="shared" si="371"/>
        <v>4.3957202432760596</v>
      </c>
      <c r="Z794" s="202">
        <f t="shared" si="371"/>
        <v>0</v>
      </c>
      <c r="AA794" s="202">
        <f t="shared" si="371"/>
        <v>0</v>
      </c>
      <c r="AB794" s="202">
        <f t="shared" si="371"/>
        <v>9.9060564549564685</v>
      </c>
      <c r="AC794" s="202">
        <f t="shared" si="371"/>
        <v>32.703591485157972</v>
      </c>
      <c r="AD794" s="202">
        <f t="shared" si="371"/>
        <v>34.404250001203785</v>
      </c>
      <c r="AE794" s="202">
        <f t="shared" si="371"/>
        <v>0</v>
      </c>
      <c r="AF794" s="202">
        <f t="shared" si="371"/>
        <v>0</v>
      </c>
      <c r="AG794" s="202">
        <f t="shared" si="371"/>
        <v>0</v>
      </c>
      <c r="AH794" s="202">
        <f t="shared" si="371"/>
        <v>0</v>
      </c>
      <c r="AI794" s="202">
        <f t="shared" si="371"/>
        <v>0</v>
      </c>
      <c r="AJ794" s="202">
        <f t="shared" si="371"/>
        <v>0</v>
      </c>
      <c r="AK794" s="202">
        <f t="shared" si="371"/>
        <v>0</v>
      </c>
      <c r="AL794" s="202">
        <f t="shared" si="371"/>
        <v>0</v>
      </c>
      <c r="AM794" s="202">
        <f t="shared" si="371"/>
        <v>0</v>
      </c>
      <c r="AN794" s="202">
        <f t="shared" si="371"/>
        <v>0</v>
      </c>
      <c r="AO794" s="202">
        <f t="shared" si="371"/>
        <v>0</v>
      </c>
      <c r="AP794" s="202">
        <f t="shared" si="371"/>
        <v>0</v>
      </c>
      <c r="AQ794" s="202">
        <f t="shared" si="371"/>
        <v>0</v>
      </c>
      <c r="AR794" s="202">
        <f t="shared" si="371"/>
        <v>0</v>
      </c>
      <c r="AS794" s="202">
        <f t="shared" si="371"/>
        <v>0</v>
      </c>
      <c r="AT794" s="202">
        <f t="shared" si="371"/>
        <v>0</v>
      </c>
      <c r="AU794" s="202">
        <f t="shared" si="371"/>
        <v>0</v>
      </c>
      <c r="AV794" s="202">
        <f t="shared" si="371"/>
        <v>0</v>
      </c>
    </row>
    <row r="795" spans="1:48" s="397" customFormat="1" ht="15" customHeight="1">
      <c r="A795" s="394"/>
      <c r="B795" s="395"/>
      <c r="C795" s="396"/>
      <c r="D795" s="862"/>
      <c r="E795" s="339" t="s">
        <v>676</v>
      </c>
      <c r="F795" s="339"/>
      <c r="G795" s="339" t="s">
        <v>29</v>
      </c>
      <c r="H795" s="339">
        <f xml:space="preserve"> H$656</f>
        <v>0</v>
      </c>
      <c r="I795" s="339"/>
      <c r="J795" s="339">
        <f xml:space="preserve"> SUM(L795:AV795)</f>
        <v>3622.7661830526886</v>
      </c>
      <c r="K795" s="339">
        <f xml:space="preserve"> K$656</f>
        <v>0</v>
      </c>
      <c r="L795" s="339">
        <f t="shared" ref="L795:AV795" si="372">SUM(L793:L794)</f>
        <v>0</v>
      </c>
      <c r="M795" s="339">
        <f t="shared" si="372"/>
        <v>0</v>
      </c>
      <c r="N795" s="339">
        <f t="shared" si="372"/>
        <v>0</v>
      </c>
      <c r="O795" s="339">
        <f t="shared" si="372"/>
        <v>0</v>
      </c>
      <c r="P795" s="339">
        <f t="shared" si="372"/>
        <v>23.791051457392751</v>
      </c>
      <c r="Q795" s="339">
        <f t="shared" si="372"/>
        <v>412.5376814070994</v>
      </c>
      <c r="R795" s="339">
        <f t="shared" si="372"/>
        <v>138.4203011845141</v>
      </c>
      <c r="S795" s="339">
        <f t="shared" si="372"/>
        <v>410.02979158352457</v>
      </c>
      <c r="T795" s="339">
        <f t="shared" si="372"/>
        <v>448.32719675713099</v>
      </c>
      <c r="U795" s="339">
        <f t="shared" si="372"/>
        <v>181.47866074456738</v>
      </c>
      <c r="V795" s="339">
        <f t="shared" si="372"/>
        <v>126.3123249711218</v>
      </c>
      <c r="W795" s="339">
        <f t="shared" si="372"/>
        <v>230.33824833276631</v>
      </c>
      <c r="X795" s="339">
        <f t="shared" si="372"/>
        <v>216.90398573716317</v>
      </c>
      <c r="Y795" s="339">
        <f t="shared" si="372"/>
        <v>196.11716075313629</v>
      </c>
      <c r="Z795" s="339">
        <f t="shared" si="372"/>
        <v>197.22781519965909</v>
      </c>
      <c r="AA795" s="339">
        <f t="shared" si="372"/>
        <v>199.66940662988583</v>
      </c>
      <c r="AB795" s="339">
        <f t="shared" si="372"/>
        <v>225.33014507647283</v>
      </c>
      <c r="AC795" s="339">
        <f t="shared" si="372"/>
        <v>307.85294675234479</v>
      </c>
      <c r="AD795" s="339">
        <f t="shared" si="372"/>
        <v>308.42946646590849</v>
      </c>
      <c r="AE795" s="339">
        <f t="shared" si="372"/>
        <v>0</v>
      </c>
      <c r="AF795" s="339">
        <f t="shared" si="372"/>
        <v>0</v>
      </c>
      <c r="AG795" s="339">
        <f t="shared" si="372"/>
        <v>0</v>
      </c>
      <c r="AH795" s="339">
        <f t="shared" si="372"/>
        <v>0</v>
      </c>
      <c r="AI795" s="339">
        <f t="shared" si="372"/>
        <v>0</v>
      </c>
      <c r="AJ795" s="339">
        <f t="shared" si="372"/>
        <v>0</v>
      </c>
      <c r="AK795" s="339">
        <f t="shared" si="372"/>
        <v>0</v>
      </c>
      <c r="AL795" s="339">
        <f t="shared" si="372"/>
        <v>0</v>
      </c>
      <c r="AM795" s="339">
        <f t="shared" si="372"/>
        <v>0</v>
      </c>
      <c r="AN795" s="339">
        <f t="shared" si="372"/>
        <v>0</v>
      </c>
      <c r="AO795" s="339">
        <f t="shared" si="372"/>
        <v>0</v>
      </c>
      <c r="AP795" s="339">
        <f t="shared" si="372"/>
        <v>0</v>
      </c>
      <c r="AQ795" s="339">
        <f t="shared" si="372"/>
        <v>0</v>
      </c>
      <c r="AR795" s="339">
        <f t="shared" si="372"/>
        <v>0</v>
      </c>
      <c r="AS795" s="339">
        <f t="shared" si="372"/>
        <v>0</v>
      </c>
      <c r="AT795" s="339">
        <f t="shared" si="372"/>
        <v>0</v>
      </c>
      <c r="AU795" s="339">
        <f t="shared" si="372"/>
        <v>0</v>
      </c>
      <c r="AV795" s="339">
        <f t="shared" si="372"/>
        <v>0</v>
      </c>
    </row>
    <row r="796" spans="1:48" s="229" customFormat="1" ht="15" customHeight="1">
      <c r="A796" s="385"/>
      <c r="B796" s="357"/>
      <c r="C796" s="366"/>
      <c r="D796" s="317"/>
      <c r="E796" s="98"/>
      <c r="F796" s="98"/>
      <c r="G796" s="98"/>
      <c r="H796" s="98"/>
      <c r="I796" s="98"/>
      <c r="J796" s="269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  <c r="Z796" s="98"/>
      <c r="AA796" s="98"/>
      <c r="AB796" s="98"/>
      <c r="AC796" s="98"/>
      <c r="AD796" s="98"/>
      <c r="AE796" s="98"/>
      <c r="AF796" s="98"/>
      <c r="AG796" s="98"/>
      <c r="AH796" s="98"/>
      <c r="AI796" s="98"/>
      <c r="AJ796" s="98"/>
      <c r="AK796" s="98"/>
      <c r="AL796" s="98"/>
      <c r="AM796" s="98"/>
      <c r="AN796" s="98"/>
      <c r="AO796" s="98"/>
      <c r="AP796" s="98"/>
      <c r="AQ796" s="98"/>
      <c r="AR796" s="98"/>
      <c r="AS796" s="98"/>
      <c r="AT796" s="98"/>
      <c r="AU796" s="98"/>
      <c r="AV796" s="98"/>
    </row>
    <row r="797" spans="1:48" s="160" customFormat="1" ht="15" customHeight="1">
      <c r="A797" s="164" t="s">
        <v>677</v>
      </c>
      <c r="B797" s="162"/>
      <c r="C797" s="315"/>
      <c r="D797" s="386"/>
      <c r="E797" s="162"/>
      <c r="F797" s="162"/>
      <c r="G797" s="162"/>
      <c r="H797" s="162"/>
    </row>
    <row r="798" spans="1:48" s="229" customFormat="1" ht="15" customHeight="1">
      <c r="A798" s="385"/>
      <c r="B798" s="357"/>
      <c r="C798" s="366"/>
      <c r="D798" s="317"/>
      <c r="E798" s="98"/>
      <c r="F798" s="98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  <c r="Z798" s="98"/>
      <c r="AA798" s="98"/>
      <c r="AB798" s="98"/>
      <c r="AC798" s="98"/>
      <c r="AD798" s="98"/>
      <c r="AE798" s="98"/>
      <c r="AF798" s="98"/>
      <c r="AG798" s="98"/>
      <c r="AH798" s="98"/>
      <c r="AI798" s="98"/>
      <c r="AJ798" s="98"/>
      <c r="AK798" s="98"/>
      <c r="AL798" s="98"/>
      <c r="AM798" s="98"/>
      <c r="AN798" s="98"/>
      <c r="AO798" s="98"/>
      <c r="AP798" s="98"/>
      <c r="AQ798" s="98"/>
      <c r="AR798" s="98"/>
      <c r="AS798" s="98"/>
      <c r="AT798" s="98"/>
      <c r="AU798" s="98"/>
      <c r="AV798" s="98"/>
    </row>
    <row r="799" spans="1:48" s="229" customFormat="1" ht="15" customHeight="1">
      <c r="A799" s="385"/>
      <c r="B799" s="357" t="s">
        <v>678</v>
      </c>
      <c r="C799" s="366"/>
      <c r="D799" s="317"/>
      <c r="E799" s="98"/>
      <c r="F799" s="98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  <c r="Z799" s="98"/>
      <c r="AA799" s="98"/>
      <c r="AB799" s="98"/>
      <c r="AC799" s="98"/>
      <c r="AD799" s="98"/>
      <c r="AE799" s="98"/>
      <c r="AF799" s="98"/>
      <c r="AG799" s="98"/>
      <c r="AH799" s="98"/>
      <c r="AI799" s="98"/>
      <c r="AJ799" s="98"/>
      <c r="AK799" s="98"/>
      <c r="AL799" s="98"/>
      <c r="AM799" s="98"/>
      <c r="AN799" s="98"/>
      <c r="AO799" s="98"/>
      <c r="AP799" s="98"/>
      <c r="AQ799" s="98"/>
      <c r="AR799" s="98"/>
      <c r="AS799" s="98"/>
      <c r="AT799" s="98"/>
      <c r="AU799" s="98"/>
      <c r="AV799" s="98"/>
    </row>
    <row r="800" spans="1:48" s="229" customFormat="1" ht="15" customHeight="1">
      <c r="A800" s="385"/>
      <c r="B800" s="357"/>
      <c r="C800" s="366"/>
      <c r="D800" s="317"/>
      <c r="E800" s="98" t="str">
        <f t="shared" ref="E800:AV800" si="373" xml:space="preserve"> E$454</f>
        <v>Project cashflows before tax</v>
      </c>
      <c r="F800" s="98">
        <f t="shared" si="373"/>
        <v>0</v>
      </c>
      <c r="G800" s="98" t="str">
        <f t="shared" si="373"/>
        <v>$ mn</v>
      </c>
      <c r="H800" s="98">
        <f t="shared" si="373"/>
        <v>0</v>
      </c>
      <c r="I800" s="98">
        <f t="shared" si="373"/>
        <v>0</v>
      </c>
      <c r="J800" s="98">
        <f t="shared" si="373"/>
        <v>7602.4719981898188</v>
      </c>
      <c r="K800" s="98">
        <f t="shared" si="373"/>
        <v>0</v>
      </c>
      <c r="L800" s="98">
        <f t="shared" si="373"/>
        <v>0</v>
      </c>
      <c r="M800" s="98">
        <f t="shared" si="373"/>
        <v>0</v>
      </c>
      <c r="N800" s="98">
        <f t="shared" si="373"/>
        <v>0</v>
      </c>
      <c r="O800" s="98">
        <f t="shared" si="373"/>
        <v>0</v>
      </c>
      <c r="P800" s="98">
        <f t="shared" si="373"/>
        <v>-943.06374607057251</v>
      </c>
      <c r="Q800" s="98">
        <f t="shared" si="373"/>
        <v>770.99558436977952</v>
      </c>
      <c r="R800" s="98">
        <f t="shared" si="373"/>
        <v>314.33493733000921</v>
      </c>
      <c r="S800" s="98">
        <f t="shared" si="373"/>
        <v>1003.2129916506368</v>
      </c>
      <c r="T800" s="98">
        <f t="shared" si="373"/>
        <v>1063.0484207248564</v>
      </c>
      <c r="U800" s="98">
        <f t="shared" si="373"/>
        <v>555.43352993011024</v>
      </c>
      <c r="V800" s="98">
        <f t="shared" si="373"/>
        <v>404.33052632425427</v>
      </c>
      <c r="W800" s="98">
        <f t="shared" si="373"/>
        <v>603.51914712237158</v>
      </c>
      <c r="X800" s="98">
        <f t="shared" si="373"/>
        <v>552.92060449538792</v>
      </c>
      <c r="Y800" s="98">
        <f t="shared" si="373"/>
        <v>541.23665696978128</v>
      </c>
      <c r="Z800" s="98">
        <f t="shared" si="373"/>
        <v>535.78080999474901</v>
      </c>
      <c r="AA800" s="98">
        <f t="shared" si="373"/>
        <v>531.50535740522753</v>
      </c>
      <c r="AB800" s="98">
        <f t="shared" si="373"/>
        <v>486.3857379523771</v>
      </c>
      <c r="AC800" s="98">
        <f t="shared" si="373"/>
        <v>584.03809811517249</v>
      </c>
      <c r="AD800" s="98">
        <f t="shared" si="373"/>
        <v>598.7933418756794</v>
      </c>
      <c r="AE800" s="98">
        <f t="shared" si="373"/>
        <v>0</v>
      </c>
      <c r="AF800" s="98">
        <f t="shared" si="373"/>
        <v>0</v>
      </c>
      <c r="AG800" s="98">
        <f t="shared" si="373"/>
        <v>0</v>
      </c>
      <c r="AH800" s="98">
        <f t="shared" si="373"/>
        <v>0</v>
      </c>
      <c r="AI800" s="98">
        <f t="shared" si="373"/>
        <v>0</v>
      </c>
      <c r="AJ800" s="98">
        <f t="shared" si="373"/>
        <v>0</v>
      </c>
      <c r="AK800" s="98">
        <f t="shared" si="373"/>
        <v>0</v>
      </c>
      <c r="AL800" s="98">
        <f t="shared" si="373"/>
        <v>0</v>
      </c>
      <c r="AM800" s="98">
        <f t="shared" si="373"/>
        <v>0</v>
      </c>
      <c r="AN800" s="98">
        <f t="shared" si="373"/>
        <v>0</v>
      </c>
      <c r="AO800" s="98">
        <f t="shared" si="373"/>
        <v>0</v>
      </c>
      <c r="AP800" s="98">
        <f t="shared" si="373"/>
        <v>0</v>
      </c>
      <c r="AQ800" s="98">
        <f t="shared" si="373"/>
        <v>0</v>
      </c>
      <c r="AR800" s="98">
        <f t="shared" si="373"/>
        <v>0</v>
      </c>
      <c r="AS800" s="98">
        <f t="shared" si="373"/>
        <v>0</v>
      </c>
      <c r="AT800" s="98">
        <f t="shared" si="373"/>
        <v>0</v>
      </c>
      <c r="AU800" s="98">
        <f t="shared" si="373"/>
        <v>0</v>
      </c>
      <c r="AV800" s="98">
        <f t="shared" si="373"/>
        <v>0</v>
      </c>
    </row>
    <row r="801" spans="1:48" s="229" customFormat="1" ht="15" customHeight="1">
      <c r="A801" s="385"/>
      <c r="B801" s="357"/>
      <c r="C801" s="366"/>
      <c r="D801" s="317" t="s">
        <v>704</v>
      </c>
      <c r="E801" s="98" t="str">
        <f t="shared" ref="E801:AV801" si="374" xml:space="preserve"> E$249</f>
        <v>Cu + Co private royalty (treat as distribution of profit)</v>
      </c>
      <c r="F801" s="98">
        <f t="shared" si="374"/>
        <v>0</v>
      </c>
      <c r="G801" s="98" t="str">
        <f t="shared" si="374"/>
        <v>$ mn</v>
      </c>
      <c r="H801" s="98">
        <f t="shared" si="374"/>
        <v>0</v>
      </c>
      <c r="I801" s="98">
        <f t="shared" si="374"/>
        <v>0</v>
      </c>
      <c r="J801" s="98">
        <f t="shared" si="374"/>
        <v>475.29805246011557</v>
      </c>
      <c r="K801" s="98">
        <f t="shared" si="374"/>
        <v>0</v>
      </c>
      <c r="L801" s="98">
        <f t="shared" si="374"/>
        <v>0</v>
      </c>
      <c r="M801" s="98">
        <f t="shared" si="374"/>
        <v>0</v>
      </c>
      <c r="N801" s="98">
        <f t="shared" si="374"/>
        <v>0</v>
      </c>
      <c r="O801" s="98">
        <f t="shared" si="374"/>
        <v>0</v>
      </c>
      <c r="P801" s="98">
        <f t="shared" si="374"/>
        <v>1.6784063482356868</v>
      </c>
      <c r="Q801" s="98">
        <f t="shared" si="374"/>
        <v>23.66488960924449</v>
      </c>
      <c r="R801" s="98">
        <f t="shared" si="374"/>
        <v>20.024321945491437</v>
      </c>
      <c r="S801" s="98">
        <f t="shared" si="374"/>
        <v>38.873180810948853</v>
      </c>
      <c r="T801" s="98">
        <f t="shared" si="374"/>
        <v>44.756350199642853</v>
      </c>
      <c r="U801" s="98">
        <f t="shared" si="374"/>
        <v>32.174887024535288</v>
      </c>
      <c r="V801" s="98">
        <f t="shared" si="374"/>
        <v>29.941418040754854</v>
      </c>
      <c r="W801" s="98">
        <f t="shared" si="374"/>
        <v>35.093975091031062</v>
      </c>
      <c r="X801" s="98">
        <f t="shared" si="374"/>
        <v>34.778368247296427</v>
      </c>
      <c r="Y801" s="98">
        <f t="shared" si="374"/>
        <v>34.230421565855707</v>
      </c>
      <c r="Z801" s="98">
        <f t="shared" si="374"/>
        <v>34.958374896698942</v>
      </c>
      <c r="AA801" s="98">
        <f t="shared" si="374"/>
        <v>34.833792158827926</v>
      </c>
      <c r="AB801" s="98">
        <f t="shared" si="374"/>
        <v>35.016658042379511</v>
      </c>
      <c r="AC801" s="98">
        <f t="shared" si="374"/>
        <v>37.26170539469598</v>
      </c>
      <c r="AD801" s="98">
        <f t="shared" si="374"/>
        <v>38.011303084476609</v>
      </c>
      <c r="AE801" s="98">
        <f t="shared" si="374"/>
        <v>0</v>
      </c>
      <c r="AF801" s="98">
        <f t="shared" si="374"/>
        <v>0</v>
      </c>
      <c r="AG801" s="98">
        <f t="shared" si="374"/>
        <v>0</v>
      </c>
      <c r="AH801" s="98">
        <f t="shared" si="374"/>
        <v>0</v>
      </c>
      <c r="AI801" s="98">
        <f t="shared" si="374"/>
        <v>0</v>
      </c>
      <c r="AJ801" s="98">
        <f t="shared" si="374"/>
        <v>0</v>
      </c>
      <c r="AK801" s="98">
        <f t="shared" si="374"/>
        <v>0</v>
      </c>
      <c r="AL801" s="98">
        <f t="shared" si="374"/>
        <v>0</v>
      </c>
      <c r="AM801" s="98">
        <f t="shared" si="374"/>
        <v>0</v>
      </c>
      <c r="AN801" s="98">
        <f t="shared" si="374"/>
        <v>0</v>
      </c>
      <c r="AO801" s="98">
        <f t="shared" si="374"/>
        <v>0</v>
      </c>
      <c r="AP801" s="98">
        <f t="shared" si="374"/>
        <v>0</v>
      </c>
      <c r="AQ801" s="98">
        <f t="shared" si="374"/>
        <v>0</v>
      </c>
      <c r="AR801" s="98">
        <f t="shared" si="374"/>
        <v>0</v>
      </c>
      <c r="AS801" s="98">
        <f t="shared" si="374"/>
        <v>0</v>
      </c>
      <c r="AT801" s="98">
        <f t="shared" si="374"/>
        <v>0</v>
      </c>
      <c r="AU801" s="98">
        <f t="shared" si="374"/>
        <v>0</v>
      </c>
      <c r="AV801" s="98">
        <f t="shared" si="374"/>
        <v>0</v>
      </c>
    </row>
    <row r="802" spans="1:48" s="229" customFormat="1" ht="15" customHeight="1">
      <c r="A802" s="385"/>
      <c r="B802" s="357"/>
      <c r="C802" s="366"/>
      <c r="D802" s="317" t="s">
        <v>704</v>
      </c>
      <c r="E802" s="98" t="str">
        <f xml:space="preserve"> E$772</f>
        <v>Parent company net cashflows</v>
      </c>
      <c r="F802" s="98">
        <f t="shared" ref="F802:AV802" si="375" xml:space="preserve"> F$772</f>
        <v>0</v>
      </c>
      <c r="G802" s="98" t="str">
        <f t="shared" si="375"/>
        <v>$ mn</v>
      </c>
      <c r="H802" s="98">
        <f t="shared" si="375"/>
        <v>0</v>
      </c>
      <c r="I802" s="98">
        <f t="shared" si="375"/>
        <v>0</v>
      </c>
      <c r="J802" s="98">
        <f t="shared" si="375"/>
        <v>3834.0025882296322</v>
      </c>
      <c r="K802" s="98">
        <f t="shared" si="375"/>
        <v>0</v>
      </c>
      <c r="L802" s="98">
        <f t="shared" si="375"/>
        <v>0</v>
      </c>
      <c r="M802" s="98">
        <f t="shared" si="375"/>
        <v>0</v>
      </c>
      <c r="N802" s="98">
        <f t="shared" si="375"/>
        <v>0</v>
      </c>
      <c r="O802" s="98">
        <f t="shared" si="375"/>
        <v>0</v>
      </c>
      <c r="P802" s="98">
        <f t="shared" si="375"/>
        <v>-946.95764879847923</v>
      </c>
      <c r="Q802" s="98">
        <f t="shared" si="375"/>
        <v>341.71679840593299</v>
      </c>
      <c r="R802" s="98">
        <f t="shared" si="375"/>
        <v>169.3354678336008</v>
      </c>
      <c r="S802" s="98">
        <f t="shared" si="375"/>
        <v>569.99141837559466</v>
      </c>
      <c r="T802" s="98">
        <f t="shared" si="375"/>
        <v>600.72760059266</v>
      </c>
      <c r="U802" s="98">
        <f t="shared" si="375"/>
        <v>362.74586427881331</v>
      </c>
      <c r="V802" s="98">
        <f t="shared" si="375"/>
        <v>270.58513794582922</v>
      </c>
      <c r="W802" s="98">
        <f t="shared" si="375"/>
        <v>360.95853362398213</v>
      </c>
      <c r="X802" s="98">
        <f t="shared" si="375"/>
        <v>324.99568494764344</v>
      </c>
      <c r="Y802" s="98">
        <f t="shared" si="375"/>
        <v>334.59188229280244</v>
      </c>
      <c r="Z802" s="98">
        <f t="shared" si="375"/>
        <v>328.16688707779031</v>
      </c>
      <c r="AA802" s="98">
        <f t="shared" si="375"/>
        <v>321.6830138147015</v>
      </c>
      <c r="AB802" s="98">
        <f t="shared" si="375"/>
        <v>251.88843179923015</v>
      </c>
      <c r="AC802" s="98">
        <f t="shared" si="375"/>
        <v>264.89909102977958</v>
      </c>
      <c r="AD802" s="98">
        <f t="shared" si="375"/>
        <v>278.67442500975068</v>
      </c>
      <c r="AE802" s="98">
        <f t="shared" si="375"/>
        <v>0</v>
      </c>
      <c r="AF802" s="98">
        <f t="shared" si="375"/>
        <v>0</v>
      </c>
      <c r="AG802" s="98">
        <f t="shared" si="375"/>
        <v>0</v>
      </c>
      <c r="AH802" s="98">
        <f t="shared" si="375"/>
        <v>0</v>
      </c>
      <c r="AI802" s="98">
        <f t="shared" si="375"/>
        <v>0</v>
      </c>
      <c r="AJ802" s="98">
        <f t="shared" si="375"/>
        <v>0</v>
      </c>
      <c r="AK802" s="98">
        <f t="shared" si="375"/>
        <v>0</v>
      </c>
      <c r="AL802" s="98">
        <f t="shared" si="375"/>
        <v>0</v>
      </c>
      <c r="AM802" s="98">
        <f t="shared" si="375"/>
        <v>0</v>
      </c>
      <c r="AN802" s="98">
        <f t="shared" si="375"/>
        <v>0</v>
      </c>
      <c r="AO802" s="98">
        <f t="shared" si="375"/>
        <v>0</v>
      </c>
      <c r="AP802" s="98">
        <f t="shared" si="375"/>
        <v>0</v>
      </c>
      <c r="AQ802" s="98">
        <f t="shared" si="375"/>
        <v>0</v>
      </c>
      <c r="AR802" s="98">
        <f t="shared" si="375"/>
        <v>0</v>
      </c>
      <c r="AS802" s="98">
        <f t="shared" si="375"/>
        <v>0</v>
      </c>
      <c r="AT802" s="98">
        <f t="shared" si="375"/>
        <v>0</v>
      </c>
      <c r="AU802" s="98">
        <f t="shared" si="375"/>
        <v>0</v>
      </c>
      <c r="AV802" s="98">
        <f t="shared" si="375"/>
        <v>0</v>
      </c>
    </row>
    <row r="803" spans="1:48" s="229" customFormat="1" ht="15" customHeight="1">
      <c r="A803" s="385"/>
      <c r="B803" s="357"/>
      <c r="C803" s="366"/>
      <c r="D803" s="317" t="s">
        <v>704</v>
      </c>
      <c r="E803" s="98" t="str">
        <f xml:space="preserve"> E$793</f>
        <v>Government revenues excl. Gecamines participation</v>
      </c>
      <c r="F803" s="98">
        <f t="shared" ref="F803:AV803" si="376" xml:space="preserve"> F$793</f>
        <v>0</v>
      </c>
      <c r="G803" s="98" t="str">
        <f t="shared" si="376"/>
        <v>$ mn</v>
      </c>
      <c r="H803" s="98">
        <f t="shared" si="376"/>
        <v>0</v>
      </c>
      <c r="I803" s="98">
        <f t="shared" si="376"/>
        <v>0</v>
      </c>
      <c r="J803" s="98">
        <f t="shared" si="376"/>
        <v>3201.1779972370141</v>
      </c>
      <c r="K803" s="98">
        <f t="shared" si="376"/>
        <v>0</v>
      </c>
      <c r="L803" s="98">
        <f t="shared" si="376"/>
        <v>0</v>
      </c>
      <c r="M803" s="98">
        <f t="shared" si="376"/>
        <v>0</v>
      </c>
      <c r="N803" s="98">
        <f t="shared" si="376"/>
        <v>0</v>
      </c>
      <c r="O803" s="98">
        <f t="shared" si="376"/>
        <v>0</v>
      </c>
      <c r="P803" s="98">
        <f t="shared" si="376"/>
        <v>23.791051457392751</v>
      </c>
      <c r="Q803" s="98">
        <f t="shared" si="376"/>
        <v>278.54002294708886</v>
      </c>
      <c r="R803" s="98">
        <f t="shared" si="376"/>
        <v>119.65263848900783</v>
      </c>
      <c r="S803" s="98">
        <f t="shared" si="376"/>
        <v>348.18517326554991</v>
      </c>
      <c r="T803" s="98">
        <f t="shared" si="376"/>
        <v>389.50387848780395</v>
      </c>
      <c r="U803" s="98">
        <f t="shared" si="376"/>
        <v>156.43226157468644</v>
      </c>
      <c r="V803" s="98">
        <f t="shared" si="376"/>
        <v>113.64500193675771</v>
      </c>
      <c r="W803" s="98">
        <f t="shared" si="376"/>
        <v>212.21149042518854</v>
      </c>
      <c r="X803" s="98">
        <f t="shared" si="376"/>
        <v>205.99915596072478</v>
      </c>
      <c r="Y803" s="98">
        <f t="shared" si="376"/>
        <v>191.72144050986023</v>
      </c>
      <c r="Z803" s="98">
        <f t="shared" si="376"/>
        <v>197.22781519965909</v>
      </c>
      <c r="AA803" s="98">
        <f t="shared" si="376"/>
        <v>199.66940662988583</v>
      </c>
      <c r="AB803" s="98">
        <f t="shared" si="376"/>
        <v>215.42408862151638</v>
      </c>
      <c r="AC803" s="98">
        <f t="shared" si="376"/>
        <v>275.14935526718682</v>
      </c>
      <c r="AD803" s="98">
        <f t="shared" si="376"/>
        <v>274.02521646470473</v>
      </c>
      <c r="AE803" s="98">
        <f t="shared" si="376"/>
        <v>0</v>
      </c>
      <c r="AF803" s="98">
        <f t="shared" si="376"/>
        <v>0</v>
      </c>
      <c r="AG803" s="98">
        <f t="shared" si="376"/>
        <v>0</v>
      </c>
      <c r="AH803" s="98">
        <f t="shared" si="376"/>
        <v>0</v>
      </c>
      <c r="AI803" s="98">
        <f t="shared" si="376"/>
        <v>0</v>
      </c>
      <c r="AJ803" s="98">
        <f t="shared" si="376"/>
        <v>0</v>
      </c>
      <c r="AK803" s="98">
        <f t="shared" si="376"/>
        <v>0</v>
      </c>
      <c r="AL803" s="98">
        <f t="shared" si="376"/>
        <v>0</v>
      </c>
      <c r="AM803" s="98">
        <f t="shared" si="376"/>
        <v>0</v>
      </c>
      <c r="AN803" s="98">
        <f t="shared" si="376"/>
        <v>0</v>
      </c>
      <c r="AO803" s="98">
        <f t="shared" si="376"/>
        <v>0</v>
      </c>
      <c r="AP803" s="98">
        <f t="shared" si="376"/>
        <v>0</v>
      </c>
      <c r="AQ803" s="98">
        <f t="shared" si="376"/>
        <v>0</v>
      </c>
      <c r="AR803" s="98">
        <f t="shared" si="376"/>
        <v>0</v>
      </c>
      <c r="AS803" s="98">
        <f t="shared" si="376"/>
        <v>0</v>
      </c>
      <c r="AT803" s="98">
        <f t="shared" si="376"/>
        <v>0</v>
      </c>
      <c r="AU803" s="98">
        <f t="shared" si="376"/>
        <v>0</v>
      </c>
      <c r="AV803" s="98">
        <f t="shared" si="376"/>
        <v>0</v>
      </c>
    </row>
    <row r="804" spans="1:48" s="229" customFormat="1" ht="15" customHeight="1">
      <c r="A804" s="385"/>
      <c r="B804" s="357"/>
      <c r="C804" s="366"/>
      <c r="D804" s="317" t="s">
        <v>704</v>
      </c>
      <c r="E804" s="98" t="str">
        <f t="shared" ref="E804:AV804" si="377" xml:space="preserve"> E$752</f>
        <v>Gecamines share of net cashflows after tax</v>
      </c>
      <c r="F804" s="98">
        <f t="shared" si="377"/>
        <v>0</v>
      </c>
      <c r="G804" s="98" t="str">
        <f t="shared" si="377"/>
        <v>$ mn</v>
      </c>
      <c r="H804" s="98">
        <f t="shared" si="377"/>
        <v>0</v>
      </c>
      <c r="I804" s="98">
        <f t="shared" si="377"/>
        <v>0</v>
      </c>
      <c r="J804" s="98">
        <f t="shared" si="377"/>
        <v>421.58818581567391</v>
      </c>
      <c r="K804" s="98">
        <f t="shared" si="377"/>
        <v>0</v>
      </c>
      <c r="L804" s="98">
        <f t="shared" si="377"/>
        <v>0</v>
      </c>
      <c r="M804" s="98">
        <f t="shared" si="377"/>
        <v>0</v>
      </c>
      <c r="N804" s="98">
        <f t="shared" si="377"/>
        <v>0</v>
      </c>
      <c r="O804" s="98">
        <f t="shared" si="377"/>
        <v>0</v>
      </c>
      <c r="P804" s="98">
        <f t="shared" si="377"/>
        <v>0</v>
      </c>
      <c r="Q804" s="98">
        <f t="shared" si="377"/>
        <v>133.99765846001051</v>
      </c>
      <c r="R804" s="98">
        <f t="shared" si="377"/>
        <v>18.767662695506274</v>
      </c>
      <c r="S804" s="98">
        <f t="shared" si="377"/>
        <v>61.844618317974657</v>
      </c>
      <c r="T804" s="98">
        <f t="shared" si="377"/>
        <v>58.823318269327025</v>
      </c>
      <c r="U804" s="98">
        <f t="shared" si="377"/>
        <v>25.046399169880939</v>
      </c>
      <c r="V804" s="98">
        <f t="shared" si="377"/>
        <v>12.667323034364081</v>
      </c>
      <c r="W804" s="98">
        <f t="shared" si="377"/>
        <v>18.126757907577769</v>
      </c>
      <c r="X804" s="98">
        <f t="shared" si="377"/>
        <v>10.904829776438389</v>
      </c>
      <c r="Y804" s="98">
        <f t="shared" si="377"/>
        <v>4.3957202432760596</v>
      </c>
      <c r="Z804" s="98">
        <f t="shared" si="377"/>
        <v>0</v>
      </c>
      <c r="AA804" s="98">
        <f t="shared" si="377"/>
        <v>0</v>
      </c>
      <c r="AB804" s="98">
        <f t="shared" si="377"/>
        <v>9.9060564549564685</v>
      </c>
      <c r="AC804" s="98">
        <f t="shared" si="377"/>
        <v>32.703591485157972</v>
      </c>
      <c r="AD804" s="98">
        <f t="shared" si="377"/>
        <v>34.404250001203785</v>
      </c>
      <c r="AE804" s="98">
        <f t="shared" si="377"/>
        <v>0</v>
      </c>
      <c r="AF804" s="98">
        <f t="shared" si="377"/>
        <v>0</v>
      </c>
      <c r="AG804" s="98">
        <f t="shared" si="377"/>
        <v>0</v>
      </c>
      <c r="AH804" s="98">
        <f t="shared" si="377"/>
        <v>0</v>
      </c>
      <c r="AI804" s="98">
        <f t="shared" si="377"/>
        <v>0</v>
      </c>
      <c r="AJ804" s="98">
        <f t="shared" si="377"/>
        <v>0</v>
      </c>
      <c r="AK804" s="98">
        <f t="shared" si="377"/>
        <v>0</v>
      </c>
      <c r="AL804" s="98">
        <f t="shared" si="377"/>
        <v>0</v>
      </c>
      <c r="AM804" s="98">
        <f t="shared" si="377"/>
        <v>0</v>
      </c>
      <c r="AN804" s="98">
        <f t="shared" si="377"/>
        <v>0</v>
      </c>
      <c r="AO804" s="98">
        <f t="shared" si="377"/>
        <v>0</v>
      </c>
      <c r="AP804" s="98">
        <f t="shared" si="377"/>
        <v>0</v>
      </c>
      <c r="AQ804" s="98">
        <f t="shared" si="377"/>
        <v>0</v>
      </c>
      <c r="AR804" s="98">
        <f t="shared" si="377"/>
        <v>0</v>
      </c>
      <c r="AS804" s="98">
        <f t="shared" si="377"/>
        <v>0</v>
      </c>
      <c r="AT804" s="98">
        <f t="shared" si="377"/>
        <v>0</v>
      </c>
      <c r="AU804" s="98">
        <f t="shared" si="377"/>
        <v>0</v>
      </c>
      <c r="AV804" s="98">
        <f t="shared" si="377"/>
        <v>0</v>
      </c>
    </row>
    <row r="805" spans="1:48" s="229" customFormat="1" ht="15" customHeight="1">
      <c r="A805" s="385"/>
      <c r="B805" s="357"/>
      <c r="C805" s="366"/>
      <c r="D805" s="317" t="s">
        <v>704</v>
      </c>
      <c r="E805" s="98" t="str">
        <f t="shared" ref="E805:AV805" si="378" xml:space="preserve"> E$722</f>
        <v>[Net debt cashflows (3rd party lender)]</v>
      </c>
      <c r="F805" s="98">
        <f t="shared" si="378"/>
        <v>0</v>
      </c>
      <c r="G805" s="98" t="str">
        <f t="shared" si="378"/>
        <v>$ mn</v>
      </c>
      <c r="H805" s="98">
        <f t="shared" si="378"/>
        <v>0</v>
      </c>
      <c r="I805" s="98">
        <f t="shared" si="378"/>
        <v>0</v>
      </c>
      <c r="J805" s="98">
        <f t="shared" si="378"/>
        <v>0</v>
      </c>
      <c r="K805" s="98">
        <f t="shared" si="378"/>
        <v>0</v>
      </c>
      <c r="L805" s="98">
        <f t="shared" si="378"/>
        <v>0</v>
      </c>
      <c r="M805" s="98">
        <f t="shared" si="378"/>
        <v>0</v>
      </c>
      <c r="N805" s="98">
        <f t="shared" si="378"/>
        <v>0</v>
      </c>
      <c r="O805" s="98">
        <f t="shared" si="378"/>
        <v>0</v>
      </c>
      <c r="P805" s="98">
        <f t="shared" si="378"/>
        <v>0</v>
      </c>
      <c r="Q805" s="98">
        <f t="shared" si="378"/>
        <v>0</v>
      </c>
      <c r="R805" s="98">
        <f t="shared" si="378"/>
        <v>0</v>
      </c>
      <c r="S805" s="98">
        <f t="shared" si="378"/>
        <v>0</v>
      </c>
      <c r="T805" s="98">
        <f t="shared" si="378"/>
        <v>0</v>
      </c>
      <c r="U805" s="98">
        <f t="shared" si="378"/>
        <v>0</v>
      </c>
      <c r="V805" s="98">
        <f t="shared" si="378"/>
        <v>0</v>
      </c>
      <c r="W805" s="98">
        <f t="shared" si="378"/>
        <v>0</v>
      </c>
      <c r="X805" s="98">
        <f t="shared" si="378"/>
        <v>0</v>
      </c>
      <c r="Y805" s="98">
        <f t="shared" si="378"/>
        <v>0</v>
      </c>
      <c r="Z805" s="98">
        <f t="shared" si="378"/>
        <v>0</v>
      </c>
      <c r="AA805" s="98">
        <f t="shared" si="378"/>
        <v>0</v>
      </c>
      <c r="AB805" s="98">
        <f t="shared" si="378"/>
        <v>0</v>
      </c>
      <c r="AC805" s="98">
        <f t="shared" si="378"/>
        <v>0</v>
      </c>
      <c r="AD805" s="98">
        <f t="shared" si="378"/>
        <v>0</v>
      </c>
      <c r="AE805" s="98">
        <f t="shared" si="378"/>
        <v>0</v>
      </c>
      <c r="AF805" s="98">
        <f t="shared" si="378"/>
        <v>0</v>
      </c>
      <c r="AG805" s="98">
        <f t="shared" si="378"/>
        <v>0</v>
      </c>
      <c r="AH805" s="98">
        <f t="shared" si="378"/>
        <v>0</v>
      </c>
      <c r="AI805" s="98">
        <f t="shared" si="378"/>
        <v>0</v>
      </c>
      <c r="AJ805" s="98">
        <f t="shared" si="378"/>
        <v>0</v>
      </c>
      <c r="AK805" s="98">
        <f t="shared" si="378"/>
        <v>0</v>
      </c>
      <c r="AL805" s="98">
        <f t="shared" si="378"/>
        <v>0</v>
      </c>
      <c r="AM805" s="98">
        <f t="shared" si="378"/>
        <v>0</v>
      </c>
      <c r="AN805" s="98">
        <f t="shared" si="378"/>
        <v>0</v>
      </c>
      <c r="AO805" s="98">
        <f t="shared" si="378"/>
        <v>0</v>
      </c>
      <c r="AP805" s="98">
        <f t="shared" si="378"/>
        <v>0</v>
      </c>
      <c r="AQ805" s="98">
        <f t="shared" si="378"/>
        <v>0</v>
      </c>
      <c r="AR805" s="98">
        <f t="shared" si="378"/>
        <v>0</v>
      </c>
      <c r="AS805" s="98">
        <f t="shared" si="378"/>
        <v>0</v>
      </c>
      <c r="AT805" s="98">
        <f t="shared" si="378"/>
        <v>0</v>
      </c>
      <c r="AU805" s="98">
        <f t="shared" si="378"/>
        <v>0</v>
      </c>
      <c r="AV805" s="98">
        <f t="shared" si="378"/>
        <v>0</v>
      </c>
    </row>
    <row r="806" spans="1:48" s="229" customFormat="1" ht="15" customHeight="1">
      <c r="A806" s="385"/>
      <c r="B806" s="357"/>
      <c r="C806" s="366"/>
      <c r="D806" s="317"/>
      <c r="E806" s="98" t="s">
        <v>772</v>
      </c>
      <c r="F806" s="98"/>
      <c r="G806" s="98" t="s">
        <v>29</v>
      </c>
      <c r="H806" s="98"/>
      <c r="I806" s="98"/>
      <c r="J806" s="98">
        <f xml:space="preserve"> SUM(L806:AV806)</f>
        <v>-329.59482555261519</v>
      </c>
      <c r="K806" s="98"/>
      <c r="L806" s="98">
        <f t="shared" ref="L806:AV806" si="379" xml:space="preserve"> L800 - L801 - L802 - L803 - L804</f>
        <v>0</v>
      </c>
      <c r="M806" s="98">
        <f t="shared" si="379"/>
        <v>0</v>
      </c>
      <c r="N806" s="98">
        <f t="shared" si="379"/>
        <v>0</v>
      </c>
      <c r="O806" s="98">
        <f t="shared" si="379"/>
        <v>0</v>
      </c>
      <c r="P806" s="98">
        <f xml:space="preserve"> P800 - P801 - P802 - P803 - P804</f>
        <v>-21.57555507772177</v>
      </c>
      <c r="Q806" s="98">
        <f t="shared" si="379"/>
        <v>-6.9237850524973226</v>
      </c>
      <c r="R806" s="98">
        <f t="shared" si="379"/>
        <v>-13.445153633597158</v>
      </c>
      <c r="S806" s="98">
        <f t="shared" si="379"/>
        <v>-15.681399119431255</v>
      </c>
      <c r="T806" s="98">
        <f t="shared" si="379"/>
        <v>-30.762726824577364</v>
      </c>
      <c r="U806" s="98">
        <f t="shared" si="379"/>
        <v>-20.965882117805787</v>
      </c>
      <c r="V806" s="98">
        <f t="shared" si="379"/>
        <v>-22.508354633451596</v>
      </c>
      <c r="W806" s="98">
        <f t="shared" si="379"/>
        <v>-22.871609925407967</v>
      </c>
      <c r="X806" s="98">
        <f t="shared" si="379"/>
        <v>-23.757434436715073</v>
      </c>
      <c r="Y806" s="98">
        <f t="shared" si="379"/>
        <v>-23.702807642013141</v>
      </c>
      <c r="Z806" s="98">
        <f t="shared" si="379"/>
        <v>-24.572267179399347</v>
      </c>
      <c r="AA806" s="98">
        <f t="shared" si="379"/>
        <v>-24.680855198187714</v>
      </c>
      <c r="AB806" s="98">
        <f t="shared" si="379"/>
        <v>-25.849496965705399</v>
      </c>
      <c r="AC806" s="98">
        <f t="shared" si="379"/>
        <v>-25.975645061647924</v>
      </c>
      <c r="AD806" s="98">
        <f t="shared" si="379"/>
        <v>-26.321852684456381</v>
      </c>
      <c r="AE806" s="98">
        <f t="shared" si="379"/>
        <v>0</v>
      </c>
      <c r="AF806" s="98">
        <f t="shared" si="379"/>
        <v>0</v>
      </c>
      <c r="AG806" s="98">
        <f t="shared" si="379"/>
        <v>0</v>
      </c>
      <c r="AH806" s="98">
        <f t="shared" si="379"/>
        <v>0</v>
      </c>
      <c r="AI806" s="98">
        <f t="shared" si="379"/>
        <v>0</v>
      </c>
      <c r="AJ806" s="98">
        <f t="shared" si="379"/>
        <v>0</v>
      </c>
      <c r="AK806" s="98">
        <f t="shared" si="379"/>
        <v>0</v>
      </c>
      <c r="AL806" s="98">
        <f t="shared" si="379"/>
        <v>0</v>
      </c>
      <c r="AM806" s="98">
        <f t="shared" si="379"/>
        <v>0</v>
      </c>
      <c r="AN806" s="98">
        <f t="shared" si="379"/>
        <v>0</v>
      </c>
      <c r="AO806" s="98">
        <f t="shared" si="379"/>
        <v>0</v>
      </c>
      <c r="AP806" s="98">
        <f t="shared" si="379"/>
        <v>0</v>
      </c>
      <c r="AQ806" s="98">
        <f t="shared" si="379"/>
        <v>0</v>
      </c>
      <c r="AR806" s="98">
        <f t="shared" si="379"/>
        <v>0</v>
      </c>
      <c r="AS806" s="98">
        <f t="shared" si="379"/>
        <v>0</v>
      </c>
      <c r="AT806" s="98">
        <f t="shared" si="379"/>
        <v>0</v>
      </c>
      <c r="AU806" s="98">
        <f t="shared" si="379"/>
        <v>0</v>
      </c>
      <c r="AV806" s="98">
        <f t="shared" si="379"/>
        <v>0</v>
      </c>
    </row>
    <row r="807" spans="1:48" s="229" customFormat="1" ht="15" customHeight="1">
      <c r="A807" s="385"/>
      <c r="B807" s="357"/>
      <c r="C807" s="366"/>
      <c r="D807" s="317"/>
      <c r="E807" s="98"/>
      <c r="F807" s="98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  <c r="Z807" s="98"/>
      <c r="AA807" s="98"/>
      <c r="AB807" s="98"/>
      <c r="AC807" s="98"/>
      <c r="AD807" s="98"/>
      <c r="AE807" s="98"/>
      <c r="AF807" s="98"/>
      <c r="AG807" s="98"/>
      <c r="AH807" s="98"/>
      <c r="AI807" s="98"/>
      <c r="AJ807" s="98"/>
      <c r="AK807" s="98"/>
      <c r="AL807" s="98"/>
      <c r="AM807" s="98"/>
      <c r="AN807" s="98"/>
      <c r="AO807" s="98"/>
      <c r="AP807" s="98"/>
      <c r="AQ807" s="98"/>
      <c r="AR807" s="98"/>
      <c r="AS807" s="98"/>
      <c r="AT807" s="98"/>
      <c r="AU807" s="98"/>
      <c r="AV807" s="98"/>
    </row>
    <row r="808" spans="1:48" s="229" customFormat="1" ht="15" customHeight="1">
      <c r="A808" s="385"/>
      <c r="B808" s="357"/>
      <c r="C808" s="366" t="s">
        <v>680</v>
      </c>
      <c r="D808" s="317"/>
      <c r="E808" s="98"/>
      <c r="F808" s="98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  <c r="Z808" s="98"/>
      <c r="AA808" s="98"/>
      <c r="AB808" s="98"/>
      <c r="AC808" s="98"/>
      <c r="AD808" s="98"/>
      <c r="AE808" s="98"/>
      <c r="AF808" s="98"/>
      <c r="AG808" s="98"/>
      <c r="AH808" s="98"/>
      <c r="AI808" s="98"/>
      <c r="AJ808" s="98"/>
      <c r="AK808" s="98"/>
      <c r="AL808" s="98"/>
      <c r="AM808" s="98"/>
      <c r="AN808" s="98"/>
      <c r="AO808" s="98"/>
      <c r="AP808" s="98"/>
      <c r="AQ808" s="98"/>
      <c r="AR808" s="98"/>
      <c r="AS808" s="98"/>
      <c r="AT808" s="98"/>
      <c r="AU808" s="98"/>
      <c r="AV808" s="98"/>
    </row>
    <row r="809" spans="1:48" s="229" customFormat="1" ht="15" customHeight="1">
      <c r="A809" s="385"/>
      <c r="B809" s="357"/>
      <c r="C809" s="366"/>
      <c r="D809" s="317"/>
      <c r="E809" s="98" t="str">
        <f t="shared" ref="E809:AV809" si="380" xml:space="preserve"> E$656</f>
        <v>Additional govt revenues incl. in project costs</v>
      </c>
      <c r="F809" s="98">
        <f t="shared" si="380"/>
        <v>0</v>
      </c>
      <c r="G809" s="98" t="str">
        <f t="shared" si="380"/>
        <v>$ mn</v>
      </c>
      <c r="H809" s="98">
        <f t="shared" si="380"/>
        <v>0</v>
      </c>
      <c r="I809" s="98">
        <f t="shared" si="380"/>
        <v>0</v>
      </c>
      <c r="J809" s="98">
        <f t="shared" si="380"/>
        <v>329.59482555261462</v>
      </c>
      <c r="K809" s="98">
        <f t="shared" si="380"/>
        <v>0</v>
      </c>
      <c r="L809" s="98">
        <f t="shared" si="380"/>
        <v>0</v>
      </c>
      <c r="M809" s="98">
        <f t="shared" si="380"/>
        <v>0</v>
      </c>
      <c r="N809" s="98">
        <f t="shared" si="380"/>
        <v>0</v>
      </c>
      <c r="O809" s="98">
        <f t="shared" si="380"/>
        <v>0</v>
      </c>
      <c r="P809" s="98">
        <f t="shared" si="380"/>
        <v>21.575555077721646</v>
      </c>
      <c r="Q809" s="98">
        <f t="shared" si="380"/>
        <v>6.9237850524972924</v>
      </c>
      <c r="R809" s="98">
        <f t="shared" si="380"/>
        <v>13.445153633597105</v>
      </c>
      <c r="S809" s="98">
        <f t="shared" si="380"/>
        <v>15.681399119431418</v>
      </c>
      <c r="T809" s="98">
        <f t="shared" si="380"/>
        <v>30.762726824577314</v>
      </c>
      <c r="U809" s="98">
        <f t="shared" si="380"/>
        <v>20.965882117805783</v>
      </c>
      <c r="V809" s="98">
        <f t="shared" si="380"/>
        <v>22.508354633451575</v>
      </c>
      <c r="W809" s="98">
        <f t="shared" si="380"/>
        <v>22.871609925407849</v>
      </c>
      <c r="X809" s="98">
        <f t="shared" si="380"/>
        <v>23.757434436715108</v>
      </c>
      <c r="Y809" s="98">
        <f t="shared" si="380"/>
        <v>23.702807642013077</v>
      </c>
      <c r="Z809" s="98">
        <f t="shared" si="380"/>
        <v>24.572267179399407</v>
      </c>
      <c r="AA809" s="98">
        <f t="shared" si="380"/>
        <v>24.680855198187778</v>
      </c>
      <c r="AB809" s="98">
        <f t="shared" si="380"/>
        <v>25.849496965705345</v>
      </c>
      <c r="AC809" s="98">
        <f t="shared" si="380"/>
        <v>25.975645061647604</v>
      </c>
      <c r="AD809" s="98">
        <f t="shared" si="380"/>
        <v>26.321852684456353</v>
      </c>
      <c r="AE809" s="98">
        <f t="shared" si="380"/>
        <v>0</v>
      </c>
      <c r="AF809" s="98">
        <f t="shared" si="380"/>
        <v>0</v>
      </c>
      <c r="AG809" s="98">
        <f t="shared" si="380"/>
        <v>0</v>
      </c>
      <c r="AH809" s="98">
        <f t="shared" si="380"/>
        <v>0</v>
      </c>
      <c r="AI809" s="98">
        <f t="shared" si="380"/>
        <v>0</v>
      </c>
      <c r="AJ809" s="98">
        <f t="shared" si="380"/>
        <v>0</v>
      </c>
      <c r="AK809" s="98">
        <f t="shared" si="380"/>
        <v>0</v>
      </c>
      <c r="AL809" s="98">
        <f t="shared" si="380"/>
        <v>0</v>
      </c>
      <c r="AM809" s="98">
        <f t="shared" si="380"/>
        <v>0</v>
      </c>
      <c r="AN809" s="98">
        <f t="shared" si="380"/>
        <v>0</v>
      </c>
      <c r="AO809" s="98">
        <f t="shared" si="380"/>
        <v>0</v>
      </c>
      <c r="AP809" s="98">
        <f t="shared" si="380"/>
        <v>0</v>
      </c>
      <c r="AQ809" s="98">
        <f t="shared" si="380"/>
        <v>0</v>
      </c>
      <c r="AR809" s="98">
        <f t="shared" si="380"/>
        <v>0</v>
      </c>
      <c r="AS809" s="98">
        <f t="shared" si="380"/>
        <v>0</v>
      </c>
      <c r="AT809" s="98">
        <f t="shared" si="380"/>
        <v>0</v>
      </c>
      <c r="AU809" s="98">
        <f t="shared" si="380"/>
        <v>0</v>
      </c>
      <c r="AV809" s="98">
        <f t="shared" si="380"/>
        <v>0</v>
      </c>
    </row>
    <row r="810" spans="1:48" s="229" customFormat="1" ht="15" customHeight="1">
      <c r="A810" s="385"/>
      <c r="B810" s="357"/>
      <c r="C810" s="366"/>
      <c r="D810" s="317"/>
      <c r="E810" s="98"/>
      <c r="F810" s="98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  <c r="Z810" s="98"/>
      <c r="AA810" s="98"/>
      <c r="AB810" s="98"/>
      <c r="AC810" s="98"/>
      <c r="AD810" s="98"/>
      <c r="AE810" s="98"/>
      <c r="AF810" s="98"/>
      <c r="AG810" s="98"/>
      <c r="AH810" s="98"/>
      <c r="AI810" s="98"/>
      <c r="AJ810" s="98"/>
      <c r="AK810" s="98"/>
      <c r="AL810" s="98"/>
      <c r="AM810" s="98"/>
      <c r="AN810" s="98"/>
      <c r="AO810" s="98"/>
      <c r="AP810" s="98"/>
      <c r="AQ810" s="98"/>
      <c r="AR810" s="98"/>
      <c r="AS810" s="98"/>
      <c r="AT810" s="98"/>
      <c r="AU810" s="98"/>
      <c r="AV810" s="98"/>
    </row>
    <row r="811" spans="1:48" s="98" customFormat="1" ht="15" customHeight="1">
      <c r="A811" s="385"/>
      <c r="B811" s="357"/>
      <c r="C811" s="366"/>
      <c r="D811" s="317"/>
      <c r="E811" s="98" t="s">
        <v>774</v>
      </c>
      <c r="G811" s="98" t="s">
        <v>681</v>
      </c>
      <c r="J811" s="98">
        <f xml:space="preserve"> SUM(L811:AV811)</f>
        <v>-5.1691984026547289E-13</v>
      </c>
      <c r="L811" s="98">
        <f t="shared" ref="L811:AV811" si="381" xml:space="preserve"> L806 + L809</f>
        <v>0</v>
      </c>
      <c r="M811" s="98">
        <f t="shared" si="381"/>
        <v>0</v>
      </c>
      <c r="N811" s="98">
        <f t="shared" si="381"/>
        <v>0</v>
      </c>
      <c r="O811" s="98">
        <f t="shared" si="381"/>
        <v>0</v>
      </c>
      <c r="P811" s="98">
        <f t="shared" si="381"/>
        <v>-1.2434497875801753E-13</v>
      </c>
      <c r="Q811" s="98">
        <f t="shared" si="381"/>
        <v>-3.0198066269804258E-14</v>
      </c>
      <c r="R811" s="98">
        <f t="shared" si="381"/>
        <v>-5.3290705182007514E-14</v>
      </c>
      <c r="S811" s="98">
        <f t="shared" si="381"/>
        <v>1.6342482922482304E-13</v>
      </c>
      <c r="T811" s="98">
        <f t="shared" si="381"/>
        <v>-4.9737991503207013E-14</v>
      </c>
      <c r="U811" s="98">
        <f t="shared" si="381"/>
        <v>0</v>
      </c>
      <c r="V811" s="98">
        <f t="shared" si="381"/>
        <v>0</v>
      </c>
      <c r="W811" s="98">
        <f t="shared" si="381"/>
        <v>-1.1723955140041653E-13</v>
      </c>
      <c r="X811" s="98">
        <f t="shared" si="381"/>
        <v>3.5527136788005009E-14</v>
      </c>
      <c r="Y811" s="98">
        <f xml:space="preserve"> Y806 + Y809</f>
        <v>-6.3948846218409017E-14</v>
      </c>
      <c r="Z811" s="98">
        <f t="shared" si="381"/>
        <v>6.0396132539608516E-14</v>
      </c>
      <c r="AA811" s="98">
        <f t="shared" si="381"/>
        <v>6.3948846218409017E-14</v>
      </c>
      <c r="AB811" s="98">
        <f t="shared" si="381"/>
        <v>-5.3290705182007514E-14</v>
      </c>
      <c r="AC811" s="98">
        <f t="shared" si="381"/>
        <v>-3.1974423109204508E-13</v>
      </c>
      <c r="AD811" s="98">
        <f t="shared" si="381"/>
        <v>-2.8421709430404007E-14</v>
      </c>
      <c r="AE811" s="98">
        <f t="shared" si="381"/>
        <v>0</v>
      </c>
      <c r="AF811" s="98">
        <f t="shared" si="381"/>
        <v>0</v>
      </c>
      <c r="AG811" s="98">
        <f t="shared" si="381"/>
        <v>0</v>
      </c>
      <c r="AH811" s="98">
        <f t="shared" si="381"/>
        <v>0</v>
      </c>
      <c r="AI811" s="98">
        <f t="shared" si="381"/>
        <v>0</v>
      </c>
      <c r="AJ811" s="98">
        <f t="shared" si="381"/>
        <v>0</v>
      </c>
      <c r="AK811" s="98">
        <f t="shared" si="381"/>
        <v>0</v>
      </c>
      <c r="AL811" s="98">
        <f t="shared" si="381"/>
        <v>0</v>
      </c>
      <c r="AM811" s="98">
        <f t="shared" si="381"/>
        <v>0</v>
      </c>
      <c r="AN811" s="98">
        <f t="shared" si="381"/>
        <v>0</v>
      </c>
      <c r="AO811" s="98">
        <f t="shared" si="381"/>
        <v>0</v>
      </c>
      <c r="AP811" s="98">
        <f t="shared" si="381"/>
        <v>0</v>
      </c>
      <c r="AQ811" s="98">
        <f t="shared" si="381"/>
        <v>0</v>
      </c>
      <c r="AR811" s="98">
        <f t="shared" si="381"/>
        <v>0</v>
      </c>
      <c r="AS811" s="98">
        <f t="shared" si="381"/>
        <v>0</v>
      </c>
      <c r="AT811" s="98">
        <f t="shared" si="381"/>
        <v>0</v>
      </c>
      <c r="AU811" s="98">
        <f t="shared" si="381"/>
        <v>0</v>
      </c>
      <c r="AV811" s="98">
        <f t="shared" si="381"/>
        <v>0</v>
      </c>
    </row>
    <row r="812" spans="1:48" s="229" customFormat="1" ht="15" customHeight="1">
      <c r="A812" s="385"/>
      <c r="B812" s="357"/>
      <c r="C812" s="366"/>
      <c r="D812" s="317"/>
      <c r="E812" s="98" t="str">
        <f>"Check: " &amp; E811</f>
        <v>Check: Net participant cashflows reconciliation</v>
      </c>
      <c r="F812" s="305">
        <f xml:space="preserve"> SUM(L812:AV812)</f>
        <v>0</v>
      </c>
      <c r="G812" s="98" t="s">
        <v>113</v>
      </c>
      <c r="H812" s="98"/>
      <c r="I812" s="98"/>
      <c r="J812" s="98"/>
      <c r="K812" s="98"/>
      <c r="L812" s="305">
        <f t="shared" ref="L812:AV812" si="382" xml:space="preserve"> IF( ABS(L811) &gt; CHK_TOL, 1, 0)</f>
        <v>0</v>
      </c>
      <c r="M812" s="305">
        <f t="shared" si="382"/>
        <v>0</v>
      </c>
      <c r="N812" s="305">
        <f t="shared" si="382"/>
        <v>0</v>
      </c>
      <c r="O812" s="305">
        <f t="shared" si="382"/>
        <v>0</v>
      </c>
      <c r="P812" s="305">
        <f xml:space="preserve"> IF( ABS(P811) &gt; CHK_TOL, 1, 0)</f>
        <v>0</v>
      </c>
      <c r="Q812" s="305">
        <f t="shared" si="382"/>
        <v>0</v>
      </c>
      <c r="R812" s="305">
        <f t="shared" si="382"/>
        <v>0</v>
      </c>
      <c r="S812" s="305">
        <f t="shared" si="382"/>
        <v>0</v>
      </c>
      <c r="T812" s="305">
        <f t="shared" si="382"/>
        <v>0</v>
      </c>
      <c r="U812" s="305">
        <f t="shared" si="382"/>
        <v>0</v>
      </c>
      <c r="V812" s="305">
        <f t="shared" si="382"/>
        <v>0</v>
      </c>
      <c r="W812" s="305">
        <f t="shared" si="382"/>
        <v>0</v>
      </c>
      <c r="X812" s="305">
        <f t="shared" si="382"/>
        <v>0</v>
      </c>
      <c r="Y812" s="305">
        <f t="shared" si="382"/>
        <v>0</v>
      </c>
      <c r="Z812" s="305">
        <f t="shared" si="382"/>
        <v>0</v>
      </c>
      <c r="AA812" s="305">
        <f t="shared" si="382"/>
        <v>0</v>
      </c>
      <c r="AB812" s="305">
        <f t="shared" si="382"/>
        <v>0</v>
      </c>
      <c r="AC812" s="305">
        <f t="shared" si="382"/>
        <v>0</v>
      </c>
      <c r="AD812" s="305">
        <f t="shared" si="382"/>
        <v>0</v>
      </c>
      <c r="AE812" s="305">
        <f t="shared" si="382"/>
        <v>0</v>
      </c>
      <c r="AF812" s="305">
        <f t="shared" si="382"/>
        <v>0</v>
      </c>
      <c r="AG812" s="305">
        <f t="shared" si="382"/>
        <v>0</v>
      </c>
      <c r="AH812" s="305">
        <f t="shared" si="382"/>
        <v>0</v>
      </c>
      <c r="AI812" s="305">
        <f t="shared" si="382"/>
        <v>0</v>
      </c>
      <c r="AJ812" s="305">
        <f t="shared" si="382"/>
        <v>0</v>
      </c>
      <c r="AK812" s="305">
        <f t="shared" si="382"/>
        <v>0</v>
      </c>
      <c r="AL812" s="305">
        <f t="shared" si="382"/>
        <v>0</v>
      </c>
      <c r="AM812" s="305">
        <f t="shared" si="382"/>
        <v>0</v>
      </c>
      <c r="AN812" s="305">
        <f t="shared" si="382"/>
        <v>0</v>
      </c>
      <c r="AO812" s="305">
        <f t="shared" si="382"/>
        <v>0</v>
      </c>
      <c r="AP812" s="305">
        <f t="shared" si="382"/>
        <v>0</v>
      </c>
      <c r="AQ812" s="305">
        <f t="shared" si="382"/>
        <v>0</v>
      </c>
      <c r="AR812" s="305">
        <f t="shared" si="382"/>
        <v>0</v>
      </c>
      <c r="AS812" s="305">
        <f t="shared" si="382"/>
        <v>0</v>
      </c>
      <c r="AT812" s="305">
        <f t="shared" si="382"/>
        <v>0</v>
      </c>
      <c r="AU812" s="305">
        <f t="shared" si="382"/>
        <v>0</v>
      </c>
      <c r="AV812" s="305">
        <f t="shared" si="382"/>
        <v>0</v>
      </c>
    </row>
    <row r="813" spans="1:48" s="229" customFormat="1" ht="15" customHeight="1">
      <c r="A813" s="385"/>
      <c r="B813" s="357"/>
      <c r="C813" s="366"/>
      <c r="D813" s="317"/>
      <c r="E813" s="98"/>
      <c r="F813" s="98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443"/>
      <c r="Z813" s="443"/>
      <c r="AA813" s="443"/>
      <c r="AB813" s="98"/>
      <c r="AC813" s="98"/>
      <c r="AD813" s="98"/>
      <c r="AE813" s="98"/>
      <c r="AF813" s="98"/>
      <c r="AG813" s="98"/>
      <c r="AH813" s="98"/>
      <c r="AI813" s="98"/>
      <c r="AJ813" s="98"/>
      <c r="AK813" s="98"/>
      <c r="AL813" s="98"/>
      <c r="AM813" s="98"/>
      <c r="AN813" s="98"/>
      <c r="AO813" s="98"/>
      <c r="AP813" s="98"/>
      <c r="AQ813" s="98"/>
      <c r="AR813" s="98"/>
      <c r="AS813" s="98"/>
      <c r="AT813" s="98"/>
      <c r="AU813" s="98"/>
      <c r="AV813" s="98"/>
    </row>
    <row r="814" spans="1:48" s="160" customFormat="1" ht="15" customHeight="1">
      <c r="A814" s="164" t="s">
        <v>1074</v>
      </c>
      <c r="B814" s="162"/>
      <c r="C814" s="315"/>
      <c r="D814" s="386"/>
      <c r="E814" s="162"/>
      <c r="F814" s="162"/>
      <c r="G814" s="162"/>
      <c r="H814" s="162"/>
    </row>
    <row r="815" spans="1:48" s="3" customFormat="1" ht="15" customHeight="1">
      <c r="C815" s="434"/>
      <c r="D815" s="850"/>
    </row>
    <row r="816" spans="1:48" s="3" customFormat="1" ht="15" customHeight="1">
      <c r="B816" s="111" t="s">
        <v>1072</v>
      </c>
      <c r="C816" s="434"/>
      <c r="D816" s="850"/>
    </row>
    <row r="817" spans="2:48" s="3" customFormat="1" ht="15" customHeight="1">
      <c r="B817" s="111"/>
      <c r="C817" s="434"/>
      <c r="D817" s="850"/>
      <c r="E817" s="108" t="str">
        <f xml:space="preserve"> 'T&amp;E'!E$9</f>
        <v>Model calendar year</v>
      </c>
      <c r="F817" s="108">
        <f xml:space="preserve"> 'T&amp;E'!F$9</f>
        <v>0</v>
      </c>
      <c r="G817" s="108" t="str">
        <f xml:space="preserve"> 'T&amp;E'!G$9</f>
        <v>year</v>
      </c>
      <c r="H817" s="108">
        <f xml:space="preserve"> 'T&amp;E'!H$9</f>
        <v>0</v>
      </c>
      <c r="I817" s="108">
        <f xml:space="preserve"> 'T&amp;E'!I$9</f>
        <v>0</v>
      </c>
      <c r="J817" s="108">
        <f xml:space="preserve"> 'T&amp;E'!J$9</f>
        <v>0</v>
      </c>
      <c r="K817" s="108">
        <f xml:space="preserve"> 'T&amp;E'!K$9</f>
        <v>0</v>
      </c>
      <c r="L817" s="108">
        <f xml:space="preserve"> 'T&amp;E'!L$9</f>
        <v>2014</v>
      </c>
      <c r="M817" s="108">
        <f xml:space="preserve"> 'T&amp;E'!M$9</f>
        <v>2015</v>
      </c>
      <c r="N817" s="108">
        <f xml:space="preserve"> 'T&amp;E'!N$9</f>
        <v>2016</v>
      </c>
      <c r="O817" s="108">
        <f xml:space="preserve"> 'T&amp;E'!O$9</f>
        <v>2017</v>
      </c>
      <c r="P817" s="108">
        <f xml:space="preserve"> 'T&amp;E'!P$9</f>
        <v>2018</v>
      </c>
      <c r="Q817" s="108">
        <f xml:space="preserve"> 'T&amp;E'!Q$9</f>
        <v>2019</v>
      </c>
      <c r="R817" s="108">
        <f xml:space="preserve"> 'T&amp;E'!R$9</f>
        <v>2020</v>
      </c>
      <c r="S817" s="108">
        <f xml:space="preserve"> 'T&amp;E'!S$9</f>
        <v>2021</v>
      </c>
      <c r="T817" s="108">
        <f xml:space="preserve"> 'T&amp;E'!T$9</f>
        <v>2022</v>
      </c>
      <c r="U817" s="108">
        <f xml:space="preserve"> 'T&amp;E'!U$9</f>
        <v>2023</v>
      </c>
      <c r="V817" s="108">
        <f xml:space="preserve"> 'T&amp;E'!V$9</f>
        <v>2024</v>
      </c>
      <c r="W817" s="108">
        <f xml:space="preserve"> 'T&amp;E'!W$9</f>
        <v>2025</v>
      </c>
      <c r="X817" s="108">
        <f xml:space="preserve"> 'T&amp;E'!X$9</f>
        <v>2026</v>
      </c>
      <c r="Y817" s="108">
        <f xml:space="preserve"> 'T&amp;E'!Y$9</f>
        <v>2027</v>
      </c>
      <c r="Z817" s="108">
        <f xml:space="preserve"> 'T&amp;E'!Z$9</f>
        <v>2028</v>
      </c>
      <c r="AA817" s="108">
        <f xml:space="preserve"> 'T&amp;E'!AA$9</f>
        <v>2029</v>
      </c>
      <c r="AB817" s="108">
        <f xml:space="preserve"> 'T&amp;E'!AB$9</f>
        <v>2030</v>
      </c>
      <c r="AC817" s="108">
        <f xml:space="preserve"> 'T&amp;E'!AC$9</f>
        <v>2031</v>
      </c>
      <c r="AD817" s="108">
        <f xml:space="preserve"> 'T&amp;E'!AD$9</f>
        <v>2032</v>
      </c>
      <c r="AE817" s="108">
        <f xml:space="preserve"> 'T&amp;E'!AE$9</f>
        <v>2033</v>
      </c>
      <c r="AF817" s="108">
        <f xml:space="preserve"> 'T&amp;E'!AF$9</f>
        <v>2034</v>
      </c>
      <c r="AG817" s="108">
        <f xml:space="preserve"> 'T&amp;E'!AG$9</f>
        <v>2035</v>
      </c>
      <c r="AH817" s="108">
        <f xml:space="preserve"> 'T&amp;E'!AH$9</f>
        <v>2036</v>
      </c>
      <c r="AI817" s="108">
        <f xml:space="preserve"> 'T&amp;E'!AI$9</f>
        <v>2037</v>
      </c>
      <c r="AJ817" s="108">
        <f xml:space="preserve"> 'T&amp;E'!AJ$9</f>
        <v>2038</v>
      </c>
      <c r="AK817" s="108">
        <f xml:space="preserve"> 'T&amp;E'!AK$9</f>
        <v>2039</v>
      </c>
      <c r="AL817" s="108">
        <f xml:space="preserve"> 'T&amp;E'!AL$9</f>
        <v>2040</v>
      </c>
      <c r="AM817" s="108">
        <f xml:space="preserve"> 'T&amp;E'!AM$9</f>
        <v>2041</v>
      </c>
      <c r="AN817" s="108">
        <f xml:space="preserve"> 'T&amp;E'!AN$9</f>
        <v>2042</v>
      </c>
      <c r="AO817" s="108">
        <f xml:space="preserve"> 'T&amp;E'!AO$9</f>
        <v>2043</v>
      </c>
      <c r="AP817" s="108">
        <f xml:space="preserve"> 'T&amp;E'!AP$9</f>
        <v>2044</v>
      </c>
      <c r="AQ817" s="108">
        <f xml:space="preserve"> 'T&amp;E'!AQ$9</f>
        <v>2045</v>
      </c>
      <c r="AR817" s="108">
        <f xml:space="preserve"> 'T&amp;E'!AR$9</f>
        <v>2046</v>
      </c>
      <c r="AS817" s="108">
        <f xml:space="preserve"> 'T&amp;E'!AS$9</f>
        <v>2047</v>
      </c>
      <c r="AT817" s="108">
        <f xml:space="preserve"> 'T&amp;E'!AT$9</f>
        <v>2048</v>
      </c>
      <c r="AU817" s="108">
        <f xml:space="preserve"> 'T&amp;E'!AU$9</f>
        <v>2049</v>
      </c>
      <c r="AV817" s="108">
        <f xml:space="preserve"> 'T&amp;E'!AV$9</f>
        <v>2050</v>
      </c>
    </row>
    <row r="818" spans="2:48" s="3" customFormat="1" ht="15" customHeight="1">
      <c r="B818" s="111"/>
      <c r="C818" s="434" t="s">
        <v>18</v>
      </c>
      <c r="D818" s="850"/>
    </row>
    <row r="819" spans="2:48" s="8" customFormat="1" ht="15" customHeight="1">
      <c r="C819" s="478"/>
      <c r="D819" s="860"/>
      <c r="E819" s="8" t="str">
        <f t="shared" ref="E819:AV819" si="383" xml:space="preserve"> E$16</f>
        <v>Copper production 2022Fs + actuals</v>
      </c>
      <c r="F819" s="8">
        <f t="shared" si="383"/>
        <v>0</v>
      </c>
      <c r="G819" s="8" t="str">
        <f t="shared" si="383"/>
        <v>KT Cu</v>
      </c>
      <c r="H819" s="8">
        <f t="shared" si="383"/>
        <v>0</v>
      </c>
      <c r="I819" s="8">
        <f t="shared" si="383"/>
        <v>0</v>
      </c>
      <c r="J819" s="8">
        <f t="shared" si="383"/>
        <v>1421.0743320093752</v>
      </c>
      <c r="K819" s="8">
        <f t="shared" si="383"/>
        <v>0</v>
      </c>
      <c r="L819" s="8">
        <f t="shared" si="383"/>
        <v>0</v>
      </c>
      <c r="M819" s="8">
        <f t="shared" si="383"/>
        <v>0</v>
      </c>
      <c r="N819" s="8">
        <f t="shared" si="383"/>
        <v>0</v>
      </c>
      <c r="O819" s="8">
        <f t="shared" si="383"/>
        <v>0</v>
      </c>
      <c r="P819" s="8">
        <f t="shared" si="383"/>
        <v>9.2255633513999982</v>
      </c>
      <c r="Q819" s="8">
        <f t="shared" si="383"/>
        <v>95.205768657975369</v>
      </c>
      <c r="R819" s="8">
        <f t="shared" si="383"/>
        <v>80.311999999999998</v>
      </c>
      <c r="S819" s="8">
        <f t="shared" si="383"/>
        <v>94.807000000000002</v>
      </c>
      <c r="T819" s="8">
        <f t="shared" si="383"/>
        <v>97.94</v>
      </c>
      <c r="U819" s="8">
        <f t="shared" si="383"/>
        <v>102.006</v>
      </c>
      <c r="V819" s="8">
        <f t="shared" si="383"/>
        <v>104.669</v>
      </c>
      <c r="W819" s="8">
        <f t="shared" si="383"/>
        <v>105.101</v>
      </c>
      <c r="X819" s="8">
        <f t="shared" si="383"/>
        <v>105.002</v>
      </c>
      <c r="Y819" s="8">
        <f t="shared" si="383"/>
        <v>105.956</v>
      </c>
      <c r="Z819" s="8">
        <f t="shared" si="383"/>
        <v>105.003</v>
      </c>
      <c r="AA819" s="8">
        <f t="shared" si="383"/>
        <v>104.33199999999999</v>
      </c>
      <c r="AB819" s="8">
        <f t="shared" si="383"/>
        <v>105.002</v>
      </c>
      <c r="AC819" s="8">
        <f t="shared" si="383"/>
        <v>104.504</v>
      </c>
      <c r="AD819" s="8">
        <f t="shared" si="383"/>
        <v>102.009</v>
      </c>
      <c r="AE819" s="8">
        <f t="shared" si="383"/>
        <v>0</v>
      </c>
      <c r="AF819" s="8">
        <f t="shared" si="383"/>
        <v>0</v>
      </c>
      <c r="AG819" s="8">
        <f t="shared" si="383"/>
        <v>0</v>
      </c>
      <c r="AH819" s="8">
        <f t="shared" si="383"/>
        <v>0</v>
      </c>
      <c r="AI819" s="8">
        <f t="shared" si="383"/>
        <v>0</v>
      </c>
      <c r="AJ819" s="8">
        <f t="shared" si="383"/>
        <v>0</v>
      </c>
      <c r="AK819" s="8">
        <f t="shared" si="383"/>
        <v>0</v>
      </c>
      <c r="AL819" s="8">
        <f t="shared" si="383"/>
        <v>0</v>
      </c>
      <c r="AM819" s="8">
        <f t="shared" si="383"/>
        <v>0</v>
      </c>
      <c r="AN819" s="8">
        <f t="shared" si="383"/>
        <v>0</v>
      </c>
      <c r="AO819" s="8">
        <f t="shared" si="383"/>
        <v>0</v>
      </c>
      <c r="AP819" s="8">
        <f t="shared" si="383"/>
        <v>0</v>
      </c>
      <c r="AQ819" s="8">
        <f t="shared" si="383"/>
        <v>0</v>
      </c>
      <c r="AR819" s="8">
        <f t="shared" si="383"/>
        <v>0</v>
      </c>
      <c r="AS819" s="8">
        <f t="shared" si="383"/>
        <v>0</v>
      </c>
      <c r="AT819" s="8">
        <f t="shared" si="383"/>
        <v>0</v>
      </c>
      <c r="AU819" s="8">
        <f t="shared" si="383"/>
        <v>0</v>
      </c>
      <c r="AV819" s="8">
        <f t="shared" si="383"/>
        <v>0</v>
      </c>
    </row>
    <row r="820" spans="2:48" s="6" customFormat="1" ht="15" customHeight="1">
      <c r="C820" s="96"/>
      <c r="D820" s="369"/>
      <c r="E820" s="8" t="str">
        <f t="shared" ref="E820:AV820" si="384" xml:space="preserve"> E$26</f>
        <v xml:space="preserve">Cobalt production 2022FS + actuals </v>
      </c>
      <c r="F820" s="8">
        <f t="shared" si="384"/>
        <v>0</v>
      </c>
      <c r="G820" s="8" t="str">
        <f t="shared" si="384"/>
        <v>KT</v>
      </c>
      <c r="H820" s="8">
        <f t="shared" si="384"/>
        <v>0</v>
      </c>
      <c r="I820" s="8">
        <f t="shared" si="384"/>
        <v>0</v>
      </c>
      <c r="J820" s="8">
        <f t="shared" si="384"/>
        <v>280.82510633243999</v>
      </c>
      <c r="K820" s="8">
        <f t="shared" si="384"/>
        <v>0</v>
      </c>
      <c r="L820" s="8">
        <f t="shared" si="384"/>
        <v>0</v>
      </c>
      <c r="M820" s="8">
        <f t="shared" si="384"/>
        <v>0</v>
      </c>
      <c r="N820" s="8">
        <f t="shared" si="384"/>
        <v>0</v>
      </c>
      <c r="O820" s="8">
        <f t="shared" si="384"/>
        <v>0</v>
      </c>
      <c r="P820" s="8">
        <f t="shared" si="384"/>
        <v>0.20840302079999998</v>
      </c>
      <c r="Q820" s="8">
        <f t="shared" si="384"/>
        <v>18.932703311639997</v>
      </c>
      <c r="R820" s="8">
        <f t="shared" si="384"/>
        <v>16.391999999999999</v>
      </c>
      <c r="S820" s="8">
        <f t="shared" si="384"/>
        <v>20.74</v>
      </c>
      <c r="T820" s="8">
        <f t="shared" si="384"/>
        <v>22.472999999999999</v>
      </c>
      <c r="U820" s="8">
        <f t="shared" si="384"/>
        <v>20.558</v>
      </c>
      <c r="V820" s="8">
        <f t="shared" si="384"/>
        <v>20.343</v>
      </c>
      <c r="W820" s="8">
        <f t="shared" si="384"/>
        <v>20.257000000000001</v>
      </c>
      <c r="X820" s="8">
        <f t="shared" si="384"/>
        <v>19.748999999999999</v>
      </c>
      <c r="Y820" s="8">
        <f t="shared" si="384"/>
        <v>18.649999999999999</v>
      </c>
      <c r="Z820" s="8">
        <f t="shared" si="384"/>
        <v>20.103999999999999</v>
      </c>
      <c r="AA820" s="8">
        <f t="shared" si="384"/>
        <v>20.074999999999999</v>
      </c>
      <c r="AB820" s="8">
        <f t="shared" si="384"/>
        <v>18.96</v>
      </c>
      <c r="AC820" s="8">
        <f t="shared" si="384"/>
        <v>21.318999999999999</v>
      </c>
      <c r="AD820" s="8">
        <f t="shared" si="384"/>
        <v>22.064</v>
      </c>
      <c r="AE820" s="8">
        <f t="shared" si="384"/>
        <v>0</v>
      </c>
      <c r="AF820" s="8">
        <f t="shared" si="384"/>
        <v>0</v>
      </c>
      <c r="AG820" s="8">
        <f t="shared" si="384"/>
        <v>0</v>
      </c>
      <c r="AH820" s="8">
        <f t="shared" si="384"/>
        <v>0</v>
      </c>
      <c r="AI820" s="8">
        <f t="shared" si="384"/>
        <v>0</v>
      </c>
      <c r="AJ820" s="8">
        <f t="shared" si="384"/>
        <v>0</v>
      </c>
      <c r="AK820" s="8">
        <f t="shared" si="384"/>
        <v>0</v>
      </c>
      <c r="AL820" s="8">
        <f t="shared" si="384"/>
        <v>0</v>
      </c>
      <c r="AM820" s="8">
        <f t="shared" si="384"/>
        <v>0</v>
      </c>
      <c r="AN820" s="8">
        <f t="shared" si="384"/>
        <v>0</v>
      </c>
      <c r="AO820" s="8">
        <f t="shared" si="384"/>
        <v>0</v>
      </c>
      <c r="AP820" s="8">
        <f t="shared" si="384"/>
        <v>0</v>
      </c>
      <c r="AQ820" s="8">
        <f t="shared" si="384"/>
        <v>0</v>
      </c>
      <c r="AR820" s="8">
        <f t="shared" si="384"/>
        <v>0</v>
      </c>
      <c r="AS820" s="8">
        <f t="shared" si="384"/>
        <v>0</v>
      </c>
      <c r="AT820" s="8">
        <f t="shared" si="384"/>
        <v>0</v>
      </c>
      <c r="AU820" s="8">
        <f t="shared" si="384"/>
        <v>0</v>
      </c>
      <c r="AV820" s="8">
        <f t="shared" si="384"/>
        <v>0</v>
      </c>
    </row>
    <row r="821" spans="2:48" s="6" customFormat="1" ht="15" customHeight="1">
      <c r="C821" s="96" t="s">
        <v>784</v>
      </c>
      <c r="D821" s="36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</row>
    <row r="822" spans="2:48" s="6" customFormat="1" ht="15" customHeight="1">
      <c r="C822" s="96"/>
      <c r="D822" s="369"/>
      <c r="E822" s="8" t="str">
        <f t="shared" ref="E822:AV822" si="385" xml:space="preserve"> E$174</f>
        <v>Copper gross revenue (at realized prices)</v>
      </c>
      <c r="F822" s="8">
        <f t="shared" si="385"/>
        <v>0</v>
      </c>
      <c r="G822" s="8" t="str">
        <f t="shared" si="385"/>
        <v>$ mn</v>
      </c>
      <c r="H822" s="8">
        <f t="shared" si="385"/>
        <v>0</v>
      </c>
      <c r="I822" s="8">
        <f t="shared" si="385"/>
        <v>0</v>
      </c>
      <c r="J822" s="8">
        <f t="shared" si="385"/>
        <v>11467.694807333486</v>
      </c>
      <c r="K822" s="8">
        <f t="shared" si="385"/>
        <v>0</v>
      </c>
      <c r="L822" s="8">
        <f t="shared" si="385"/>
        <v>0</v>
      </c>
      <c r="M822" s="8">
        <f t="shared" si="385"/>
        <v>0</v>
      </c>
      <c r="N822" s="8">
        <f t="shared" si="385"/>
        <v>0</v>
      </c>
      <c r="O822" s="8">
        <f t="shared" si="385"/>
        <v>0</v>
      </c>
      <c r="P822" s="8">
        <f t="shared" si="385"/>
        <v>56.882825869581119</v>
      </c>
      <c r="Q822" s="8">
        <f t="shared" si="385"/>
        <v>537.90040239011887</v>
      </c>
      <c r="R822" s="8">
        <f t="shared" si="385"/>
        <v>466.86178216090872</v>
      </c>
      <c r="S822" s="8">
        <f t="shared" si="385"/>
        <v>846.94161577854641</v>
      </c>
      <c r="T822" s="8">
        <f t="shared" si="385"/>
        <v>827.43128123694396</v>
      </c>
      <c r="U822" s="8">
        <f t="shared" si="385"/>
        <v>827.53678415828165</v>
      </c>
      <c r="V822" s="8">
        <f t="shared" si="385"/>
        <v>855.37158418205354</v>
      </c>
      <c r="W822" s="8">
        <f t="shared" si="385"/>
        <v>870.43262455927129</v>
      </c>
      <c r="X822" s="8">
        <f t="shared" si="385"/>
        <v>871.18297689339511</v>
      </c>
      <c r="Y822" s="8">
        <f t="shared" si="385"/>
        <v>878.19958614320012</v>
      </c>
      <c r="Z822" s="8">
        <f t="shared" si="385"/>
        <v>869.03680141350003</v>
      </c>
      <c r="AA822" s="8">
        <f t="shared" si="385"/>
        <v>864.81700401760008</v>
      </c>
      <c r="AB822" s="8">
        <f t="shared" si="385"/>
        <v>890.0243598372424</v>
      </c>
      <c r="AC822" s="8">
        <f t="shared" si="385"/>
        <v>904.18180084522714</v>
      </c>
      <c r="AD822" s="8">
        <f t="shared" si="385"/>
        <v>900.89337784761744</v>
      </c>
      <c r="AE822" s="8">
        <f t="shared" si="385"/>
        <v>0</v>
      </c>
      <c r="AF822" s="8">
        <f t="shared" si="385"/>
        <v>0</v>
      </c>
      <c r="AG822" s="8">
        <f t="shared" si="385"/>
        <v>0</v>
      </c>
      <c r="AH822" s="8">
        <f t="shared" si="385"/>
        <v>0</v>
      </c>
      <c r="AI822" s="8">
        <f t="shared" si="385"/>
        <v>0</v>
      </c>
      <c r="AJ822" s="8">
        <f t="shared" si="385"/>
        <v>0</v>
      </c>
      <c r="AK822" s="8">
        <f t="shared" si="385"/>
        <v>0</v>
      </c>
      <c r="AL822" s="8">
        <f t="shared" si="385"/>
        <v>0</v>
      </c>
      <c r="AM822" s="8">
        <f t="shared" si="385"/>
        <v>0</v>
      </c>
      <c r="AN822" s="8">
        <f t="shared" si="385"/>
        <v>0</v>
      </c>
      <c r="AO822" s="8">
        <f t="shared" si="385"/>
        <v>0</v>
      </c>
      <c r="AP822" s="8">
        <f t="shared" si="385"/>
        <v>0</v>
      </c>
      <c r="AQ822" s="8">
        <f t="shared" si="385"/>
        <v>0</v>
      </c>
      <c r="AR822" s="8">
        <f t="shared" si="385"/>
        <v>0</v>
      </c>
      <c r="AS822" s="8">
        <f t="shared" si="385"/>
        <v>0</v>
      </c>
      <c r="AT822" s="8">
        <f t="shared" si="385"/>
        <v>0</v>
      </c>
      <c r="AU822" s="8">
        <f t="shared" si="385"/>
        <v>0</v>
      </c>
      <c r="AV822" s="8">
        <f t="shared" si="385"/>
        <v>0</v>
      </c>
    </row>
    <row r="823" spans="2:48" s="6" customFormat="1" ht="15" customHeight="1">
      <c r="C823" s="96"/>
      <c r="D823" s="369"/>
      <c r="E823" s="8" t="str">
        <f t="shared" ref="E823:AV823" si="386" xml:space="preserve"> E$184</f>
        <v>Cobalt gross revenue (at realized prices)</v>
      </c>
      <c r="F823" s="8">
        <f t="shared" si="386"/>
        <v>0</v>
      </c>
      <c r="G823" s="8" t="str">
        <f t="shared" si="386"/>
        <v>$ mn</v>
      </c>
      <c r="H823" s="8">
        <f t="shared" si="386"/>
        <v>0</v>
      </c>
      <c r="I823" s="8">
        <f t="shared" si="386"/>
        <v>0</v>
      </c>
      <c r="J823" s="8">
        <f t="shared" si="386"/>
        <v>7544.2272910711363</v>
      </c>
      <c r="K823" s="8">
        <f t="shared" si="386"/>
        <v>0</v>
      </c>
      <c r="L823" s="8">
        <f t="shared" si="386"/>
        <v>0</v>
      </c>
      <c r="M823" s="8">
        <f t="shared" si="386"/>
        <v>0</v>
      </c>
      <c r="N823" s="8">
        <f t="shared" si="386"/>
        <v>0</v>
      </c>
      <c r="O823" s="8">
        <f t="shared" si="386"/>
        <v>0</v>
      </c>
      <c r="P823" s="8">
        <f t="shared" si="386"/>
        <v>10.253428059846346</v>
      </c>
      <c r="Q823" s="8">
        <f t="shared" si="386"/>
        <v>408.69518197966062</v>
      </c>
      <c r="R823" s="8">
        <f t="shared" si="386"/>
        <v>334.11109565874864</v>
      </c>
      <c r="S823" s="8">
        <f t="shared" si="386"/>
        <v>707.98561665940747</v>
      </c>
      <c r="T823" s="8">
        <f t="shared" si="386"/>
        <v>962.82272674877015</v>
      </c>
      <c r="U823" s="8">
        <f t="shared" si="386"/>
        <v>459.45869682312974</v>
      </c>
      <c r="V823" s="8">
        <f t="shared" si="386"/>
        <v>342.2851374481404</v>
      </c>
      <c r="W823" s="8">
        <f t="shared" si="386"/>
        <v>533.32637908197103</v>
      </c>
      <c r="X823" s="8">
        <f t="shared" si="386"/>
        <v>519.95175299846198</v>
      </c>
      <c r="Y823" s="8">
        <f t="shared" si="386"/>
        <v>491.01727649102816</v>
      </c>
      <c r="Z823" s="8">
        <f t="shared" si="386"/>
        <v>529.29819445445742</v>
      </c>
      <c r="AA823" s="8">
        <f t="shared" si="386"/>
        <v>528.53468233551689</v>
      </c>
      <c r="AB823" s="8">
        <f t="shared" si="386"/>
        <v>510.64196185793799</v>
      </c>
      <c r="AC823" s="8">
        <f t="shared" si="386"/>
        <v>586.28641494261217</v>
      </c>
      <c r="AD823" s="8">
        <f t="shared" si="386"/>
        <v>619.55874553144668</v>
      </c>
      <c r="AE823" s="8">
        <f t="shared" si="386"/>
        <v>0</v>
      </c>
      <c r="AF823" s="8">
        <f t="shared" si="386"/>
        <v>0</v>
      </c>
      <c r="AG823" s="8">
        <f t="shared" si="386"/>
        <v>0</v>
      </c>
      <c r="AH823" s="8">
        <f t="shared" si="386"/>
        <v>0</v>
      </c>
      <c r="AI823" s="8">
        <f t="shared" si="386"/>
        <v>0</v>
      </c>
      <c r="AJ823" s="8">
        <f t="shared" si="386"/>
        <v>0</v>
      </c>
      <c r="AK823" s="8">
        <f t="shared" si="386"/>
        <v>0</v>
      </c>
      <c r="AL823" s="8">
        <f t="shared" si="386"/>
        <v>0</v>
      </c>
      <c r="AM823" s="8">
        <f t="shared" si="386"/>
        <v>0</v>
      </c>
      <c r="AN823" s="8">
        <f t="shared" si="386"/>
        <v>0</v>
      </c>
      <c r="AO823" s="8">
        <f t="shared" si="386"/>
        <v>0</v>
      </c>
      <c r="AP823" s="8">
        <f t="shared" si="386"/>
        <v>0</v>
      </c>
      <c r="AQ823" s="8">
        <f t="shared" si="386"/>
        <v>0</v>
      </c>
      <c r="AR823" s="8">
        <f t="shared" si="386"/>
        <v>0</v>
      </c>
      <c r="AS823" s="8">
        <f t="shared" si="386"/>
        <v>0</v>
      </c>
      <c r="AT823" s="8">
        <f t="shared" si="386"/>
        <v>0</v>
      </c>
      <c r="AU823" s="8">
        <f t="shared" si="386"/>
        <v>0</v>
      </c>
      <c r="AV823" s="8">
        <f t="shared" si="386"/>
        <v>0</v>
      </c>
    </row>
    <row r="824" spans="2:48" s="6" customFormat="1" ht="15" customHeight="1">
      <c r="C824" s="96"/>
      <c r="D824" s="369"/>
      <c r="E824" s="539" t="str">
        <f t="shared" ref="E824:AV824" si="387" xml:space="preserve"> E$189</f>
        <v>Copper plus Cobalt revenue</v>
      </c>
      <c r="F824" s="539">
        <f t="shared" si="387"/>
        <v>0</v>
      </c>
      <c r="G824" s="539" t="str">
        <f t="shared" si="387"/>
        <v>$ mn</v>
      </c>
      <c r="H824" s="539">
        <f t="shared" si="387"/>
        <v>0</v>
      </c>
      <c r="I824" s="539">
        <f t="shared" si="387"/>
        <v>0</v>
      </c>
      <c r="J824" s="539">
        <f t="shared" si="387"/>
        <v>19011.922098404622</v>
      </c>
      <c r="K824" s="539">
        <f t="shared" si="387"/>
        <v>0</v>
      </c>
      <c r="L824" s="539">
        <f t="shared" si="387"/>
        <v>0</v>
      </c>
      <c r="M824" s="539">
        <f t="shared" si="387"/>
        <v>0</v>
      </c>
      <c r="N824" s="539">
        <f t="shared" si="387"/>
        <v>0</v>
      </c>
      <c r="O824" s="539">
        <f t="shared" si="387"/>
        <v>0</v>
      </c>
      <c r="P824" s="539">
        <f t="shared" si="387"/>
        <v>67.136253929427468</v>
      </c>
      <c r="Q824" s="539">
        <f t="shared" si="387"/>
        <v>946.59558436977954</v>
      </c>
      <c r="R824" s="539">
        <f t="shared" si="387"/>
        <v>800.97287781965736</v>
      </c>
      <c r="S824" s="539">
        <f t="shared" si="387"/>
        <v>1554.927232437954</v>
      </c>
      <c r="T824" s="539">
        <f t="shared" si="387"/>
        <v>1790.254007985714</v>
      </c>
      <c r="U824" s="539">
        <f t="shared" si="387"/>
        <v>1286.9954809814114</v>
      </c>
      <c r="V824" s="539">
        <f t="shared" si="387"/>
        <v>1197.6567216301939</v>
      </c>
      <c r="W824" s="539">
        <f t="shared" si="387"/>
        <v>1403.7590036412423</v>
      </c>
      <c r="X824" s="539">
        <f t="shared" si="387"/>
        <v>1391.1347298918572</v>
      </c>
      <c r="Y824" s="539">
        <f t="shared" si="387"/>
        <v>1369.2168626342282</v>
      </c>
      <c r="Z824" s="539">
        <f t="shared" si="387"/>
        <v>1398.3349958679573</v>
      </c>
      <c r="AA824" s="539">
        <f t="shared" si="387"/>
        <v>1393.351686353117</v>
      </c>
      <c r="AB824" s="539">
        <f t="shared" si="387"/>
        <v>1400.6663216951804</v>
      </c>
      <c r="AC824" s="539">
        <f t="shared" si="387"/>
        <v>1490.4682157878392</v>
      </c>
      <c r="AD824" s="539">
        <f t="shared" si="387"/>
        <v>1520.4521233790642</v>
      </c>
      <c r="AE824" s="539">
        <f t="shared" si="387"/>
        <v>0</v>
      </c>
      <c r="AF824" s="539">
        <f t="shared" si="387"/>
        <v>0</v>
      </c>
      <c r="AG824" s="539">
        <f t="shared" si="387"/>
        <v>0</v>
      </c>
      <c r="AH824" s="539">
        <f t="shared" si="387"/>
        <v>0</v>
      </c>
      <c r="AI824" s="539">
        <f t="shared" si="387"/>
        <v>0</v>
      </c>
      <c r="AJ824" s="539">
        <f t="shared" si="387"/>
        <v>0</v>
      </c>
      <c r="AK824" s="539">
        <f t="shared" si="387"/>
        <v>0</v>
      </c>
      <c r="AL824" s="539">
        <f t="shared" si="387"/>
        <v>0</v>
      </c>
      <c r="AM824" s="539">
        <f t="shared" si="387"/>
        <v>0</v>
      </c>
      <c r="AN824" s="539">
        <f t="shared" si="387"/>
        <v>0</v>
      </c>
      <c r="AO824" s="539">
        <f t="shared" si="387"/>
        <v>0</v>
      </c>
      <c r="AP824" s="539">
        <f t="shared" si="387"/>
        <v>0</v>
      </c>
      <c r="AQ824" s="539">
        <f t="shared" si="387"/>
        <v>0</v>
      </c>
      <c r="AR824" s="539">
        <f t="shared" si="387"/>
        <v>0</v>
      </c>
      <c r="AS824" s="539">
        <f t="shared" si="387"/>
        <v>0</v>
      </c>
      <c r="AT824" s="539">
        <f t="shared" si="387"/>
        <v>0</v>
      </c>
      <c r="AU824" s="539">
        <f t="shared" si="387"/>
        <v>0</v>
      </c>
      <c r="AV824" s="539">
        <f t="shared" si="387"/>
        <v>0</v>
      </c>
    </row>
    <row r="825" spans="2:48" s="8" customFormat="1" ht="5.0999999999999996" customHeight="1">
      <c r="C825" s="478"/>
      <c r="D825" s="860"/>
    </row>
    <row r="826" spans="2:48" s="3" customFormat="1" ht="15" customHeight="1">
      <c r="C826" s="434"/>
      <c r="D826" s="850"/>
      <c r="E826" s="8" t="str">
        <f t="shared" ref="E826:AV826" si="388" xml:space="preserve"> E$205</f>
        <v>Freight, Insurance &amp; Sales 2019TR: Cu</v>
      </c>
      <c r="F826" s="8">
        <f t="shared" si="388"/>
        <v>0</v>
      </c>
      <c r="G826" s="8" t="str">
        <f t="shared" si="388"/>
        <v>$ mn</v>
      </c>
      <c r="H826" s="8">
        <f t="shared" si="388"/>
        <v>0</v>
      </c>
      <c r="I826" s="8">
        <f t="shared" si="388"/>
        <v>0</v>
      </c>
      <c r="J826" s="8">
        <f t="shared" si="388"/>
        <v>0</v>
      </c>
      <c r="K826" s="8">
        <f t="shared" si="388"/>
        <v>0</v>
      </c>
      <c r="L826" s="8">
        <f t="shared" si="388"/>
        <v>0</v>
      </c>
      <c r="M826" s="8">
        <f t="shared" si="388"/>
        <v>0</v>
      </c>
      <c r="N826" s="8">
        <f t="shared" si="388"/>
        <v>0</v>
      </c>
      <c r="O826" s="8">
        <f t="shared" si="388"/>
        <v>0</v>
      </c>
      <c r="P826" s="8">
        <f t="shared" si="388"/>
        <v>0</v>
      </c>
      <c r="Q826" s="8">
        <f t="shared" si="388"/>
        <v>0</v>
      </c>
      <c r="R826" s="8">
        <f t="shared" si="388"/>
        <v>0</v>
      </c>
      <c r="S826" s="8">
        <f t="shared" si="388"/>
        <v>0</v>
      </c>
      <c r="T826" s="8">
        <f t="shared" si="388"/>
        <v>0</v>
      </c>
      <c r="U826" s="8">
        <f t="shared" si="388"/>
        <v>0</v>
      </c>
      <c r="V826" s="8">
        <f t="shared" si="388"/>
        <v>0</v>
      </c>
      <c r="W826" s="8">
        <f t="shared" si="388"/>
        <v>0</v>
      </c>
      <c r="X826" s="8">
        <f t="shared" si="388"/>
        <v>0</v>
      </c>
      <c r="Y826" s="8">
        <f t="shared" si="388"/>
        <v>0</v>
      </c>
      <c r="Z826" s="8">
        <f t="shared" si="388"/>
        <v>0</v>
      </c>
      <c r="AA826" s="8">
        <f t="shared" si="388"/>
        <v>0</v>
      </c>
      <c r="AB826" s="8">
        <f t="shared" si="388"/>
        <v>0</v>
      </c>
      <c r="AC826" s="8">
        <f t="shared" si="388"/>
        <v>0</v>
      </c>
      <c r="AD826" s="8">
        <f t="shared" si="388"/>
        <v>0</v>
      </c>
      <c r="AE826" s="8">
        <f t="shared" si="388"/>
        <v>0</v>
      </c>
      <c r="AF826" s="8">
        <f t="shared" si="388"/>
        <v>0</v>
      </c>
      <c r="AG826" s="8">
        <f t="shared" si="388"/>
        <v>0</v>
      </c>
      <c r="AH826" s="8">
        <f t="shared" si="388"/>
        <v>0</v>
      </c>
      <c r="AI826" s="8">
        <f t="shared" si="388"/>
        <v>0</v>
      </c>
      <c r="AJ826" s="8">
        <f t="shared" si="388"/>
        <v>0</v>
      </c>
      <c r="AK826" s="8">
        <f t="shared" si="388"/>
        <v>0</v>
      </c>
      <c r="AL826" s="8">
        <f t="shared" si="388"/>
        <v>0</v>
      </c>
      <c r="AM826" s="8">
        <f t="shared" si="388"/>
        <v>0</v>
      </c>
      <c r="AN826" s="8">
        <f t="shared" si="388"/>
        <v>0</v>
      </c>
      <c r="AO826" s="8">
        <f t="shared" si="388"/>
        <v>0</v>
      </c>
      <c r="AP826" s="8">
        <f t="shared" si="388"/>
        <v>0</v>
      </c>
      <c r="AQ826" s="8">
        <f t="shared" si="388"/>
        <v>0</v>
      </c>
      <c r="AR826" s="8">
        <f t="shared" si="388"/>
        <v>0</v>
      </c>
      <c r="AS826" s="8">
        <f t="shared" si="388"/>
        <v>0</v>
      </c>
      <c r="AT826" s="8">
        <f t="shared" si="388"/>
        <v>0</v>
      </c>
      <c r="AU826" s="8">
        <f t="shared" si="388"/>
        <v>0</v>
      </c>
      <c r="AV826" s="8">
        <f t="shared" si="388"/>
        <v>0</v>
      </c>
    </row>
    <row r="827" spans="2:48" s="3" customFormat="1" ht="15" customHeight="1">
      <c r="C827" s="434"/>
      <c r="D827" s="850"/>
      <c r="E827" s="8" t="str">
        <f t="shared" ref="E827:AV827" si="389" xml:space="preserve"> E$209</f>
        <v>Freight, Insurance &amp; Sales 2019TR: Co</v>
      </c>
      <c r="F827" s="8">
        <f t="shared" si="389"/>
        <v>0</v>
      </c>
      <c r="G827" s="8" t="str">
        <f t="shared" si="389"/>
        <v>$ mn</v>
      </c>
      <c r="H827" s="8">
        <f t="shared" si="389"/>
        <v>0</v>
      </c>
      <c r="I827" s="8">
        <f t="shared" si="389"/>
        <v>0</v>
      </c>
      <c r="J827" s="8">
        <f t="shared" si="389"/>
        <v>0</v>
      </c>
      <c r="K827" s="8">
        <f t="shared" si="389"/>
        <v>0</v>
      </c>
      <c r="L827" s="8">
        <f t="shared" si="389"/>
        <v>0</v>
      </c>
      <c r="M827" s="8">
        <f t="shared" si="389"/>
        <v>0</v>
      </c>
      <c r="N827" s="8">
        <f t="shared" si="389"/>
        <v>0</v>
      </c>
      <c r="O827" s="8">
        <f t="shared" si="389"/>
        <v>0</v>
      </c>
      <c r="P827" s="8">
        <f t="shared" si="389"/>
        <v>0</v>
      </c>
      <c r="Q827" s="8">
        <f t="shared" si="389"/>
        <v>0</v>
      </c>
      <c r="R827" s="8">
        <f t="shared" si="389"/>
        <v>0</v>
      </c>
      <c r="S827" s="8">
        <f t="shared" si="389"/>
        <v>0</v>
      </c>
      <c r="T827" s="8">
        <f t="shared" si="389"/>
        <v>0</v>
      </c>
      <c r="U827" s="8">
        <f t="shared" si="389"/>
        <v>0</v>
      </c>
      <c r="V827" s="8">
        <f t="shared" si="389"/>
        <v>0</v>
      </c>
      <c r="W827" s="8">
        <f t="shared" si="389"/>
        <v>0</v>
      </c>
      <c r="X827" s="8">
        <f t="shared" si="389"/>
        <v>0</v>
      </c>
      <c r="Y827" s="8">
        <f t="shared" si="389"/>
        <v>0</v>
      </c>
      <c r="Z827" s="8">
        <f t="shared" si="389"/>
        <v>0</v>
      </c>
      <c r="AA827" s="8">
        <f t="shared" si="389"/>
        <v>0</v>
      </c>
      <c r="AB827" s="8">
        <f t="shared" si="389"/>
        <v>0</v>
      </c>
      <c r="AC827" s="8">
        <f t="shared" si="389"/>
        <v>0</v>
      </c>
      <c r="AD827" s="8">
        <f t="shared" si="389"/>
        <v>0</v>
      </c>
      <c r="AE827" s="8">
        <f t="shared" si="389"/>
        <v>0</v>
      </c>
      <c r="AF827" s="8">
        <f t="shared" si="389"/>
        <v>0</v>
      </c>
      <c r="AG827" s="8">
        <f t="shared" si="389"/>
        <v>0</v>
      </c>
      <c r="AH827" s="8">
        <f t="shared" si="389"/>
        <v>0</v>
      </c>
      <c r="AI827" s="8">
        <f t="shared" si="389"/>
        <v>0</v>
      </c>
      <c r="AJ827" s="8">
        <f t="shared" si="389"/>
        <v>0</v>
      </c>
      <c r="AK827" s="8">
        <f t="shared" si="389"/>
        <v>0</v>
      </c>
      <c r="AL827" s="8">
        <f t="shared" si="389"/>
        <v>0</v>
      </c>
      <c r="AM827" s="8">
        <f t="shared" si="389"/>
        <v>0</v>
      </c>
      <c r="AN827" s="8">
        <f t="shared" si="389"/>
        <v>0</v>
      </c>
      <c r="AO827" s="8">
        <f t="shared" si="389"/>
        <v>0</v>
      </c>
      <c r="AP827" s="8">
        <f t="shared" si="389"/>
        <v>0</v>
      </c>
      <c r="AQ827" s="8">
        <f t="shared" si="389"/>
        <v>0</v>
      </c>
      <c r="AR827" s="8">
        <f t="shared" si="389"/>
        <v>0</v>
      </c>
      <c r="AS827" s="8">
        <f t="shared" si="389"/>
        <v>0</v>
      </c>
      <c r="AT827" s="8">
        <f t="shared" si="389"/>
        <v>0</v>
      </c>
      <c r="AU827" s="8">
        <f t="shared" si="389"/>
        <v>0</v>
      </c>
      <c r="AV827" s="8">
        <f t="shared" si="389"/>
        <v>0</v>
      </c>
    </row>
    <row r="828" spans="2:48" s="3" customFormat="1" ht="15" customHeight="1">
      <c r="C828" s="434"/>
      <c r="D828" s="850"/>
      <c r="E828" s="539" t="str">
        <f t="shared" ref="E828:AV828" si="390" xml:space="preserve"> E$211</f>
        <v>Realization costs Cu and Co</v>
      </c>
      <c r="F828" s="539">
        <f t="shared" si="390"/>
        <v>0</v>
      </c>
      <c r="G828" s="539" t="str">
        <f t="shared" si="390"/>
        <v>$ mn</v>
      </c>
      <c r="H828" s="539">
        <f t="shared" si="390"/>
        <v>0</v>
      </c>
      <c r="I828" s="539">
        <f t="shared" si="390"/>
        <v>0</v>
      </c>
      <c r="J828" s="539">
        <f t="shared" si="390"/>
        <v>0</v>
      </c>
      <c r="K828" s="539">
        <f t="shared" si="390"/>
        <v>0</v>
      </c>
      <c r="L828" s="539">
        <f t="shared" si="390"/>
        <v>0</v>
      </c>
      <c r="M828" s="539">
        <f t="shared" si="390"/>
        <v>0</v>
      </c>
      <c r="N828" s="539">
        <f t="shared" si="390"/>
        <v>0</v>
      </c>
      <c r="O828" s="539">
        <f t="shared" si="390"/>
        <v>0</v>
      </c>
      <c r="P828" s="539">
        <f t="shared" si="390"/>
        <v>0</v>
      </c>
      <c r="Q828" s="539">
        <f t="shared" si="390"/>
        <v>0</v>
      </c>
      <c r="R828" s="539">
        <f t="shared" si="390"/>
        <v>0</v>
      </c>
      <c r="S828" s="539">
        <f t="shared" si="390"/>
        <v>0</v>
      </c>
      <c r="T828" s="539">
        <f t="shared" si="390"/>
        <v>0</v>
      </c>
      <c r="U828" s="539">
        <f t="shared" si="390"/>
        <v>0</v>
      </c>
      <c r="V828" s="539">
        <f t="shared" si="390"/>
        <v>0</v>
      </c>
      <c r="W828" s="539">
        <f t="shared" si="390"/>
        <v>0</v>
      </c>
      <c r="X828" s="539">
        <f t="shared" si="390"/>
        <v>0</v>
      </c>
      <c r="Y828" s="539">
        <f t="shared" si="390"/>
        <v>0</v>
      </c>
      <c r="Z828" s="539">
        <f t="shared" si="390"/>
        <v>0</v>
      </c>
      <c r="AA828" s="539">
        <f t="shared" si="390"/>
        <v>0</v>
      </c>
      <c r="AB828" s="539">
        <f t="shared" si="390"/>
        <v>0</v>
      </c>
      <c r="AC828" s="539">
        <f t="shared" si="390"/>
        <v>0</v>
      </c>
      <c r="AD828" s="539">
        <f t="shared" si="390"/>
        <v>0</v>
      </c>
      <c r="AE828" s="539">
        <f t="shared" si="390"/>
        <v>0</v>
      </c>
      <c r="AF828" s="539">
        <f t="shared" si="390"/>
        <v>0</v>
      </c>
      <c r="AG828" s="539">
        <f t="shared" si="390"/>
        <v>0</v>
      </c>
      <c r="AH828" s="539">
        <f t="shared" si="390"/>
        <v>0</v>
      </c>
      <c r="AI828" s="539">
        <f t="shared" si="390"/>
        <v>0</v>
      </c>
      <c r="AJ828" s="539">
        <f t="shared" si="390"/>
        <v>0</v>
      </c>
      <c r="AK828" s="539">
        <f t="shared" si="390"/>
        <v>0</v>
      </c>
      <c r="AL828" s="539">
        <f t="shared" si="390"/>
        <v>0</v>
      </c>
      <c r="AM828" s="539">
        <f t="shared" si="390"/>
        <v>0</v>
      </c>
      <c r="AN828" s="539">
        <f t="shared" si="390"/>
        <v>0</v>
      </c>
      <c r="AO828" s="539">
        <f t="shared" si="390"/>
        <v>0</v>
      </c>
      <c r="AP828" s="539">
        <f t="shared" si="390"/>
        <v>0</v>
      </c>
      <c r="AQ828" s="539">
        <f t="shared" si="390"/>
        <v>0</v>
      </c>
      <c r="AR828" s="539">
        <f t="shared" si="390"/>
        <v>0</v>
      </c>
      <c r="AS828" s="539">
        <f t="shared" si="390"/>
        <v>0</v>
      </c>
      <c r="AT828" s="539">
        <f t="shared" si="390"/>
        <v>0</v>
      </c>
      <c r="AU828" s="539">
        <f t="shared" si="390"/>
        <v>0</v>
      </c>
      <c r="AV828" s="539">
        <f t="shared" si="390"/>
        <v>0</v>
      </c>
    </row>
    <row r="829" spans="2:48" s="3" customFormat="1" ht="5.0999999999999996" customHeight="1">
      <c r="C829" s="434"/>
      <c r="D829" s="850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</row>
    <row r="830" spans="2:48" s="3" customFormat="1" ht="15" customHeight="1">
      <c r="C830" s="434"/>
      <c r="D830" s="850"/>
      <c r="E830" s="8" t="str">
        <f t="shared" ref="E830:AV830" si="391" xml:space="preserve"> E$214</f>
        <v>Copper net revenue</v>
      </c>
      <c r="F830" s="8">
        <f t="shared" si="391"/>
        <v>0</v>
      </c>
      <c r="G830" s="8" t="str">
        <f t="shared" si="391"/>
        <v>$ mn</v>
      </c>
      <c r="H830" s="8">
        <f t="shared" si="391"/>
        <v>0</v>
      </c>
      <c r="I830" s="8">
        <f t="shared" si="391"/>
        <v>0</v>
      </c>
      <c r="J830" s="8">
        <f t="shared" si="391"/>
        <v>11467.694807333486</v>
      </c>
      <c r="K830" s="8">
        <f t="shared" si="391"/>
        <v>0</v>
      </c>
      <c r="L830" s="8">
        <f t="shared" si="391"/>
        <v>0</v>
      </c>
      <c r="M830" s="8">
        <f t="shared" si="391"/>
        <v>0</v>
      </c>
      <c r="N830" s="8">
        <f t="shared" si="391"/>
        <v>0</v>
      </c>
      <c r="O830" s="8">
        <f t="shared" si="391"/>
        <v>0</v>
      </c>
      <c r="P830" s="8">
        <f t="shared" si="391"/>
        <v>56.882825869581119</v>
      </c>
      <c r="Q830" s="8">
        <f t="shared" si="391"/>
        <v>537.90040239011887</v>
      </c>
      <c r="R830" s="8">
        <f t="shared" si="391"/>
        <v>466.86178216090872</v>
      </c>
      <c r="S830" s="8">
        <f t="shared" si="391"/>
        <v>846.94161577854641</v>
      </c>
      <c r="T830" s="8">
        <f t="shared" si="391"/>
        <v>827.43128123694396</v>
      </c>
      <c r="U830" s="8">
        <f t="shared" si="391"/>
        <v>827.53678415828165</v>
      </c>
      <c r="V830" s="8">
        <f t="shared" si="391"/>
        <v>855.37158418205354</v>
      </c>
      <c r="W830" s="8">
        <f t="shared" si="391"/>
        <v>870.43262455927129</v>
      </c>
      <c r="X830" s="8">
        <f t="shared" si="391"/>
        <v>871.18297689339511</v>
      </c>
      <c r="Y830" s="8">
        <f t="shared" si="391"/>
        <v>878.19958614320012</v>
      </c>
      <c r="Z830" s="8">
        <f t="shared" si="391"/>
        <v>869.03680141350003</v>
      </c>
      <c r="AA830" s="8">
        <f t="shared" si="391"/>
        <v>864.81700401760008</v>
      </c>
      <c r="AB830" s="8">
        <f t="shared" si="391"/>
        <v>890.0243598372424</v>
      </c>
      <c r="AC830" s="8">
        <f t="shared" si="391"/>
        <v>904.18180084522714</v>
      </c>
      <c r="AD830" s="8">
        <f t="shared" si="391"/>
        <v>900.89337784761744</v>
      </c>
      <c r="AE830" s="8">
        <f t="shared" si="391"/>
        <v>0</v>
      </c>
      <c r="AF830" s="8">
        <f t="shared" si="391"/>
        <v>0</v>
      </c>
      <c r="AG830" s="8">
        <f t="shared" si="391"/>
        <v>0</v>
      </c>
      <c r="AH830" s="8">
        <f t="shared" si="391"/>
        <v>0</v>
      </c>
      <c r="AI830" s="8">
        <f t="shared" si="391"/>
        <v>0</v>
      </c>
      <c r="AJ830" s="8">
        <f t="shared" si="391"/>
        <v>0</v>
      </c>
      <c r="AK830" s="8">
        <f t="shared" si="391"/>
        <v>0</v>
      </c>
      <c r="AL830" s="8">
        <f t="shared" si="391"/>
        <v>0</v>
      </c>
      <c r="AM830" s="8">
        <f t="shared" si="391"/>
        <v>0</v>
      </c>
      <c r="AN830" s="8">
        <f t="shared" si="391"/>
        <v>0</v>
      </c>
      <c r="AO830" s="8">
        <f t="shared" si="391"/>
        <v>0</v>
      </c>
      <c r="AP830" s="8">
        <f t="shared" si="391"/>
        <v>0</v>
      </c>
      <c r="AQ830" s="8">
        <f t="shared" si="391"/>
        <v>0</v>
      </c>
      <c r="AR830" s="8">
        <f t="shared" si="391"/>
        <v>0</v>
      </c>
      <c r="AS830" s="8">
        <f t="shared" si="391"/>
        <v>0</v>
      </c>
      <c r="AT830" s="8">
        <f t="shared" si="391"/>
        <v>0</v>
      </c>
      <c r="AU830" s="8">
        <f t="shared" si="391"/>
        <v>0</v>
      </c>
      <c r="AV830" s="8">
        <f t="shared" si="391"/>
        <v>0</v>
      </c>
    </row>
    <row r="831" spans="2:48" s="3" customFormat="1" ht="15" customHeight="1">
      <c r="C831" s="434"/>
      <c r="D831" s="850"/>
      <c r="E831" s="8" t="str">
        <f t="shared" ref="E831:AV831" si="392" xml:space="preserve"> E$215</f>
        <v>Cobalt net revenue</v>
      </c>
      <c r="F831" s="8">
        <f t="shared" si="392"/>
        <v>0</v>
      </c>
      <c r="G831" s="8" t="str">
        <f t="shared" si="392"/>
        <v>$ mn</v>
      </c>
      <c r="H831" s="8">
        <f t="shared" si="392"/>
        <v>0</v>
      </c>
      <c r="I831" s="8">
        <f t="shared" si="392"/>
        <v>0</v>
      </c>
      <c r="J831" s="8">
        <f t="shared" si="392"/>
        <v>7544.2272910711363</v>
      </c>
      <c r="K831" s="8">
        <f t="shared" si="392"/>
        <v>0</v>
      </c>
      <c r="L831" s="8">
        <f t="shared" si="392"/>
        <v>0</v>
      </c>
      <c r="M831" s="8">
        <f t="shared" si="392"/>
        <v>0</v>
      </c>
      <c r="N831" s="8">
        <f t="shared" si="392"/>
        <v>0</v>
      </c>
      <c r="O831" s="8">
        <f t="shared" si="392"/>
        <v>0</v>
      </c>
      <c r="P831" s="8">
        <f t="shared" si="392"/>
        <v>10.253428059846346</v>
      </c>
      <c r="Q831" s="8">
        <f t="shared" si="392"/>
        <v>408.69518197966062</v>
      </c>
      <c r="R831" s="8">
        <f t="shared" si="392"/>
        <v>334.11109565874864</v>
      </c>
      <c r="S831" s="8">
        <f t="shared" si="392"/>
        <v>707.98561665940747</v>
      </c>
      <c r="T831" s="8">
        <f t="shared" si="392"/>
        <v>962.82272674877015</v>
      </c>
      <c r="U831" s="8">
        <f t="shared" si="392"/>
        <v>459.45869682312974</v>
      </c>
      <c r="V831" s="8">
        <f t="shared" si="392"/>
        <v>342.2851374481404</v>
      </c>
      <c r="W831" s="8">
        <f t="shared" si="392"/>
        <v>533.32637908197103</v>
      </c>
      <c r="X831" s="8">
        <f t="shared" si="392"/>
        <v>519.95175299846198</v>
      </c>
      <c r="Y831" s="8">
        <f t="shared" si="392"/>
        <v>491.01727649102816</v>
      </c>
      <c r="Z831" s="8">
        <f t="shared" si="392"/>
        <v>529.29819445445742</v>
      </c>
      <c r="AA831" s="8">
        <f t="shared" si="392"/>
        <v>528.53468233551689</v>
      </c>
      <c r="AB831" s="8">
        <f t="shared" si="392"/>
        <v>510.64196185793799</v>
      </c>
      <c r="AC831" s="8">
        <f t="shared" si="392"/>
        <v>586.28641494261217</v>
      </c>
      <c r="AD831" s="8">
        <f t="shared" si="392"/>
        <v>619.55874553144668</v>
      </c>
      <c r="AE831" s="8">
        <f t="shared" si="392"/>
        <v>0</v>
      </c>
      <c r="AF831" s="8">
        <f t="shared" si="392"/>
        <v>0</v>
      </c>
      <c r="AG831" s="8">
        <f t="shared" si="392"/>
        <v>0</v>
      </c>
      <c r="AH831" s="8">
        <f t="shared" si="392"/>
        <v>0</v>
      </c>
      <c r="AI831" s="8">
        <f t="shared" si="392"/>
        <v>0</v>
      </c>
      <c r="AJ831" s="8">
        <f t="shared" si="392"/>
        <v>0</v>
      </c>
      <c r="AK831" s="8">
        <f t="shared" si="392"/>
        <v>0</v>
      </c>
      <c r="AL831" s="8">
        <f t="shared" si="392"/>
        <v>0</v>
      </c>
      <c r="AM831" s="8">
        <f t="shared" si="392"/>
        <v>0</v>
      </c>
      <c r="AN831" s="8">
        <f t="shared" si="392"/>
        <v>0</v>
      </c>
      <c r="AO831" s="8">
        <f t="shared" si="392"/>
        <v>0</v>
      </c>
      <c r="AP831" s="8">
        <f t="shared" si="392"/>
        <v>0</v>
      </c>
      <c r="AQ831" s="8">
        <f t="shared" si="392"/>
        <v>0</v>
      </c>
      <c r="AR831" s="8">
        <f t="shared" si="392"/>
        <v>0</v>
      </c>
      <c r="AS831" s="8">
        <f t="shared" si="392"/>
        <v>0</v>
      </c>
      <c r="AT831" s="8">
        <f t="shared" si="392"/>
        <v>0</v>
      </c>
      <c r="AU831" s="8">
        <f t="shared" si="392"/>
        <v>0</v>
      </c>
      <c r="AV831" s="8">
        <f t="shared" si="392"/>
        <v>0</v>
      </c>
    </row>
    <row r="832" spans="2:48" s="3" customFormat="1" ht="15" customHeight="1">
      <c r="D832" s="850"/>
      <c r="E832" s="539" t="str">
        <f t="shared" ref="E832:AV832" si="393" xml:space="preserve"> E$216</f>
        <v>Copper &amp; Cobalt net revenue</v>
      </c>
      <c r="F832" s="539">
        <f t="shared" si="393"/>
        <v>0</v>
      </c>
      <c r="G832" s="539" t="str">
        <f t="shared" si="393"/>
        <v>$ mn</v>
      </c>
      <c r="H832" s="539">
        <f t="shared" si="393"/>
        <v>0</v>
      </c>
      <c r="I832" s="539">
        <f t="shared" si="393"/>
        <v>0</v>
      </c>
      <c r="J832" s="539">
        <f t="shared" si="393"/>
        <v>19011.922098404622</v>
      </c>
      <c r="K832" s="539">
        <f t="shared" si="393"/>
        <v>0</v>
      </c>
      <c r="L832" s="539">
        <f t="shared" si="393"/>
        <v>0</v>
      </c>
      <c r="M832" s="539">
        <f t="shared" si="393"/>
        <v>0</v>
      </c>
      <c r="N832" s="539">
        <f t="shared" si="393"/>
        <v>0</v>
      </c>
      <c r="O832" s="539">
        <f t="shared" si="393"/>
        <v>0</v>
      </c>
      <c r="P832" s="539">
        <f t="shared" si="393"/>
        <v>67.136253929427468</v>
      </c>
      <c r="Q832" s="539">
        <f t="shared" si="393"/>
        <v>946.59558436977954</v>
      </c>
      <c r="R832" s="539">
        <f t="shared" si="393"/>
        <v>800.97287781965736</v>
      </c>
      <c r="S832" s="539">
        <f t="shared" si="393"/>
        <v>1554.927232437954</v>
      </c>
      <c r="T832" s="539">
        <f t="shared" si="393"/>
        <v>1790.254007985714</v>
      </c>
      <c r="U832" s="539">
        <f t="shared" si="393"/>
        <v>1286.9954809814114</v>
      </c>
      <c r="V832" s="539">
        <f t="shared" si="393"/>
        <v>1197.6567216301939</v>
      </c>
      <c r="W832" s="539">
        <f t="shared" si="393"/>
        <v>1403.7590036412423</v>
      </c>
      <c r="X832" s="539">
        <f t="shared" si="393"/>
        <v>1391.1347298918572</v>
      </c>
      <c r="Y832" s="539">
        <f t="shared" si="393"/>
        <v>1369.2168626342282</v>
      </c>
      <c r="Z832" s="539">
        <f t="shared" si="393"/>
        <v>1398.3349958679573</v>
      </c>
      <c r="AA832" s="539">
        <f t="shared" si="393"/>
        <v>1393.351686353117</v>
      </c>
      <c r="AB832" s="539">
        <f t="shared" si="393"/>
        <v>1400.6663216951804</v>
      </c>
      <c r="AC832" s="539">
        <f t="shared" si="393"/>
        <v>1490.4682157878392</v>
      </c>
      <c r="AD832" s="539">
        <f t="shared" si="393"/>
        <v>1520.4521233790642</v>
      </c>
      <c r="AE832" s="539">
        <f t="shared" si="393"/>
        <v>0</v>
      </c>
      <c r="AF832" s="539">
        <f t="shared" si="393"/>
        <v>0</v>
      </c>
      <c r="AG832" s="539">
        <f t="shared" si="393"/>
        <v>0</v>
      </c>
      <c r="AH832" s="539">
        <f t="shared" si="393"/>
        <v>0</v>
      </c>
      <c r="AI832" s="539">
        <f t="shared" si="393"/>
        <v>0</v>
      </c>
      <c r="AJ832" s="539">
        <f t="shared" si="393"/>
        <v>0</v>
      </c>
      <c r="AK832" s="539">
        <f t="shared" si="393"/>
        <v>0</v>
      </c>
      <c r="AL832" s="539">
        <f t="shared" si="393"/>
        <v>0</v>
      </c>
      <c r="AM832" s="539">
        <f t="shared" si="393"/>
        <v>0</v>
      </c>
      <c r="AN832" s="539">
        <f t="shared" si="393"/>
        <v>0</v>
      </c>
      <c r="AO832" s="539">
        <f t="shared" si="393"/>
        <v>0</v>
      </c>
      <c r="AP832" s="539">
        <f t="shared" si="393"/>
        <v>0</v>
      </c>
      <c r="AQ832" s="539">
        <f t="shared" si="393"/>
        <v>0</v>
      </c>
      <c r="AR832" s="539">
        <f t="shared" si="393"/>
        <v>0</v>
      </c>
      <c r="AS832" s="539">
        <f t="shared" si="393"/>
        <v>0</v>
      </c>
      <c r="AT832" s="539">
        <f t="shared" si="393"/>
        <v>0</v>
      </c>
      <c r="AU832" s="539">
        <f t="shared" si="393"/>
        <v>0</v>
      </c>
      <c r="AV832" s="539">
        <f t="shared" si="393"/>
        <v>0</v>
      </c>
    </row>
    <row r="833" spans="1:48" s="3" customFormat="1" ht="5.0999999999999996" customHeight="1">
      <c r="C833" s="434"/>
      <c r="D833" s="850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</row>
    <row r="834" spans="1:48" s="3" customFormat="1" ht="15" customHeight="1">
      <c r="C834" s="434" t="s">
        <v>785</v>
      </c>
      <c r="D834" s="850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</row>
    <row r="835" spans="1:48" s="98" customFormat="1" ht="15" customHeight="1">
      <c r="A835" s="385"/>
      <c r="B835" s="357"/>
      <c r="C835" s="366"/>
      <c r="D835" s="317"/>
      <c r="E835" s="98" t="str">
        <f t="shared" ref="E835:F835" si="394" xml:space="preserve"> E$390</f>
        <v>Alternative Operating Cost Profile</v>
      </c>
      <c r="F835" s="98" t="str">
        <f t="shared" si="394"/>
        <v>Alt Opex</v>
      </c>
      <c r="G835" s="98" t="str">
        <f t="shared" ref="G835:AV835" si="395" xml:space="preserve"> G$390</f>
        <v>$ mn</v>
      </c>
      <c r="H835" s="98">
        <f t="shared" si="395"/>
        <v>0</v>
      </c>
      <c r="I835" s="98">
        <f t="shared" si="395"/>
        <v>0</v>
      </c>
      <c r="J835" s="98">
        <f t="shared" si="395"/>
        <v>9907.4531304831744</v>
      </c>
      <c r="K835" s="98">
        <f t="shared" si="395"/>
        <v>0</v>
      </c>
      <c r="L835" s="98">
        <f t="shared" si="395"/>
        <v>0</v>
      </c>
      <c r="M835" s="98">
        <f t="shared" si="395"/>
        <v>0</v>
      </c>
      <c r="N835" s="98">
        <f t="shared" si="395"/>
        <v>0</v>
      </c>
      <c r="O835" s="98">
        <f t="shared" si="395"/>
        <v>0</v>
      </c>
      <c r="P835" s="98">
        <f t="shared" si="395"/>
        <v>0</v>
      </c>
      <c r="Q835" s="98">
        <f t="shared" si="395"/>
        <v>0</v>
      </c>
      <c r="R835" s="98">
        <f t="shared" si="395"/>
        <v>427.00000000000006</v>
      </c>
      <c r="S835" s="98">
        <f t="shared" si="395"/>
        <v>532</v>
      </c>
      <c r="T835" s="98">
        <f t="shared" si="395"/>
        <v>705</v>
      </c>
      <c r="U835" s="98">
        <f t="shared" si="395"/>
        <v>724.29157127871883</v>
      </c>
      <c r="V835" s="98">
        <f t="shared" si="395"/>
        <v>760.56406616996242</v>
      </c>
      <c r="W835" s="98">
        <f t="shared" si="395"/>
        <v>785.45450684568095</v>
      </c>
      <c r="X835" s="98">
        <f t="shared" si="395"/>
        <v>800.92213977533436</v>
      </c>
      <c r="Y835" s="98">
        <f t="shared" si="395"/>
        <v>816.87383726665769</v>
      </c>
      <c r="Z835" s="98">
        <f t="shared" si="395"/>
        <v>837.83662691634106</v>
      </c>
      <c r="AA835" s="98">
        <f t="shared" si="395"/>
        <v>851.22045364034364</v>
      </c>
      <c r="AB835" s="98">
        <f t="shared" si="395"/>
        <v>866.62268025643698</v>
      </c>
      <c r="AC835" s="98">
        <f t="shared" si="395"/>
        <v>897.22565631293298</v>
      </c>
      <c r="AD835" s="98">
        <f t="shared" si="395"/>
        <v>902.44159202076582</v>
      </c>
      <c r="AE835" s="98">
        <f t="shared" si="395"/>
        <v>0</v>
      </c>
      <c r="AF835" s="98">
        <f t="shared" si="395"/>
        <v>0</v>
      </c>
      <c r="AG835" s="98">
        <f t="shared" si="395"/>
        <v>0</v>
      </c>
      <c r="AH835" s="98">
        <f t="shared" si="395"/>
        <v>0</v>
      </c>
      <c r="AI835" s="98">
        <f t="shared" si="395"/>
        <v>0</v>
      </c>
      <c r="AJ835" s="98">
        <f t="shared" si="395"/>
        <v>0</v>
      </c>
      <c r="AK835" s="98">
        <f t="shared" si="395"/>
        <v>0</v>
      </c>
      <c r="AL835" s="98">
        <f t="shared" si="395"/>
        <v>0</v>
      </c>
      <c r="AM835" s="98">
        <f t="shared" si="395"/>
        <v>0</v>
      </c>
      <c r="AN835" s="98">
        <f t="shared" si="395"/>
        <v>0</v>
      </c>
      <c r="AO835" s="98">
        <f t="shared" si="395"/>
        <v>0</v>
      </c>
      <c r="AP835" s="98">
        <f t="shared" si="395"/>
        <v>0</v>
      </c>
      <c r="AQ835" s="98">
        <f t="shared" si="395"/>
        <v>0</v>
      </c>
      <c r="AR835" s="98">
        <f t="shared" si="395"/>
        <v>0</v>
      </c>
      <c r="AS835" s="98">
        <f t="shared" si="395"/>
        <v>0</v>
      </c>
      <c r="AT835" s="98">
        <f t="shared" si="395"/>
        <v>0</v>
      </c>
      <c r="AU835" s="98">
        <f t="shared" si="395"/>
        <v>0</v>
      </c>
      <c r="AV835" s="98">
        <f t="shared" si="395"/>
        <v>0</v>
      </c>
    </row>
    <row r="836" spans="1:48" s="3" customFormat="1" ht="15" customHeight="1">
      <c r="C836" s="434"/>
      <c r="D836" s="850"/>
      <c r="E836" s="6" t="str">
        <f t="shared" ref="E836:AV836" si="396" xml:space="preserve"> E$410</f>
        <v>Capital Costs inc. Sens.</v>
      </c>
      <c r="F836" s="6">
        <f t="shared" si="396"/>
        <v>0</v>
      </c>
      <c r="G836" s="6" t="str">
        <f t="shared" si="396"/>
        <v>$ mn</v>
      </c>
      <c r="H836" s="6">
        <f t="shared" si="396"/>
        <v>0</v>
      </c>
      <c r="I836" s="6">
        <f t="shared" si="396"/>
        <v>0</v>
      </c>
      <c r="J836" s="6">
        <f t="shared" si="396"/>
        <v>1501.9969697316285</v>
      </c>
      <c r="K836" s="6">
        <f t="shared" si="396"/>
        <v>0</v>
      </c>
      <c r="L836" s="6">
        <f t="shared" si="396"/>
        <v>0</v>
      </c>
      <c r="M836" s="6">
        <f t="shared" si="396"/>
        <v>0</v>
      </c>
      <c r="N836" s="6">
        <f t="shared" si="396"/>
        <v>0</v>
      </c>
      <c r="O836" s="6">
        <f t="shared" si="396"/>
        <v>0</v>
      </c>
      <c r="P836" s="6">
        <f t="shared" si="396"/>
        <v>1010.1999999999999</v>
      </c>
      <c r="Q836" s="6">
        <f t="shared" si="396"/>
        <v>175.6</v>
      </c>
      <c r="R836" s="6">
        <f t="shared" si="396"/>
        <v>59.637940489648081</v>
      </c>
      <c r="S836" s="6">
        <f t="shared" si="396"/>
        <v>19.714240787317188</v>
      </c>
      <c r="T836" s="6">
        <f t="shared" si="396"/>
        <v>22.205587260857488</v>
      </c>
      <c r="U836" s="6">
        <f t="shared" si="396"/>
        <v>7.270379772582368</v>
      </c>
      <c r="V836" s="6">
        <f t="shared" si="396"/>
        <v>32.762129135977283</v>
      </c>
      <c r="W836" s="6">
        <f t="shared" si="396"/>
        <v>14.785349673189831</v>
      </c>
      <c r="X836" s="6">
        <f t="shared" si="396"/>
        <v>37.291985621134906</v>
      </c>
      <c r="Y836" s="6">
        <f t="shared" si="396"/>
        <v>11.106368397789192</v>
      </c>
      <c r="Z836" s="6">
        <f t="shared" si="396"/>
        <v>24.717558956867318</v>
      </c>
      <c r="AA836" s="6">
        <f t="shared" si="396"/>
        <v>10.625875307545776</v>
      </c>
      <c r="AB836" s="6">
        <f t="shared" si="396"/>
        <v>47.657903486366287</v>
      </c>
      <c r="AC836" s="6">
        <f t="shared" si="396"/>
        <v>9.2044613597337044</v>
      </c>
      <c r="AD836" s="6">
        <f t="shared" si="396"/>
        <v>19.217189482619023</v>
      </c>
      <c r="AE836" s="6">
        <f t="shared" si="396"/>
        <v>0</v>
      </c>
      <c r="AF836" s="6">
        <f t="shared" si="396"/>
        <v>0</v>
      </c>
      <c r="AG836" s="6">
        <f t="shared" si="396"/>
        <v>0</v>
      </c>
      <c r="AH836" s="6">
        <f t="shared" si="396"/>
        <v>0</v>
      </c>
      <c r="AI836" s="6">
        <f t="shared" si="396"/>
        <v>0</v>
      </c>
      <c r="AJ836" s="6">
        <f t="shared" si="396"/>
        <v>0</v>
      </c>
      <c r="AK836" s="6">
        <f t="shared" si="396"/>
        <v>0</v>
      </c>
      <c r="AL836" s="6">
        <f t="shared" si="396"/>
        <v>0</v>
      </c>
      <c r="AM836" s="6">
        <f t="shared" si="396"/>
        <v>0</v>
      </c>
      <c r="AN836" s="6">
        <f t="shared" si="396"/>
        <v>0</v>
      </c>
      <c r="AO836" s="6">
        <f t="shared" si="396"/>
        <v>0</v>
      </c>
      <c r="AP836" s="6">
        <f t="shared" si="396"/>
        <v>0</v>
      </c>
      <c r="AQ836" s="6">
        <f t="shared" si="396"/>
        <v>0</v>
      </c>
      <c r="AR836" s="6">
        <f t="shared" si="396"/>
        <v>0</v>
      </c>
      <c r="AS836" s="6">
        <f t="shared" si="396"/>
        <v>0</v>
      </c>
      <c r="AT836" s="6">
        <f t="shared" si="396"/>
        <v>0</v>
      </c>
      <c r="AU836" s="6">
        <f t="shared" si="396"/>
        <v>0</v>
      </c>
      <c r="AV836" s="6">
        <f t="shared" si="396"/>
        <v>0</v>
      </c>
    </row>
    <row r="837" spans="1:48" s="222" customFormat="1" ht="15" customHeight="1">
      <c r="C837" s="445"/>
      <c r="D837" s="863"/>
      <c r="E837" s="539" t="str">
        <f t="shared" ref="E837:AV837" si="397" xml:space="preserve"> E$452</f>
        <v>Project costs</v>
      </c>
      <c r="F837" s="539">
        <f t="shared" si="397"/>
        <v>0</v>
      </c>
      <c r="G837" s="539" t="str">
        <f t="shared" si="397"/>
        <v>$ mn</v>
      </c>
      <c r="H837" s="539">
        <f t="shared" si="397"/>
        <v>0</v>
      </c>
      <c r="I837" s="539">
        <f t="shared" si="397"/>
        <v>0</v>
      </c>
      <c r="J837" s="539">
        <f t="shared" si="397"/>
        <v>11409.450100214803</v>
      </c>
      <c r="K837" s="539">
        <f t="shared" si="397"/>
        <v>0</v>
      </c>
      <c r="L837" s="539">
        <f t="shared" si="397"/>
        <v>0</v>
      </c>
      <c r="M837" s="539">
        <f t="shared" si="397"/>
        <v>0</v>
      </c>
      <c r="N837" s="539">
        <f t="shared" si="397"/>
        <v>0</v>
      </c>
      <c r="O837" s="539">
        <f t="shared" si="397"/>
        <v>0</v>
      </c>
      <c r="P837" s="539">
        <f t="shared" si="397"/>
        <v>1010.1999999999999</v>
      </c>
      <c r="Q837" s="539">
        <f t="shared" si="397"/>
        <v>175.6</v>
      </c>
      <c r="R837" s="539">
        <f t="shared" si="397"/>
        <v>486.63794048964814</v>
      </c>
      <c r="S837" s="539">
        <f t="shared" si="397"/>
        <v>551.71424078731718</v>
      </c>
      <c r="T837" s="539">
        <f t="shared" si="397"/>
        <v>727.20558726085744</v>
      </c>
      <c r="U837" s="539">
        <f t="shared" si="397"/>
        <v>731.56195105130121</v>
      </c>
      <c r="V837" s="539">
        <f t="shared" si="397"/>
        <v>793.32619530593968</v>
      </c>
      <c r="W837" s="539">
        <f t="shared" si="397"/>
        <v>800.23985651887074</v>
      </c>
      <c r="X837" s="539">
        <f t="shared" si="397"/>
        <v>838.21412539646929</v>
      </c>
      <c r="Y837" s="539">
        <f t="shared" si="397"/>
        <v>827.98020566444688</v>
      </c>
      <c r="Z837" s="539">
        <f t="shared" si="397"/>
        <v>862.55418587320833</v>
      </c>
      <c r="AA837" s="539">
        <f t="shared" si="397"/>
        <v>861.84632894788945</v>
      </c>
      <c r="AB837" s="539">
        <f t="shared" si="397"/>
        <v>914.28058374280329</v>
      </c>
      <c r="AC837" s="539">
        <f t="shared" si="397"/>
        <v>906.43011767266671</v>
      </c>
      <c r="AD837" s="539">
        <f t="shared" si="397"/>
        <v>921.65878150338483</v>
      </c>
      <c r="AE837" s="539">
        <f t="shared" si="397"/>
        <v>0</v>
      </c>
      <c r="AF837" s="539">
        <f t="shared" si="397"/>
        <v>0</v>
      </c>
      <c r="AG837" s="539">
        <f t="shared" si="397"/>
        <v>0</v>
      </c>
      <c r="AH837" s="539">
        <f t="shared" si="397"/>
        <v>0</v>
      </c>
      <c r="AI837" s="539">
        <f t="shared" si="397"/>
        <v>0</v>
      </c>
      <c r="AJ837" s="539">
        <f t="shared" si="397"/>
        <v>0</v>
      </c>
      <c r="AK837" s="539">
        <f t="shared" si="397"/>
        <v>0</v>
      </c>
      <c r="AL837" s="539">
        <f t="shared" si="397"/>
        <v>0</v>
      </c>
      <c r="AM837" s="539">
        <f t="shared" si="397"/>
        <v>0</v>
      </c>
      <c r="AN837" s="539">
        <f t="shared" si="397"/>
        <v>0</v>
      </c>
      <c r="AO837" s="539">
        <f t="shared" si="397"/>
        <v>0</v>
      </c>
      <c r="AP837" s="539">
        <f t="shared" si="397"/>
        <v>0</v>
      </c>
      <c r="AQ837" s="539">
        <f t="shared" si="397"/>
        <v>0</v>
      </c>
      <c r="AR837" s="539">
        <f t="shared" si="397"/>
        <v>0</v>
      </c>
      <c r="AS837" s="539">
        <f t="shared" si="397"/>
        <v>0</v>
      </c>
      <c r="AT837" s="539">
        <f t="shared" si="397"/>
        <v>0</v>
      </c>
      <c r="AU837" s="539">
        <f t="shared" si="397"/>
        <v>0</v>
      </c>
      <c r="AV837" s="539">
        <f t="shared" si="397"/>
        <v>0</v>
      </c>
    </row>
    <row r="838" spans="1:48" s="3" customFormat="1" ht="5.0999999999999996" customHeight="1">
      <c r="C838" s="434"/>
      <c r="D838" s="850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</row>
    <row r="839" spans="1:48" s="3" customFormat="1" ht="15" customHeight="1">
      <c r="C839" s="434"/>
      <c r="D839" s="850"/>
      <c r="E839" s="8" t="s">
        <v>787</v>
      </c>
      <c r="F839" s="8"/>
      <c r="G839" s="8" t="s">
        <v>29</v>
      </c>
      <c r="H839" s="8"/>
      <c r="I839" s="8"/>
      <c r="J839" s="8">
        <f xml:space="preserve"> SUM(L839:AV839)</f>
        <v>7602.4719981898188</v>
      </c>
      <c r="K839" s="8"/>
      <c r="L839" s="8">
        <f t="shared" ref="L839:AV839" si="398" xml:space="preserve"> L824 - L828 - L837</f>
        <v>0</v>
      </c>
      <c r="M839" s="8">
        <f t="shared" si="398"/>
        <v>0</v>
      </c>
      <c r="N839" s="8">
        <f t="shared" si="398"/>
        <v>0</v>
      </c>
      <c r="O839" s="8">
        <f t="shared" si="398"/>
        <v>0</v>
      </c>
      <c r="P839" s="8">
        <f t="shared" si="398"/>
        <v>-943.06374607057251</v>
      </c>
      <c r="Q839" s="8">
        <f t="shared" si="398"/>
        <v>770.99558436977952</v>
      </c>
      <c r="R839" s="8">
        <f t="shared" si="398"/>
        <v>314.33493733000921</v>
      </c>
      <c r="S839" s="8">
        <f t="shared" si="398"/>
        <v>1003.2129916506368</v>
      </c>
      <c r="T839" s="8">
        <f t="shared" si="398"/>
        <v>1063.0484207248564</v>
      </c>
      <c r="U839" s="8">
        <f t="shared" si="398"/>
        <v>555.43352993011024</v>
      </c>
      <c r="V839" s="8">
        <f t="shared" si="398"/>
        <v>404.33052632425427</v>
      </c>
      <c r="W839" s="8">
        <f t="shared" si="398"/>
        <v>603.51914712237158</v>
      </c>
      <c r="X839" s="8">
        <f t="shared" si="398"/>
        <v>552.92060449538792</v>
      </c>
      <c r="Y839" s="8">
        <f t="shared" si="398"/>
        <v>541.23665696978128</v>
      </c>
      <c r="Z839" s="8">
        <f t="shared" si="398"/>
        <v>535.78080999474901</v>
      </c>
      <c r="AA839" s="8">
        <f t="shared" si="398"/>
        <v>531.50535740522753</v>
      </c>
      <c r="AB839" s="8">
        <f t="shared" si="398"/>
        <v>486.3857379523771</v>
      </c>
      <c r="AC839" s="8">
        <f t="shared" si="398"/>
        <v>584.03809811517249</v>
      </c>
      <c r="AD839" s="8">
        <f t="shared" si="398"/>
        <v>598.7933418756794</v>
      </c>
      <c r="AE839" s="8">
        <f t="shared" si="398"/>
        <v>0</v>
      </c>
      <c r="AF839" s="8">
        <f t="shared" si="398"/>
        <v>0</v>
      </c>
      <c r="AG839" s="8">
        <f t="shared" si="398"/>
        <v>0</v>
      </c>
      <c r="AH839" s="8">
        <f t="shared" si="398"/>
        <v>0</v>
      </c>
      <c r="AI839" s="8">
        <f t="shared" si="398"/>
        <v>0</v>
      </c>
      <c r="AJ839" s="8">
        <f t="shared" si="398"/>
        <v>0</v>
      </c>
      <c r="AK839" s="8">
        <f t="shared" si="398"/>
        <v>0</v>
      </c>
      <c r="AL839" s="8">
        <f t="shared" si="398"/>
        <v>0</v>
      </c>
      <c r="AM839" s="8">
        <f t="shared" si="398"/>
        <v>0</v>
      </c>
      <c r="AN839" s="8">
        <f t="shared" si="398"/>
        <v>0</v>
      </c>
      <c r="AO839" s="8">
        <f t="shared" si="398"/>
        <v>0</v>
      </c>
      <c r="AP839" s="8">
        <f t="shared" si="398"/>
        <v>0</v>
      </c>
      <c r="AQ839" s="8">
        <f t="shared" si="398"/>
        <v>0</v>
      </c>
      <c r="AR839" s="8">
        <f t="shared" si="398"/>
        <v>0</v>
      </c>
      <c r="AS839" s="8">
        <f t="shared" si="398"/>
        <v>0</v>
      </c>
      <c r="AT839" s="8">
        <f t="shared" si="398"/>
        <v>0</v>
      </c>
      <c r="AU839" s="8">
        <f t="shared" si="398"/>
        <v>0</v>
      </c>
      <c r="AV839" s="8">
        <f t="shared" si="398"/>
        <v>0</v>
      </c>
    </row>
    <row r="840" spans="1:48" s="3" customFormat="1" ht="15" customHeight="1">
      <c r="C840" s="434"/>
      <c r="D840" s="850"/>
      <c r="E840" s="8" t="str">
        <f xml:space="preserve"> E839</f>
        <v>Project cashflows before fiscal regime</v>
      </c>
      <c r="F840" s="8">
        <f xml:space="preserve"> SUM(L839:AV839)</f>
        <v>7602.4719981898188</v>
      </c>
      <c r="G840" s="8" t="str">
        <f xml:space="preserve"> G839</f>
        <v>$ mn</v>
      </c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</row>
    <row r="841" spans="1:48" s="3" customFormat="1" ht="15" customHeight="1">
      <c r="C841" s="434"/>
      <c r="D841" s="850"/>
    </row>
    <row r="842" spans="1:48" s="3" customFormat="1" ht="15" customHeight="1">
      <c r="C842" s="434"/>
      <c r="D842" s="850"/>
      <c r="E842" s="3" t="s">
        <v>788</v>
      </c>
      <c r="F842" s="305">
        <f xml:space="preserve"> SUM(L842:AV842)</f>
        <v>0</v>
      </c>
      <c r="G842" s="3" t="s">
        <v>113</v>
      </c>
      <c r="L842" s="305">
        <f t="shared" ref="L842:AV842" si="399" xml:space="preserve"> IF( ABS(L839 - L922) &gt; CHK_TOL, 1, 0)</f>
        <v>0</v>
      </c>
      <c r="M842" s="305">
        <f t="shared" si="399"/>
        <v>0</v>
      </c>
      <c r="N842" s="305">
        <f t="shared" si="399"/>
        <v>0</v>
      </c>
      <c r="O842" s="305">
        <f t="shared" si="399"/>
        <v>0</v>
      </c>
      <c r="P842" s="305">
        <f t="shared" si="399"/>
        <v>0</v>
      </c>
      <c r="Q842" s="305">
        <f t="shared" si="399"/>
        <v>0</v>
      </c>
      <c r="R842" s="305">
        <f t="shared" si="399"/>
        <v>0</v>
      </c>
      <c r="S842" s="305">
        <f t="shared" si="399"/>
        <v>0</v>
      </c>
      <c r="T842" s="305">
        <f t="shared" si="399"/>
        <v>0</v>
      </c>
      <c r="U842" s="305">
        <f t="shared" si="399"/>
        <v>0</v>
      </c>
      <c r="V842" s="305">
        <f t="shared" si="399"/>
        <v>0</v>
      </c>
      <c r="W842" s="305">
        <f t="shared" si="399"/>
        <v>0</v>
      </c>
      <c r="X842" s="305">
        <f t="shared" si="399"/>
        <v>0</v>
      </c>
      <c r="Y842" s="305">
        <f t="shared" si="399"/>
        <v>0</v>
      </c>
      <c r="Z842" s="305">
        <f t="shared" si="399"/>
        <v>0</v>
      </c>
      <c r="AA842" s="305">
        <f t="shared" si="399"/>
        <v>0</v>
      </c>
      <c r="AB842" s="305">
        <f t="shared" si="399"/>
        <v>0</v>
      </c>
      <c r="AC842" s="305">
        <f t="shared" si="399"/>
        <v>0</v>
      </c>
      <c r="AD842" s="305">
        <f t="shared" si="399"/>
        <v>0</v>
      </c>
      <c r="AE842" s="305">
        <f t="shared" si="399"/>
        <v>0</v>
      </c>
      <c r="AF842" s="305">
        <f t="shared" si="399"/>
        <v>0</v>
      </c>
      <c r="AG842" s="305">
        <f t="shared" si="399"/>
        <v>0</v>
      </c>
      <c r="AH842" s="305">
        <f t="shared" si="399"/>
        <v>0</v>
      </c>
      <c r="AI842" s="305">
        <f t="shared" si="399"/>
        <v>0</v>
      </c>
      <c r="AJ842" s="305">
        <f t="shared" si="399"/>
        <v>0</v>
      </c>
      <c r="AK842" s="305">
        <f t="shared" si="399"/>
        <v>0</v>
      </c>
      <c r="AL842" s="305">
        <f t="shared" si="399"/>
        <v>0</v>
      </c>
      <c r="AM842" s="305">
        <f t="shared" si="399"/>
        <v>0</v>
      </c>
      <c r="AN842" s="305">
        <f t="shared" si="399"/>
        <v>0</v>
      </c>
      <c r="AO842" s="305">
        <f t="shared" si="399"/>
        <v>0</v>
      </c>
      <c r="AP842" s="305">
        <f t="shared" si="399"/>
        <v>0</v>
      </c>
      <c r="AQ842" s="305">
        <f t="shared" si="399"/>
        <v>0</v>
      </c>
      <c r="AR842" s="305">
        <f t="shared" si="399"/>
        <v>0</v>
      </c>
      <c r="AS842" s="305">
        <f t="shared" si="399"/>
        <v>0</v>
      </c>
      <c r="AT842" s="305">
        <f t="shared" si="399"/>
        <v>0</v>
      </c>
      <c r="AU842" s="305">
        <f t="shared" si="399"/>
        <v>0</v>
      </c>
      <c r="AV842" s="305">
        <f t="shared" si="399"/>
        <v>0</v>
      </c>
    </row>
    <row r="843" spans="1:48" s="3" customFormat="1" ht="15" customHeight="1">
      <c r="C843" s="434"/>
      <c r="D843" s="850"/>
    </row>
    <row r="844" spans="1:48" s="3" customFormat="1" ht="15" customHeight="1">
      <c r="B844" s="241" t="s">
        <v>1063</v>
      </c>
      <c r="C844" s="434"/>
      <c r="D844" s="850"/>
    </row>
    <row r="845" spans="1:48" s="3" customFormat="1" ht="15" customHeight="1">
      <c r="B845" s="241"/>
      <c r="C845" s="434"/>
      <c r="D845" s="850"/>
      <c r="E845" s="472" t="str">
        <f xml:space="preserve"> 'T&amp;E'!E$8</f>
        <v>Model first year</v>
      </c>
      <c r="F845" s="472">
        <f xml:space="preserve"> 'T&amp;E'!F$8</f>
        <v>2014</v>
      </c>
      <c r="G845" s="41" t="str">
        <f xml:space="preserve"> 'T&amp;E'!G$8</f>
        <v>year</v>
      </c>
    </row>
    <row r="846" spans="1:48" s="3" customFormat="1" ht="15" customHeight="1">
      <c r="B846" s="241"/>
      <c r="C846" s="434"/>
      <c r="D846" s="850"/>
      <c r="E846" s="472" t="str">
        <f xml:space="preserve"> InputsCon!E$22</f>
        <v xml:space="preserve">Forecast / point forward year </v>
      </c>
      <c r="F846" s="472">
        <f xml:space="preserve"> InputsCon!F$22</f>
        <v>2025</v>
      </c>
      <c r="G846" s="472" t="str">
        <f xml:space="preserve"> InputsCon!G$22</f>
        <v>year</v>
      </c>
    </row>
    <row r="847" spans="1:48" s="3" customFormat="1" ht="15" customHeight="1">
      <c r="C847" s="434"/>
      <c r="D847" s="850"/>
      <c r="E847" s="472" t="str">
        <f xml:space="preserve"> InputsCon!E$23</f>
        <v>Focus year for sensitivity analysis</v>
      </c>
      <c r="F847" s="472">
        <f xml:space="preserve"> InputsCon!F$23</f>
        <v>2022</v>
      </c>
      <c r="G847" s="472" t="str">
        <f xml:space="preserve"> InputsCon!G$23</f>
        <v>year</v>
      </c>
    </row>
    <row r="848" spans="1:48" s="3" customFormat="1" ht="15" customHeight="1">
      <c r="C848" s="434"/>
      <c r="D848" s="850"/>
      <c r="E848" s="472"/>
      <c r="F848" s="472"/>
      <c r="G848" s="472"/>
    </row>
    <row r="849" spans="3:9" s="3" customFormat="1" ht="15" customHeight="1">
      <c r="C849" s="434"/>
      <c r="D849" s="850"/>
    </row>
    <row r="850" spans="3:9" s="3" customFormat="1" ht="15" customHeight="1">
      <c r="C850" s="434"/>
      <c r="D850" s="850"/>
      <c r="E850" s="687" t="str">
        <f xml:space="preserve"> B816</f>
        <v>Project cashflows NOMINAL</v>
      </c>
      <c r="F850" s="688" t="str">
        <f xml:space="preserve"> "&gt;= " &amp; F845</f>
        <v>&gt;= 2014</v>
      </c>
      <c r="G850" s="679">
        <f xml:space="preserve"> F847</f>
        <v>2022</v>
      </c>
      <c r="H850" s="688" t="str">
        <f xml:space="preserve"> "&gt;= " &amp; F846</f>
        <v>&gt;= 2025</v>
      </c>
    </row>
    <row r="851" spans="3:9" s="3" customFormat="1" ht="15" customHeight="1">
      <c r="C851" s="434"/>
      <c r="D851" s="850"/>
      <c r="E851" s="689"/>
      <c r="F851" s="689"/>
      <c r="G851" s="689"/>
      <c r="H851" s="689"/>
      <c r="I851" s="296"/>
    </row>
    <row r="852" spans="3:9" s="3" customFormat="1" ht="15" customHeight="1">
      <c r="C852" s="434"/>
      <c r="D852" s="850"/>
      <c r="E852" s="62" t="str">
        <f xml:space="preserve"> E819</f>
        <v>Copper production 2022Fs + actuals</v>
      </c>
      <c r="F852" s="3">
        <f xml:space="preserve"> SUMIFS(J819:AT819, J$817:AT$817, "&gt;=" &amp; F$845)</f>
        <v>1421.0743320093752</v>
      </c>
      <c r="G852" s="62" cm="1">
        <f t="array" ref="G852" xml:space="preserve"> INDEX(L819:AV819, , MATCH($F$847, L$817:AV$817, 0))</f>
        <v>97.94</v>
      </c>
      <c r="H852" s="3">
        <f xml:space="preserve"> SUMIFS(L819:AV819, L$817:AV$817, "&gt;=" &amp; F$846)</f>
        <v>836.90899999999999</v>
      </c>
      <c r="I852" s="62" t="str">
        <f xml:space="preserve"> G819</f>
        <v>KT Cu</v>
      </c>
    </row>
    <row r="853" spans="3:9" s="3" customFormat="1" ht="15" customHeight="1">
      <c r="C853" s="434"/>
      <c r="D853" s="850"/>
      <c r="E853" s="62" t="str">
        <f xml:space="preserve"> E820</f>
        <v xml:space="preserve">Cobalt production 2022FS + actuals </v>
      </c>
      <c r="F853" s="3">
        <f xml:space="preserve"> SUMIFS(J820:AT820, J$817:AT$817, "&gt;=" &amp; F$845)</f>
        <v>280.82510633243999</v>
      </c>
      <c r="G853" s="62" cm="1">
        <f t="array" ref="G853" xml:space="preserve"> INDEX(L820:AV820, , MATCH($F$847, L$817:AV$817, 0))</f>
        <v>22.472999999999999</v>
      </c>
      <c r="H853" s="3">
        <f xml:space="preserve"> SUMIFS(L820:AV820, L$817:AV$817, "&gt;=" &amp; F$846)</f>
        <v>161.17799999999997</v>
      </c>
      <c r="I853" s="62" t="str">
        <f xml:space="preserve"> G820</f>
        <v>KT</v>
      </c>
    </row>
    <row r="854" spans="3:9" s="3" customFormat="1" ht="15" customHeight="1">
      <c r="C854" s="434"/>
      <c r="D854" s="850"/>
      <c r="E854" s="62"/>
      <c r="G854" s="62"/>
      <c r="I854" s="62"/>
    </row>
    <row r="855" spans="3:9" s="3" customFormat="1" ht="15" customHeight="1">
      <c r="C855" s="434"/>
      <c r="D855" s="850"/>
      <c r="E855" s="62" t="str">
        <f xml:space="preserve"> E822</f>
        <v>Copper gross revenue (at realized prices)</v>
      </c>
      <c r="F855" s="3">
        <f xml:space="preserve"> SUMIFS(J822:AT822, J$817:AT$817, "&gt;=" &amp; F$845)</f>
        <v>11467.694807333486</v>
      </c>
      <c r="G855" s="62" cm="1">
        <f t="array" ref="G855" xml:space="preserve"> INDEX(L822:AV822, , MATCH($F$847, L$817:AV$817, 0))</f>
        <v>827.43128123694396</v>
      </c>
      <c r="H855" s="3">
        <f xml:space="preserve"> SUMIFS(L822:AV822, L$817:AV$817, "&gt;=" &amp; F$846)</f>
        <v>7048.7685315570543</v>
      </c>
      <c r="I855" s="62" t="str">
        <f xml:space="preserve"> G822</f>
        <v>$ mn</v>
      </c>
    </row>
    <row r="856" spans="3:9" s="3" customFormat="1" ht="15" customHeight="1">
      <c r="C856" s="434"/>
      <c r="D856" s="850"/>
      <c r="E856" s="62" t="str">
        <f xml:space="preserve"> E823</f>
        <v>Cobalt gross revenue (at realized prices)</v>
      </c>
      <c r="F856" s="3">
        <f xml:space="preserve"> SUMIFS(J823:AT823, J$817:AT$817, "&gt;=" &amp; F$845)</f>
        <v>7544.2272910711363</v>
      </c>
      <c r="G856" s="62" cm="1">
        <f t="array" ref="G856" xml:space="preserve"> INDEX(L823:AV823, , MATCH($F$847, L$817:AV$817, 0))</f>
        <v>962.82272674877015</v>
      </c>
      <c r="H856" s="3">
        <f xml:space="preserve"> SUMIFS(L823:AV823, L$817:AV$817, "&gt;=" &amp; F$846)</f>
        <v>4318.6154076934317</v>
      </c>
      <c r="I856" s="62" t="str">
        <f xml:space="preserve"> G823</f>
        <v>$ mn</v>
      </c>
    </row>
    <row r="857" spans="3:9" s="3" customFormat="1" ht="15" customHeight="1">
      <c r="C857" s="434"/>
      <c r="D857" s="850"/>
      <c r="E857" s="62" t="str">
        <f xml:space="preserve"> E824</f>
        <v>Copper plus Cobalt revenue</v>
      </c>
      <c r="F857" s="3">
        <f xml:space="preserve"> SUMIFS(J824:AT824, J$817:AT$817, "&gt;=" &amp; F$845)</f>
        <v>19011.922098404622</v>
      </c>
      <c r="G857" s="62" cm="1">
        <f t="array" ref="G857" xml:space="preserve"> INDEX(L824:AV824, , MATCH($F$847, L$817:AV$817, 0))</f>
        <v>1790.254007985714</v>
      </c>
      <c r="H857" s="3">
        <f xml:space="preserve"> SUMIFS(L824:AV824, L$817:AV$817, "&gt;=" &amp; F$846)</f>
        <v>11367.383939250485</v>
      </c>
      <c r="I857" s="62" t="str">
        <f xml:space="preserve"> G824</f>
        <v>$ mn</v>
      </c>
    </row>
    <row r="858" spans="3:9" s="3" customFormat="1" ht="15" customHeight="1">
      <c r="C858" s="434"/>
      <c r="D858" s="850"/>
      <c r="E858" s="62"/>
      <c r="G858" s="62"/>
      <c r="I858" s="62"/>
    </row>
    <row r="859" spans="3:9" s="3" customFormat="1" ht="15" customHeight="1">
      <c r="C859" s="434"/>
      <c r="D859" s="850"/>
      <c r="E859" s="62" t="str">
        <f xml:space="preserve"> E826</f>
        <v>Freight, Insurance &amp; Sales 2019TR: Cu</v>
      </c>
      <c r="F859" s="3">
        <f xml:space="preserve"> SUMIFS(J826:AT826, J$817:AT$817, "&gt;=" &amp; F$845)</f>
        <v>0</v>
      </c>
      <c r="G859" s="62" cm="1">
        <f t="array" ref="G859" xml:space="preserve"> INDEX(L826:AV826, , MATCH($F$847, L$817:AV$817, 0))</f>
        <v>0</v>
      </c>
      <c r="H859" s="3">
        <f xml:space="preserve"> SUMIFS(L826:AV826, L$817:AV$817, "&gt;=" &amp; F$846)</f>
        <v>0</v>
      </c>
      <c r="I859" s="62" t="str">
        <f xml:space="preserve"> G826</f>
        <v>$ mn</v>
      </c>
    </row>
    <row r="860" spans="3:9" s="3" customFormat="1" ht="15" customHeight="1">
      <c r="C860" s="434"/>
      <c r="D860" s="850"/>
      <c r="E860" s="62" t="str">
        <f xml:space="preserve"> E827</f>
        <v>Freight, Insurance &amp; Sales 2019TR: Co</v>
      </c>
      <c r="F860" s="3">
        <f xml:space="preserve"> SUMIFS(J827:AT827, J$817:AT$817, "&gt;=" &amp; F$845)</f>
        <v>0</v>
      </c>
      <c r="G860" s="62" cm="1">
        <f t="array" ref="G860" xml:space="preserve"> INDEX(L827:AV827, , MATCH($F$847, L$817:AV$817, 0))</f>
        <v>0</v>
      </c>
      <c r="H860" s="3">
        <f xml:space="preserve"> SUMIFS(L827:AV827, L$817:AV$817, "&gt;=" &amp; F$846)</f>
        <v>0</v>
      </c>
      <c r="I860" s="62" t="str">
        <f xml:space="preserve"> G827</f>
        <v>$ mn</v>
      </c>
    </row>
    <row r="861" spans="3:9" s="3" customFormat="1" ht="15" customHeight="1">
      <c r="C861" s="434"/>
      <c r="D861" s="850"/>
      <c r="E861" s="62" t="str">
        <f xml:space="preserve"> E828</f>
        <v>Realization costs Cu and Co</v>
      </c>
      <c r="F861" s="3">
        <f xml:space="preserve"> SUMIFS(J828:AT828, J$817:AT$817, "&gt;=" &amp; F$845)</f>
        <v>0</v>
      </c>
      <c r="G861" s="62" cm="1">
        <f t="array" ref="G861" xml:space="preserve"> INDEX(L828:AV828, , MATCH($F$847, L$817:AV$817, 0))</f>
        <v>0</v>
      </c>
      <c r="H861" s="3">
        <f xml:space="preserve"> SUMIFS(L828:AV828, L$817:AV$817, "&gt;=" &amp; F$846)</f>
        <v>0</v>
      </c>
      <c r="I861" s="62" t="str">
        <f xml:space="preserve"> G828</f>
        <v>$ mn</v>
      </c>
    </row>
    <row r="862" spans="3:9" s="3" customFormat="1" ht="15" customHeight="1">
      <c r="C862" s="434"/>
      <c r="D862" s="850"/>
      <c r="E862" s="62"/>
      <c r="G862" s="62"/>
      <c r="I862" s="62"/>
    </row>
    <row r="863" spans="3:9" s="3" customFormat="1" ht="15" customHeight="1">
      <c r="C863" s="434"/>
      <c r="D863" s="850"/>
      <c r="E863" s="62" t="str">
        <f xml:space="preserve"> E830</f>
        <v>Copper net revenue</v>
      </c>
      <c r="F863" s="3">
        <f xml:space="preserve"> SUMIFS(J830:AT830, J$817:AT$817, "&gt;=" &amp; F$845)</f>
        <v>11467.694807333486</v>
      </c>
      <c r="G863" s="62" cm="1">
        <f t="array" ref="G863" xml:space="preserve"> INDEX(L830:AV830, , MATCH($F$847, L$817:AV$817, 0))</f>
        <v>827.43128123694396</v>
      </c>
      <c r="H863" s="3">
        <f xml:space="preserve"> SUMIFS(L830:AV830, L$817:AV$817, "&gt;=" &amp; F$846)</f>
        <v>7048.7685315570543</v>
      </c>
      <c r="I863" s="62" t="str">
        <f xml:space="preserve"> G830</f>
        <v>$ mn</v>
      </c>
    </row>
    <row r="864" spans="3:9" s="3" customFormat="1" ht="15" customHeight="1">
      <c r="C864" s="434"/>
      <c r="D864" s="850"/>
      <c r="E864" s="62" t="str">
        <f xml:space="preserve"> E831</f>
        <v>Cobalt net revenue</v>
      </c>
      <c r="F864" s="3">
        <f xml:space="preserve"> SUMIFS(J831:AT831, J$817:AT$817, "&gt;=" &amp; F$845)</f>
        <v>7544.2272910711363</v>
      </c>
      <c r="G864" s="62" cm="1">
        <f t="array" ref="G864" xml:space="preserve"> INDEX(L831:AV831, , MATCH($F$847, L$817:AV$817, 0))</f>
        <v>962.82272674877015</v>
      </c>
      <c r="H864" s="3">
        <f xml:space="preserve"> SUMIFS(L831:AV831, L$817:AV$817, "&gt;=" &amp; F$846)</f>
        <v>4318.6154076934317</v>
      </c>
      <c r="I864" s="62" t="str">
        <f xml:space="preserve"> G831</f>
        <v>$ mn</v>
      </c>
    </row>
    <row r="865" spans="1:48" s="3" customFormat="1" ht="15" customHeight="1">
      <c r="C865" s="434"/>
      <c r="D865" s="850"/>
      <c r="E865" s="62" t="str">
        <f xml:space="preserve"> E832</f>
        <v>Copper &amp; Cobalt net revenue</v>
      </c>
      <c r="F865" s="3">
        <f xml:space="preserve"> SUMIFS(J832:AT832, J$817:AT$817, "&gt;=" &amp; F$845)</f>
        <v>19011.922098404622</v>
      </c>
      <c r="G865" s="62" cm="1">
        <f t="array" ref="G865" xml:space="preserve"> INDEX(L832:AV832, , MATCH($F$847, L$817:AV$817, 0))</f>
        <v>1790.254007985714</v>
      </c>
      <c r="H865" s="3">
        <f xml:space="preserve"> SUMIFS(L832:AV832, L$817:AV$817, "&gt;=" &amp; F$846)</f>
        <v>11367.383939250485</v>
      </c>
      <c r="I865" s="62" t="str">
        <f xml:space="preserve"> G832</f>
        <v>$ mn</v>
      </c>
    </row>
    <row r="866" spans="1:48" s="3" customFormat="1" ht="15" customHeight="1">
      <c r="C866" s="434"/>
      <c r="D866" s="850"/>
      <c r="E866" s="62"/>
      <c r="G866" s="62"/>
      <c r="I866" s="62"/>
    </row>
    <row r="867" spans="1:48" s="3" customFormat="1" ht="15" customHeight="1">
      <c r="C867" s="434"/>
      <c r="D867" s="850"/>
      <c r="E867" s="62"/>
      <c r="G867" s="62"/>
      <c r="I867" s="62"/>
    </row>
    <row r="868" spans="1:48" s="3" customFormat="1" ht="15" customHeight="1">
      <c r="C868" s="434"/>
      <c r="D868" s="850"/>
      <c r="E868" s="62" t="str">
        <f xml:space="preserve"> E835</f>
        <v>Alternative Operating Cost Profile</v>
      </c>
      <c r="F868" s="3">
        <f xml:space="preserve"> SUMIFS(J835:AT835, J$817:AT$817, "&gt;=" &amp; F$845)</f>
        <v>9907.4531304831744</v>
      </c>
      <c r="G868" s="62" cm="1">
        <f t="array" ref="G868" xml:space="preserve"> INDEX(L835:AV835, , MATCH($F$847, L$817:AV$817, 0))</f>
        <v>705</v>
      </c>
      <c r="H868" s="3">
        <f xml:space="preserve"> SUMIFS(L835:AV835, L$817:AV$817, "&gt;=" &amp; F$846)</f>
        <v>6758.5974930344937</v>
      </c>
      <c r="I868" s="62" t="str">
        <f xml:space="preserve"> G835</f>
        <v>$ mn</v>
      </c>
    </row>
    <row r="869" spans="1:48" s="3" customFormat="1" ht="15" customHeight="1">
      <c r="C869" s="434"/>
      <c r="D869" s="850"/>
      <c r="E869" s="62" t="str">
        <f xml:space="preserve"> E836</f>
        <v>Capital Costs inc. Sens.</v>
      </c>
      <c r="F869" s="3">
        <f xml:space="preserve"> SUMIFS(J836:AT836, J$817:AT$817, "&gt;=" &amp; F$845)</f>
        <v>1501.9969697316285</v>
      </c>
      <c r="G869" s="62" cm="1">
        <f t="array" ref="G869" xml:space="preserve"> INDEX(L836:AV836, , MATCH($F$847, L$817:AV$817, 0))</f>
        <v>22.205587260857488</v>
      </c>
      <c r="H869" s="3">
        <f xml:space="preserve"> SUMIFS(L836:AV836, L$817:AV$817, "&gt;=" &amp; F$846)</f>
        <v>174.60669228524603</v>
      </c>
      <c r="I869" s="62" t="str">
        <f xml:space="preserve"> G836</f>
        <v>$ mn</v>
      </c>
    </row>
    <row r="870" spans="1:48" s="3" customFormat="1" ht="15" customHeight="1">
      <c r="C870" s="434"/>
      <c r="D870" s="850"/>
      <c r="E870" s="62" t="str">
        <f xml:space="preserve"> E837</f>
        <v>Project costs</v>
      </c>
      <c r="F870" s="3">
        <f xml:space="preserve"> SUMIFS(J837:AT837, J$817:AT$817, "&gt;=" &amp; F$845)</f>
        <v>11409.450100214803</v>
      </c>
      <c r="G870" s="62" cm="1">
        <f t="array" ref="G870" xml:space="preserve"> INDEX(L837:AV837, , MATCH($F$847, L$817:AV$817, 0))</f>
        <v>727.20558726085744</v>
      </c>
      <c r="H870" s="3">
        <f xml:space="preserve"> SUMIFS(L837:AV837, L$817:AV$817, "&gt;=" &amp; F$846)</f>
        <v>6933.2041853197397</v>
      </c>
      <c r="I870" s="62" t="str">
        <f xml:space="preserve"> G837</f>
        <v>$ mn</v>
      </c>
    </row>
    <row r="871" spans="1:48" s="3" customFormat="1" ht="15" customHeight="1">
      <c r="C871" s="434"/>
      <c r="D871" s="850"/>
      <c r="E871" s="62"/>
      <c r="G871" s="62"/>
      <c r="I871" s="62"/>
    </row>
    <row r="872" spans="1:48" s="3" customFormat="1" ht="15" customHeight="1">
      <c r="C872" s="434"/>
      <c r="D872" s="850"/>
      <c r="E872" s="62" t="str">
        <f xml:space="preserve"> E839</f>
        <v>Project cashflows before fiscal regime</v>
      </c>
      <c r="F872" s="3">
        <f xml:space="preserve"> SUMIFS(J839:AT839, J$817:AT$817, "&gt;=" &amp; F$845)</f>
        <v>7602.4719981898188</v>
      </c>
      <c r="G872" s="62" cm="1">
        <f t="array" ref="G872" xml:space="preserve"> INDEX(L839:AV839, , MATCH($F$847, L$817:AV$817, 0))</f>
        <v>1063.0484207248564</v>
      </c>
      <c r="H872" s="3">
        <f xml:space="preserve"> SUMIFS(L839:AV839, L$817:AV$817, "&gt;=" &amp; F$846)</f>
        <v>4434.1797539307463</v>
      </c>
      <c r="I872" s="62" t="str">
        <f xml:space="preserve"> G839</f>
        <v>$ mn</v>
      </c>
      <c r="X872" s="3" t="s">
        <v>1313</v>
      </c>
    </row>
    <row r="873" spans="1:48" s="3" customFormat="1" ht="15" customHeight="1">
      <c r="C873" s="434"/>
      <c r="D873" s="850"/>
      <c r="E873" s="690"/>
      <c r="F873" s="690"/>
      <c r="G873" s="690"/>
      <c r="H873" s="690"/>
      <c r="I873" s="296"/>
    </row>
    <row r="874" spans="1:48" s="3" customFormat="1" ht="15" customHeight="1">
      <c r="C874" s="434"/>
      <c r="D874" s="850"/>
      <c r="E874" s="679"/>
      <c r="F874" s="679"/>
      <c r="G874" s="679"/>
    </row>
    <row r="875" spans="1:48" s="3" customFormat="1" ht="15" customHeight="1">
      <c r="B875" s="241" t="s">
        <v>666</v>
      </c>
      <c r="C875" s="434"/>
      <c r="D875" s="850"/>
    </row>
    <row r="876" spans="1:48" s="3" customFormat="1" ht="15" customHeight="1">
      <c r="B876" s="241"/>
      <c r="C876" s="434"/>
      <c r="D876" s="850"/>
      <c r="E876" s="108" t="str">
        <f xml:space="preserve"> 'T&amp;E'!E$9</f>
        <v>Model calendar year</v>
      </c>
      <c r="F876" s="108">
        <f xml:space="preserve"> 'T&amp;E'!F$9</f>
        <v>0</v>
      </c>
      <c r="G876" s="108" t="str">
        <f xml:space="preserve"> 'T&amp;E'!G$9</f>
        <v>year</v>
      </c>
      <c r="H876" s="108">
        <f xml:space="preserve"> 'T&amp;E'!H$9</f>
        <v>0</v>
      </c>
      <c r="I876" s="108">
        <f xml:space="preserve"> 'T&amp;E'!I$9</f>
        <v>0</v>
      </c>
      <c r="J876" s="108">
        <f xml:space="preserve"> 'T&amp;E'!J$9</f>
        <v>0</v>
      </c>
      <c r="K876" s="108">
        <f xml:space="preserve"> 'T&amp;E'!K$9</f>
        <v>0</v>
      </c>
      <c r="L876" s="108">
        <f xml:space="preserve"> 'T&amp;E'!L$9</f>
        <v>2014</v>
      </c>
      <c r="M876" s="108">
        <f xml:space="preserve"> 'T&amp;E'!M$9</f>
        <v>2015</v>
      </c>
      <c r="N876" s="108">
        <f xml:space="preserve"> 'T&amp;E'!N$9</f>
        <v>2016</v>
      </c>
      <c r="O876" s="108">
        <f xml:space="preserve"> 'T&amp;E'!O$9</f>
        <v>2017</v>
      </c>
      <c r="P876" s="108">
        <f xml:space="preserve"> 'T&amp;E'!P$9</f>
        <v>2018</v>
      </c>
      <c r="Q876" s="108">
        <f xml:space="preserve"> 'T&amp;E'!Q$9</f>
        <v>2019</v>
      </c>
      <c r="R876" s="108">
        <f xml:space="preserve"> 'T&amp;E'!R$9</f>
        <v>2020</v>
      </c>
      <c r="S876" s="108">
        <f xml:space="preserve"> 'T&amp;E'!S$9</f>
        <v>2021</v>
      </c>
      <c r="T876" s="108">
        <f xml:space="preserve"> 'T&amp;E'!T$9</f>
        <v>2022</v>
      </c>
      <c r="U876" s="108">
        <f xml:space="preserve"> 'T&amp;E'!U$9</f>
        <v>2023</v>
      </c>
      <c r="V876" s="108">
        <f xml:space="preserve"> 'T&amp;E'!V$9</f>
        <v>2024</v>
      </c>
      <c r="W876" s="108">
        <f xml:space="preserve"> 'T&amp;E'!W$9</f>
        <v>2025</v>
      </c>
      <c r="X876" s="108">
        <f xml:space="preserve"> 'T&amp;E'!X$9</f>
        <v>2026</v>
      </c>
      <c r="Y876" s="108">
        <f xml:space="preserve"> 'T&amp;E'!Y$9</f>
        <v>2027</v>
      </c>
      <c r="Z876" s="108">
        <f xml:space="preserve"> 'T&amp;E'!Z$9</f>
        <v>2028</v>
      </c>
      <c r="AA876" s="108">
        <f xml:space="preserve"> 'T&amp;E'!AA$9</f>
        <v>2029</v>
      </c>
      <c r="AB876" s="108">
        <f xml:space="preserve"> 'T&amp;E'!AB$9</f>
        <v>2030</v>
      </c>
      <c r="AC876" s="108">
        <f xml:space="preserve"> 'T&amp;E'!AC$9</f>
        <v>2031</v>
      </c>
      <c r="AD876" s="108">
        <f xml:space="preserve"> 'T&amp;E'!AD$9</f>
        <v>2032</v>
      </c>
      <c r="AE876" s="108">
        <f xml:space="preserve"> 'T&amp;E'!AE$9</f>
        <v>2033</v>
      </c>
      <c r="AF876" s="108">
        <f xml:space="preserve"> 'T&amp;E'!AF$9</f>
        <v>2034</v>
      </c>
      <c r="AG876" s="108">
        <f xml:space="preserve"> 'T&amp;E'!AG$9</f>
        <v>2035</v>
      </c>
      <c r="AH876" s="108">
        <f xml:space="preserve"> 'T&amp;E'!AH$9</f>
        <v>2036</v>
      </c>
      <c r="AI876" s="108">
        <f xml:space="preserve"> 'T&amp;E'!AI$9</f>
        <v>2037</v>
      </c>
      <c r="AJ876" s="108">
        <f xml:space="preserve"> 'T&amp;E'!AJ$9</f>
        <v>2038</v>
      </c>
      <c r="AK876" s="108">
        <f xml:space="preserve"> 'T&amp;E'!AK$9</f>
        <v>2039</v>
      </c>
      <c r="AL876" s="108">
        <f xml:space="preserve"> 'T&amp;E'!AL$9</f>
        <v>2040</v>
      </c>
      <c r="AM876" s="108">
        <f xml:space="preserve"> 'T&amp;E'!AM$9</f>
        <v>2041</v>
      </c>
      <c r="AN876" s="108">
        <f xml:space="preserve"> 'T&amp;E'!AN$9</f>
        <v>2042</v>
      </c>
      <c r="AO876" s="108">
        <f xml:space="preserve"> 'T&amp;E'!AO$9</f>
        <v>2043</v>
      </c>
      <c r="AP876" s="108">
        <f xml:space="preserve"> 'T&amp;E'!AP$9</f>
        <v>2044</v>
      </c>
      <c r="AQ876" s="108">
        <f xml:space="preserve"> 'T&amp;E'!AQ$9</f>
        <v>2045</v>
      </c>
      <c r="AR876" s="108">
        <f xml:space="preserve"> 'T&amp;E'!AR$9</f>
        <v>2046</v>
      </c>
      <c r="AS876" s="108">
        <f xml:space="preserve"> 'T&amp;E'!AS$9</f>
        <v>2047</v>
      </c>
      <c r="AT876" s="108">
        <f xml:space="preserve"> 'T&amp;E'!AT$9</f>
        <v>2048</v>
      </c>
      <c r="AU876" s="108">
        <f xml:space="preserve"> 'T&amp;E'!AU$9</f>
        <v>2049</v>
      </c>
      <c r="AV876" s="108">
        <f xml:space="preserve"> 'T&amp;E'!AV$9</f>
        <v>2050</v>
      </c>
    </row>
    <row r="877" spans="1:48" s="393" customFormat="1" ht="15" customHeight="1">
      <c r="A877" s="388"/>
      <c r="B877" s="389"/>
      <c r="C877" s="390"/>
      <c r="D877" s="861"/>
      <c r="E877" s="391"/>
      <c r="F877" s="391" t="s">
        <v>610</v>
      </c>
      <c r="G877" s="391"/>
      <c r="H877" s="391"/>
      <c r="I877" s="391"/>
      <c r="J877" s="391"/>
      <c r="K877" s="391"/>
      <c r="L877" s="391"/>
      <c r="M877" s="391"/>
      <c r="N877" s="391"/>
      <c r="O877" s="391"/>
      <c r="P877" s="391"/>
      <c r="Q877" s="391"/>
      <c r="R877" s="391"/>
      <c r="S877" s="391"/>
      <c r="T877" s="391"/>
      <c r="U877" s="391"/>
      <c r="V877" s="391"/>
      <c r="W877" s="391"/>
      <c r="X877" s="391"/>
      <c r="Y877" s="391"/>
      <c r="Z877" s="391"/>
      <c r="AA877" s="391"/>
      <c r="AB877" s="391"/>
      <c r="AC877" s="391"/>
      <c r="AD877" s="391"/>
      <c r="AE877" s="391"/>
      <c r="AF877" s="391"/>
      <c r="AG877" s="391"/>
      <c r="AH877" s="391"/>
      <c r="AI877" s="391"/>
      <c r="AJ877" s="391"/>
      <c r="AK877" s="391"/>
      <c r="AL877" s="391"/>
      <c r="AM877" s="391"/>
      <c r="AN877" s="391"/>
      <c r="AO877" s="391"/>
      <c r="AP877" s="391"/>
      <c r="AQ877" s="391"/>
      <c r="AR877" s="391"/>
      <c r="AS877" s="391"/>
      <c r="AT877" s="391"/>
      <c r="AU877" s="391"/>
      <c r="AV877" s="391"/>
    </row>
    <row r="878" spans="1:48" s="441" customFormat="1" ht="15" customHeight="1">
      <c r="A878" s="566"/>
      <c r="B878" s="566"/>
      <c r="C878" s="567"/>
      <c r="D878" s="864"/>
      <c r="E878" s="102" t="str">
        <f t="shared" ref="E878:AV878" si="400" xml:space="preserve"> E$241</f>
        <v>Cu + Co government royalty</v>
      </c>
      <c r="F878" s="102">
        <f t="shared" si="400"/>
        <v>0</v>
      </c>
      <c r="G878" s="102" t="str">
        <f t="shared" si="400"/>
        <v>$ mn</v>
      </c>
      <c r="H878" s="102">
        <f t="shared" si="400"/>
        <v>0</v>
      </c>
      <c r="I878" s="102">
        <f t="shared" si="400"/>
        <v>0</v>
      </c>
      <c r="J878" s="102">
        <f t="shared" si="400"/>
        <v>1154.1185307309543</v>
      </c>
      <c r="K878" s="102">
        <f t="shared" si="400"/>
        <v>0</v>
      </c>
      <c r="L878" s="102">
        <f t="shared" si="400"/>
        <v>0</v>
      </c>
      <c r="M878" s="102">
        <f t="shared" si="400"/>
        <v>0</v>
      </c>
      <c r="N878" s="102">
        <f t="shared" si="400"/>
        <v>0</v>
      </c>
      <c r="O878" s="102">
        <f t="shared" si="400"/>
        <v>0</v>
      </c>
      <c r="P878" s="102">
        <f t="shared" si="400"/>
        <v>1.3427250785885494</v>
      </c>
      <c r="Q878" s="102">
        <f t="shared" si="400"/>
        <v>59.696032281620234</v>
      </c>
      <c r="R878" s="102">
        <f t="shared" si="400"/>
        <v>49.751271941506673</v>
      </c>
      <c r="S878" s="102">
        <f t="shared" si="400"/>
        <v>100.44151821818988</v>
      </c>
      <c r="T878" s="102">
        <f t="shared" si="400"/>
        <v>125.24236751817006</v>
      </c>
      <c r="U878" s="102">
        <f t="shared" si="400"/>
        <v>74.909657127852839</v>
      </c>
      <c r="V878" s="102">
        <f t="shared" si="400"/>
        <v>64.166519191185927</v>
      </c>
      <c r="W878" s="102">
        <f t="shared" si="400"/>
        <v>83.797779767771601</v>
      </c>
      <c r="X878" s="102">
        <f t="shared" si="400"/>
        <v>82.486579491115037</v>
      </c>
      <c r="Y878" s="102">
        <f t="shared" si="400"/>
        <v>79.838713164114836</v>
      </c>
      <c r="Z878" s="102">
        <f t="shared" si="400"/>
        <v>83.346107494918243</v>
      </c>
      <c r="AA878" s="102">
        <f t="shared" si="400"/>
        <v>83.122063374167709</v>
      </c>
      <c r="AB878" s="102">
        <f t="shared" si="400"/>
        <v>82.215048780097291</v>
      </c>
      <c r="AC878" s="102">
        <f t="shared" si="400"/>
        <v>90.275004523844174</v>
      </c>
      <c r="AD878" s="102">
        <f t="shared" si="400"/>
        <v>93.487142777811286</v>
      </c>
      <c r="AE878" s="102">
        <f t="shared" si="400"/>
        <v>0</v>
      </c>
      <c r="AF878" s="102">
        <f t="shared" si="400"/>
        <v>0</v>
      </c>
      <c r="AG878" s="102">
        <f t="shared" si="400"/>
        <v>0</v>
      </c>
      <c r="AH878" s="102">
        <f t="shared" si="400"/>
        <v>0</v>
      </c>
      <c r="AI878" s="102">
        <f t="shared" si="400"/>
        <v>0</v>
      </c>
      <c r="AJ878" s="102">
        <f t="shared" si="400"/>
        <v>0</v>
      </c>
      <c r="AK878" s="102">
        <f t="shared" si="400"/>
        <v>0</v>
      </c>
      <c r="AL878" s="102">
        <f t="shared" si="400"/>
        <v>0</v>
      </c>
      <c r="AM878" s="102">
        <f t="shared" si="400"/>
        <v>0</v>
      </c>
      <c r="AN878" s="102">
        <f t="shared" si="400"/>
        <v>0</v>
      </c>
      <c r="AO878" s="102">
        <f t="shared" si="400"/>
        <v>0</v>
      </c>
      <c r="AP878" s="102">
        <f t="shared" si="400"/>
        <v>0</v>
      </c>
      <c r="AQ878" s="102">
        <f t="shared" si="400"/>
        <v>0</v>
      </c>
      <c r="AR878" s="102">
        <f t="shared" si="400"/>
        <v>0</v>
      </c>
      <c r="AS878" s="102">
        <f t="shared" si="400"/>
        <v>0</v>
      </c>
      <c r="AT878" s="102">
        <f t="shared" si="400"/>
        <v>0</v>
      </c>
      <c r="AU878" s="102">
        <f t="shared" si="400"/>
        <v>0</v>
      </c>
      <c r="AV878" s="102">
        <f t="shared" si="400"/>
        <v>0</v>
      </c>
    </row>
    <row r="879" spans="1:48" s="441" customFormat="1" ht="15" customHeight="1">
      <c r="A879" s="566"/>
      <c r="B879" s="566"/>
      <c r="C879" s="567"/>
      <c r="D879" s="864"/>
      <c r="E879" s="102" t="str">
        <f t="shared" ref="E879:AV879" si="401" xml:space="preserve"> E$307</f>
        <v>Turnover tax (Chiffre d'Affaires 0.3PC)</v>
      </c>
      <c r="F879" s="102">
        <f t="shared" si="401"/>
        <v>0</v>
      </c>
      <c r="G879" s="102" t="str">
        <f t="shared" si="401"/>
        <v>$ mn</v>
      </c>
      <c r="H879" s="102">
        <f t="shared" si="401"/>
        <v>0</v>
      </c>
      <c r="I879" s="102">
        <f t="shared" si="401"/>
        <v>0</v>
      </c>
      <c r="J879" s="102">
        <f t="shared" si="401"/>
        <v>57.035766295213875</v>
      </c>
      <c r="K879" s="102">
        <f t="shared" si="401"/>
        <v>0</v>
      </c>
      <c r="L879" s="102">
        <f t="shared" si="401"/>
        <v>0</v>
      </c>
      <c r="M879" s="102">
        <f t="shared" si="401"/>
        <v>0</v>
      </c>
      <c r="N879" s="102">
        <f t="shared" si="401"/>
        <v>0</v>
      </c>
      <c r="O879" s="102">
        <f t="shared" si="401"/>
        <v>0</v>
      </c>
      <c r="P879" s="102">
        <f t="shared" si="401"/>
        <v>0.2014087617882824</v>
      </c>
      <c r="Q879" s="102">
        <f t="shared" si="401"/>
        <v>2.8397867531093386</v>
      </c>
      <c r="R879" s="102">
        <f t="shared" si="401"/>
        <v>2.4029186334589721</v>
      </c>
      <c r="S879" s="102">
        <f t="shared" si="401"/>
        <v>4.6647816973138623</v>
      </c>
      <c r="T879" s="102">
        <f t="shared" si="401"/>
        <v>5.3707620239571421</v>
      </c>
      <c r="U879" s="102">
        <f t="shared" si="401"/>
        <v>3.8609864429442342</v>
      </c>
      <c r="V879" s="102">
        <f t="shared" si="401"/>
        <v>3.5929701648905819</v>
      </c>
      <c r="W879" s="102">
        <f t="shared" si="401"/>
        <v>4.2112770109237267</v>
      </c>
      <c r="X879" s="102">
        <f t="shared" si="401"/>
        <v>4.1734041896755718</v>
      </c>
      <c r="Y879" s="102">
        <f t="shared" si="401"/>
        <v>4.1076505879026843</v>
      </c>
      <c r="Z879" s="102">
        <f t="shared" si="401"/>
        <v>4.1950049876038724</v>
      </c>
      <c r="AA879" s="102">
        <f t="shared" si="401"/>
        <v>4.1800550590593506</v>
      </c>
      <c r="AB879" s="102">
        <f t="shared" si="401"/>
        <v>4.2019989650855409</v>
      </c>
      <c r="AC879" s="102">
        <f t="shared" si="401"/>
        <v>4.4714046473635181</v>
      </c>
      <c r="AD879" s="102">
        <f t="shared" si="401"/>
        <v>4.5613563701371929</v>
      </c>
      <c r="AE879" s="102">
        <f t="shared" si="401"/>
        <v>0</v>
      </c>
      <c r="AF879" s="102">
        <f t="shared" si="401"/>
        <v>0</v>
      </c>
      <c r="AG879" s="102">
        <f t="shared" si="401"/>
        <v>0</v>
      </c>
      <c r="AH879" s="102">
        <f t="shared" si="401"/>
        <v>0</v>
      </c>
      <c r="AI879" s="102">
        <f t="shared" si="401"/>
        <v>0</v>
      </c>
      <c r="AJ879" s="102">
        <f t="shared" si="401"/>
        <v>0</v>
      </c>
      <c r="AK879" s="102">
        <f t="shared" si="401"/>
        <v>0</v>
      </c>
      <c r="AL879" s="102">
        <f t="shared" si="401"/>
        <v>0</v>
      </c>
      <c r="AM879" s="102">
        <f t="shared" si="401"/>
        <v>0</v>
      </c>
      <c r="AN879" s="102">
        <f t="shared" si="401"/>
        <v>0</v>
      </c>
      <c r="AO879" s="102">
        <f t="shared" si="401"/>
        <v>0</v>
      </c>
      <c r="AP879" s="102">
        <f t="shared" si="401"/>
        <v>0</v>
      </c>
      <c r="AQ879" s="102">
        <f t="shared" si="401"/>
        <v>0</v>
      </c>
      <c r="AR879" s="102">
        <f t="shared" si="401"/>
        <v>0</v>
      </c>
      <c r="AS879" s="102">
        <f t="shared" si="401"/>
        <v>0</v>
      </c>
      <c r="AT879" s="102">
        <f t="shared" si="401"/>
        <v>0</v>
      </c>
      <c r="AU879" s="102">
        <f t="shared" si="401"/>
        <v>0</v>
      </c>
      <c r="AV879" s="102">
        <f t="shared" si="401"/>
        <v>0</v>
      </c>
    </row>
    <row r="880" spans="1:48" s="441" customFormat="1" ht="15" customHeight="1">
      <c r="A880" s="566"/>
      <c r="B880" s="566"/>
      <c r="C880" s="567"/>
      <c r="D880" s="864"/>
      <c r="E880" s="102" t="str">
        <f t="shared" ref="E880:AV880" si="402" xml:space="preserve"> E$583</f>
        <v>CIT payable</v>
      </c>
      <c r="F880" s="102">
        <f t="shared" si="402"/>
        <v>0</v>
      </c>
      <c r="G880" s="102" t="str">
        <f t="shared" si="402"/>
        <v>$ mn</v>
      </c>
      <c r="H880" s="102">
        <f t="shared" si="402"/>
        <v>0</v>
      </c>
      <c r="I880" s="102">
        <f t="shared" si="402"/>
        <v>0</v>
      </c>
      <c r="J880" s="102">
        <f t="shared" si="402"/>
        <v>1375.6952723039724</v>
      </c>
      <c r="K880" s="102">
        <f t="shared" si="402"/>
        <v>0</v>
      </c>
      <c r="L880" s="102">
        <f t="shared" si="402"/>
        <v>0</v>
      </c>
      <c r="M880" s="102">
        <f t="shared" si="402"/>
        <v>0</v>
      </c>
      <c r="N880" s="102">
        <f t="shared" si="402"/>
        <v>0</v>
      </c>
      <c r="O880" s="102">
        <f t="shared" si="402"/>
        <v>0</v>
      </c>
      <c r="P880" s="102">
        <f t="shared" si="402"/>
        <v>0.6713625392942747</v>
      </c>
      <c r="Q880" s="102">
        <f t="shared" si="402"/>
        <v>183.17829112570044</v>
      </c>
      <c r="R880" s="102">
        <f t="shared" si="402"/>
        <v>37.162397854489413</v>
      </c>
      <c r="S880" s="102">
        <f t="shared" si="402"/>
        <v>171.7373177444376</v>
      </c>
      <c r="T880" s="102">
        <f t="shared" si="402"/>
        <v>175.18703567870509</v>
      </c>
      <c r="U880" s="102">
        <f t="shared" si="402"/>
        <v>34.153976633190744</v>
      </c>
      <c r="V880" s="102">
        <f t="shared" si="402"/>
        <v>11.976567216301939</v>
      </c>
      <c r="W880" s="102">
        <f t="shared" si="402"/>
        <v>85.016741604265363</v>
      </c>
      <c r="X880" s="102">
        <f t="shared" si="402"/>
        <v>85.767391044424485</v>
      </c>
      <c r="Y880" s="102">
        <f t="shared" si="402"/>
        <v>80.116120896881185</v>
      </c>
      <c r="Z880" s="102">
        <f t="shared" si="402"/>
        <v>85.114435537737563</v>
      </c>
      <c r="AA880" s="102">
        <f t="shared" si="402"/>
        <v>87.686432998471005</v>
      </c>
      <c r="AB880" s="102">
        <f t="shared" si="402"/>
        <v>94.242093101167413</v>
      </c>
      <c r="AC880" s="102">
        <f t="shared" si="402"/>
        <v>124.99406869768933</v>
      </c>
      <c r="AD880" s="102">
        <f t="shared" si="402"/>
        <v>118.69103963121651</v>
      </c>
      <c r="AE880" s="102">
        <f t="shared" si="402"/>
        <v>0</v>
      </c>
      <c r="AF880" s="102">
        <f t="shared" si="402"/>
        <v>0</v>
      </c>
      <c r="AG880" s="102">
        <f t="shared" si="402"/>
        <v>0</v>
      </c>
      <c r="AH880" s="102">
        <f t="shared" si="402"/>
        <v>0</v>
      </c>
      <c r="AI880" s="102">
        <f t="shared" si="402"/>
        <v>0</v>
      </c>
      <c r="AJ880" s="102">
        <f t="shared" si="402"/>
        <v>0</v>
      </c>
      <c r="AK880" s="102">
        <f t="shared" si="402"/>
        <v>0</v>
      </c>
      <c r="AL880" s="102">
        <f t="shared" si="402"/>
        <v>0</v>
      </c>
      <c r="AM880" s="102">
        <f t="shared" si="402"/>
        <v>0</v>
      </c>
      <c r="AN880" s="102">
        <f t="shared" si="402"/>
        <v>0</v>
      </c>
      <c r="AO880" s="102">
        <f t="shared" si="402"/>
        <v>0</v>
      </c>
      <c r="AP880" s="102">
        <f t="shared" si="402"/>
        <v>0</v>
      </c>
      <c r="AQ880" s="102">
        <f t="shared" si="402"/>
        <v>0</v>
      </c>
      <c r="AR880" s="102">
        <f t="shared" si="402"/>
        <v>0</v>
      </c>
      <c r="AS880" s="102">
        <f t="shared" si="402"/>
        <v>0</v>
      </c>
      <c r="AT880" s="102">
        <f t="shared" si="402"/>
        <v>0</v>
      </c>
      <c r="AU880" s="102">
        <f t="shared" si="402"/>
        <v>0</v>
      </c>
      <c r="AV880" s="102">
        <f t="shared" si="402"/>
        <v>0</v>
      </c>
    </row>
    <row r="881" spans="1:48" s="441" customFormat="1" ht="15" customHeight="1">
      <c r="A881" s="566"/>
      <c r="B881" s="566"/>
      <c r="C881" s="567"/>
      <c r="D881" s="864"/>
      <c r="E881" s="102" t="str">
        <f t="shared" ref="E881:AV881" si="403" xml:space="preserve"> E$530</f>
        <v>Special Tax On Excess Profits</v>
      </c>
      <c r="F881" s="102">
        <f t="shared" si="403"/>
        <v>0</v>
      </c>
      <c r="G881" s="102" t="str">
        <f t="shared" si="403"/>
        <v>$ mn</v>
      </c>
      <c r="H881" s="102">
        <f t="shared" si="403"/>
        <v>0</v>
      </c>
      <c r="I881" s="102">
        <f t="shared" si="403"/>
        <v>0</v>
      </c>
      <c r="J881" s="102">
        <f t="shared" si="403"/>
        <v>0</v>
      </c>
      <c r="K881" s="102">
        <f t="shared" si="403"/>
        <v>0</v>
      </c>
      <c r="L881" s="102">
        <f t="shared" si="403"/>
        <v>0</v>
      </c>
      <c r="M881" s="102">
        <f t="shared" si="403"/>
        <v>0</v>
      </c>
      <c r="N881" s="102">
        <f t="shared" si="403"/>
        <v>0</v>
      </c>
      <c r="O881" s="102">
        <f t="shared" si="403"/>
        <v>0</v>
      </c>
      <c r="P881" s="102">
        <f t="shared" si="403"/>
        <v>0</v>
      </c>
      <c r="Q881" s="102">
        <f t="shared" si="403"/>
        <v>0</v>
      </c>
      <c r="R881" s="102">
        <f t="shared" si="403"/>
        <v>0</v>
      </c>
      <c r="S881" s="102">
        <f t="shared" si="403"/>
        <v>0</v>
      </c>
      <c r="T881" s="102">
        <f t="shared" si="403"/>
        <v>0</v>
      </c>
      <c r="U881" s="102">
        <f t="shared" si="403"/>
        <v>0</v>
      </c>
      <c r="V881" s="102">
        <f t="shared" si="403"/>
        <v>0</v>
      </c>
      <c r="W881" s="102">
        <f t="shared" si="403"/>
        <v>0</v>
      </c>
      <c r="X881" s="102">
        <f t="shared" si="403"/>
        <v>0</v>
      </c>
      <c r="Y881" s="102">
        <f t="shared" si="403"/>
        <v>0</v>
      </c>
      <c r="Z881" s="102">
        <f t="shared" si="403"/>
        <v>0</v>
      </c>
      <c r="AA881" s="102">
        <f t="shared" si="403"/>
        <v>0</v>
      </c>
      <c r="AB881" s="102">
        <f t="shared" si="403"/>
        <v>0</v>
      </c>
      <c r="AC881" s="102">
        <f t="shared" si="403"/>
        <v>0</v>
      </c>
      <c r="AD881" s="102">
        <f t="shared" si="403"/>
        <v>0</v>
      </c>
      <c r="AE881" s="102">
        <f t="shared" si="403"/>
        <v>0</v>
      </c>
      <c r="AF881" s="102">
        <f t="shared" si="403"/>
        <v>0</v>
      </c>
      <c r="AG881" s="102">
        <f t="shared" si="403"/>
        <v>0</v>
      </c>
      <c r="AH881" s="102">
        <f t="shared" si="403"/>
        <v>0</v>
      </c>
      <c r="AI881" s="102">
        <f t="shared" si="403"/>
        <v>0</v>
      </c>
      <c r="AJ881" s="102">
        <f t="shared" si="403"/>
        <v>0</v>
      </c>
      <c r="AK881" s="102">
        <f t="shared" si="403"/>
        <v>0</v>
      </c>
      <c r="AL881" s="102">
        <f t="shared" si="403"/>
        <v>0</v>
      </c>
      <c r="AM881" s="102">
        <f t="shared" si="403"/>
        <v>0</v>
      </c>
      <c r="AN881" s="102">
        <f t="shared" si="403"/>
        <v>0</v>
      </c>
      <c r="AO881" s="102">
        <f t="shared" si="403"/>
        <v>0</v>
      </c>
      <c r="AP881" s="102">
        <f t="shared" si="403"/>
        <v>0</v>
      </c>
      <c r="AQ881" s="102">
        <f t="shared" si="403"/>
        <v>0</v>
      </c>
      <c r="AR881" s="102">
        <f t="shared" si="403"/>
        <v>0</v>
      </c>
      <c r="AS881" s="102">
        <f t="shared" si="403"/>
        <v>0</v>
      </c>
      <c r="AT881" s="102">
        <f t="shared" si="403"/>
        <v>0</v>
      </c>
      <c r="AU881" s="102">
        <f t="shared" si="403"/>
        <v>0</v>
      </c>
      <c r="AV881" s="102">
        <f t="shared" si="403"/>
        <v>0</v>
      </c>
    </row>
    <row r="882" spans="1:48" s="441" customFormat="1" ht="15" customHeight="1">
      <c r="A882" s="566"/>
      <c r="B882" s="566"/>
      <c r="C882" s="567"/>
      <c r="D882" s="864"/>
      <c r="E882" s="102" t="str">
        <f t="shared" ref="E882:AV882" si="404" xml:space="preserve"> E$653</f>
        <v>Payroll taxes (included in costs)</v>
      </c>
      <c r="F882" s="102">
        <f t="shared" si="404"/>
        <v>0</v>
      </c>
      <c r="G882" s="102" t="str">
        <f t="shared" si="404"/>
        <v>$ mn</v>
      </c>
      <c r="H882" s="102">
        <f t="shared" si="404"/>
        <v>0</v>
      </c>
      <c r="I882" s="102">
        <f t="shared" si="404"/>
        <v>0</v>
      </c>
      <c r="J882" s="102">
        <f t="shared" si="404"/>
        <v>198.14906260966347</v>
      </c>
      <c r="K882" s="102">
        <f t="shared" si="404"/>
        <v>0</v>
      </c>
      <c r="L882" s="102">
        <f t="shared" si="404"/>
        <v>0</v>
      </c>
      <c r="M882" s="102">
        <f t="shared" si="404"/>
        <v>0</v>
      </c>
      <c r="N882" s="102">
        <f t="shared" si="404"/>
        <v>0</v>
      </c>
      <c r="O882" s="102">
        <f t="shared" si="404"/>
        <v>0</v>
      </c>
      <c r="P882" s="102">
        <f t="shared" si="404"/>
        <v>0</v>
      </c>
      <c r="Q882" s="102">
        <f t="shared" si="404"/>
        <v>0</v>
      </c>
      <c r="R882" s="102">
        <f t="shared" si="404"/>
        <v>8.5400000000000009</v>
      </c>
      <c r="S882" s="102">
        <f t="shared" si="404"/>
        <v>10.64</v>
      </c>
      <c r="T882" s="102">
        <f t="shared" si="404"/>
        <v>14.1</v>
      </c>
      <c r="U882" s="102">
        <f t="shared" si="404"/>
        <v>14.485831425574377</v>
      </c>
      <c r="V882" s="102">
        <f t="shared" si="404"/>
        <v>15.211281323399248</v>
      </c>
      <c r="W882" s="102">
        <f t="shared" si="404"/>
        <v>15.70909013691362</v>
      </c>
      <c r="X882" s="102">
        <f t="shared" si="404"/>
        <v>16.018442795506687</v>
      </c>
      <c r="Y882" s="102">
        <f t="shared" si="404"/>
        <v>16.337476745333156</v>
      </c>
      <c r="Z882" s="102">
        <f t="shared" si="404"/>
        <v>16.756732538326823</v>
      </c>
      <c r="AA882" s="102">
        <f t="shared" si="404"/>
        <v>17.024409072806872</v>
      </c>
      <c r="AB882" s="102">
        <f t="shared" si="404"/>
        <v>17.332453605128741</v>
      </c>
      <c r="AC882" s="102">
        <f t="shared" si="404"/>
        <v>17.944513126258659</v>
      </c>
      <c r="AD882" s="102">
        <f t="shared" si="404"/>
        <v>18.048831840415318</v>
      </c>
      <c r="AE882" s="102">
        <f t="shared" si="404"/>
        <v>0</v>
      </c>
      <c r="AF882" s="102">
        <f t="shared" si="404"/>
        <v>0</v>
      </c>
      <c r="AG882" s="102">
        <f t="shared" si="404"/>
        <v>0</v>
      </c>
      <c r="AH882" s="102">
        <f t="shared" si="404"/>
        <v>0</v>
      </c>
      <c r="AI882" s="102">
        <f t="shared" si="404"/>
        <v>0</v>
      </c>
      <c r="AJ882" s="102">
        <f t="shared" si="404"/>
        <v>0</v>
      </c>
      <c r="AK882" s="102">
        <f t="shared" si="404"/>
        <v>0</v>
      </c>
      <c r="AL882" s="102">
        <f t="shared" si="404"/>
        <v>0</v>
      </c>
      <c r="AM882" s="102">
        <f t="shared" si="404"/>
        <v>0</v>
      </c>
      <c r="AN882" s="102">
        <f t="shared" si="404"/>
        <v>0</v>
      </c>
      <c r="AO882" s="102">
        <f t="shared" si="404"/>
        <v>0</v>
      </c>
      <c r="AP882" s="102">
        <f t="shared" si="404"/>
        <v>0</v>
      </c>
      <c r="AQ882" s="102">
        <f t="shared" si="404"/>
        <v>0</v>
      </c>
      <c r="AR882" s="102">
        <f t="shared" si="404"/>
        <v>0</v>
      </c>
      <c r="AS882" s="102">
        <f t="shared" si="404"/>
        <v>0</v>
      </c>
      <c r="AT882" s="102">
        <f t="shared" si="404"/>
        <v>0</v>
      </c>
      <c r="AU882" s="102">
        <f t="shared" si="404"/>
        <v>0</v>
      </c>
      <c r="AV882" s="102">
        <f t="shared" si="404"/>
        <v>0</v>
      </c>
    </row>
    <row r="883" spans="1:48" s="441" customFormat="1" ht="15" customHeight="1">
      <c r="A883" s="566"/>
      <c r="B883" s="566"/>
      <c r="C883" s="567"/>
      <c r="D883" s="864"/>
      <c r="E883" s="102" t="str">
        <f t="shared" ref="E883:AV883" si="405" xml:space="preserve"> E$654</f>
        <v>Import duties</v>
      </c>
      <c r="F883" s="102">
        <f t="shared" si="405"/>
        <v>0</v>
      </c>
      <c r="G883" s="102" t="str">
        <f t="shared" si="405"/>
        <v>$ mn</v>
      </c>
      <c r="H883" s="102">
        <f t="shared" si="405"/>
        <v>0</v>
      </c>
      <c r="I883" s="102">
        <f t="shared" si="405"/>
        <v>0</v>
      </c>
      <c r="J883" s="102">
        <f t="shared" si="405"/>
        <v>15.316407444483447</v>
      </c>
      <c r="K883" s="102">
        <f t="shared" si="405"/>
        <v>0</v>
      </c>
      <c r="L883" s="102">
        <f t="shared" si="405"/>
        <v>0</v>
      </c>
      <c r="M883" s="102">
        <f t="shared" si="405"/>
        <v>0</v>
      </c>
      <c r="N883" s="102">
        <f t="shared" si="405"/>
        <v>0</v>
      </c>
      <c r="O883" s="102">
        <f t="shared" si="405"/>
        <v>0</v>
      </c>
      <c r="P883" s="102">
        <f t="shared" si="405"/>
        <v>1.7756350777216481</v>
      </c>
      <c r="Q883" s="102">
        <f t="shared" si="405"/>
        <v>3.4820250524972924</v>
      </c>
      <c r="R883" s="102">
        <f t="shared" si="405"/>
        <v>0</v>
      </c>
      <c r="S883" s="102">
        <f t="shared" si="405"/>
        <v>0</v>
      </c>
      <c r="T883" s="102">
        <f t="shared" si="405"/>
        <v>10.058747314264506</v>
      </c>
      <c r="U883" s="102">
        <f t="shared" si="405"/>
        <v>0</v>
      </c>
      <c r="V883" s="102">
        <f t="shared" si="405"/>
        <v>0</v>
      </c>
      <c r="W883" s="102">
        <f t="shared" si="405"/>
        <v>0</v>
      </c>
      <c r="X883" s="102">
        <f t="shared" si="405"/>
        <v>0</v>
      </c>
      <c r="Y883" s="102">
        <f t="shared" si="405"/>
        <v>0</v>
      </c>
      <c r="Z883" s="102">
        <f t="shared" si="405"/>
        <v>0</v>
      </c>
      <c r="AA883" s="102">
        <f t="shared" si="405"/>
        <v>0</v>
      </c>
      <c r="AB883" s="102">
        <f t="shared" si="405"/>
        <v>0</v>
      </c>
      <c r="AC883" s="102">
        <f t="shared" si="405"/>
        <v>0</v>
      </c>
      <c r="AD883" s="102">
        <f t="shared" si="405"/>
        <v>0</v>
      </c>
      <c r="AE883" s="102">
        <f t="shared" si="405"/>
        <v>0</v>
      </c>
      <c r="AF883" s="102">
        <f t="shared" si="405"/>
        <v>0</v>
      </c>
      <c r="AG883" s="102">
        <f t="shared" si="405"/>
        <v>0</v>
      </c>
      <c r="AH883" s="102">
        <f t="shared" si="405"/>
        <v>0</v>
      </c>
      <c r="AI883" s="102">
        <f t="shared" si="405"/>
        <v>0</v>
      </c>
      <c r="AJ883" s="102">
        <f t="shared" si="405"/>
        <v>0</v>
      </c>
      <c r="AK883" s="102">
        <f t="shared" si="405"/>
        <v>0</v>
      </c>
      <c r="AL883" s="102">
        <f t="shared" si="405"/>
        <v>0</v>
      </c>
      <c r="AM883" s="102">
        <f t="shared" si="405"/>
        <v>0</v>
      </c>
      <c r="AN883" s="102">
        <f t="shared" si="405"/>
        <v>0</v>
      </c>
      <c r="AO883" s="102">
        <f t="shared" si="405"/>
        <v>0</v>
      </c>
      <c r="AP883" s="102">
        <f t="shared" si="405"/>
        <v>0</v>
      </c>
      <c r="AQ883" s="102">
        <f t="shared" si="405"/>
        <v>0</v>
      </c>
      <c r="AR883" s="102">
        <f t="shared" si="405"/>
        <v>0</v>
      </c>
      <c r="AS883" s="102">
        <f t="shared" si="405"/>
        <v>0</v>
      </c>
      <c r="AT883" s="102">
        <f t="shared" si="405"/>
        <v>0</v>
      </c>
      <c r="AU883" s="102">
        <f t="shared" si="405"/>
        <v>0</v>
      </c>
      <c r="AV883" s="102">
        <f t="shared" si="405"/>
        <v>0</v>
      </c>
    </row>
    <row r="884" spans="1:48" s="441" customFormat="1" ht="15" customHeight="1">
      <c r="A884" s="566"/>
      <c r="B884" s="566"/>
      <c r="C884" s="567"/>
      <c r="D884" s="864"/>
      <c r="E884" s="532" t="str">
        <f t="shared" ref="E884:AV884" si="406" xml:space="preserve"> E$725</f>
        <v>Interest Withholding Tax</v>
      </c>
      <c r="F884" s="532">
        <f t="shared" si="406"/>
        <v>0</v>
      </c>
      <c r="G884" s="532" t="str">
        <f t="shared" si="406"/>
        <v>$ mn</v>
      </c>
      <c r="H884" s="532">
        <f t="shared" si="406"/>
        <v>0</v>
      </c>
      <c r="I884" s="532">
        <f t="shared" si="406"/>
        <v>0</v>
      </c>
      <c r="J884" s="532">
        <f t="shared" si="406"/>
        <v>0</v>
      </c>
      <c r="K884" s="532">
        <f t="shared" si="406"/>
        <v>0</v>
      </c>
      <c r="L884" s="532">
        <f t="shared" si="406"/>
        <v>0</v>
      </c>
      <c r="M884" s="532">
        <f t="shared" si="406"/>
        <v>0</v>
      </c>
      <c r="N884" s="532">
        <f t="shared" si="406"/>
        <v>0</v>
      </c>
      <c r="O884" s="532">
        <f t="shared" si="406"/>
        <v>0</v>
      </c>
      <c r="P884" s="532">
        <f t="shared" si="406"/>
        <v>0</v>
      </c>
      <c r="Q884" s="532">
        <f t="shared" si="406"/>
        <v>0</v>
      </c>
      <c r="R884" s="532">
        <f t="shared" si="406"/>
        <v>0</v>
      </c>
      <c r="S884" s="532">
        <f t="shared" si="406"/>
        <v>0</v>
      </c>
      <c r="T884" s="532">
        <f t="shared" si="406"/>
        <v>0</v>
      </c>
      <c r="U884" s="532">
        <f t="shared" si="406"/>
        <v>0</v>
      </c>
      <c r="V884" s="532">
        <f t="shared" si="406"/>
        <v>0</v>
      </c>
      <c r="W884" s="532">
        <f t="shared" si="406"/>
        <v>0</v>
      </c>
      <c r="X884" s="532">
        <f t="shared" si="406"/>
        <v>0</v>
      </c>
      <c r="Y884" s="532">
        <f t="shared" si="406"/>
        <v>0</v>
      </c>
      <c r="Z884" s="532">
        <f t="shared" si="406"/>
        <v>0</v>
      </c>
      <c r="AA884" s="532">
        <f t="shared" si="406"/>
        <v>0</v>
      </c>
      <c r="AB884" s="532">
        <f t="shared" si="406"/>
        <v>0</v>
      </c>
      <c r="AC884" s="532">
        <f t="shared" si="406"/>
        <v>0</v>
      </c>
      <c r="AD884" s="532">
        <f t="shared" si="406"/>
        <v>0</v>
      </c>
      <c r="AE884" s="532">
        <f t="shared" si="406"/>
        <v>0</v>
      </c>
      <c r="AF884" s="532">
        <f t="shared" si="406"/>
        <v>0</v>
      </c>
      <c r="AG884" s="532">
        <f t="shared" si="406"/>
        <v>0</v>
      </c>
      <c r="AH884" s="532">
        <f t="shared" si="406"/>
        <v>0</v>
      </c>
      <c r="AI884" s="532">
        <f t="shared" si="406"/>
        <v>0</v>
      </c>
      <c r="AJ884" s="532">
        <f t="shared" si="406"/>
        <v>0</v>
      </c>
      <c r="AK884" s="532">
        <f t="shared" si="406"/>
        <v>0</v>
      </c>
      <c r="AL884" s="532">
        <f t="shared" si="406"/>
        <v>0</v>
      </c>
      <c r="AM884" s="532">
        <f t="shared" si="406"/>
        <v>0</v>
      </c>
      <c r="AN884" s="532">
        <f t="shared" si="406"/>
        <v>0</v>
      </c>
      <c r="AO884" s="532">
        <f t="shared" si="406"/>
        <v>0</v>
      </c>
      <c r="AP884" s="532">
        <f t="shared" si="406"/>
        <v>0</v>
      </c>
      <c r="AQ884" s="532">
        <f t="shared" si="406"/>
        <v>0</v>
      </c>
      <c r="AR884" s="532">
        <f t="shared" si="406"/>
        <v>0</v>
      </c>
      <c r="AS884" s="532">
        <f t="shared" si="406"/>
        <v>0</v>
      </c>
      <c r="AT884" s="532">
        <f t="shared" si="406"/>
        <v>0</v>
      </c>
      <c r="AU884" s="532">
        <f t="shared" si="406"/>
        <v>0</v>
      </c>
      <c r="AV884" s="532">
        <f t="shared" si="406"/>
        <v>0</v>
      </c>
    </row>
    <row r="885" spans="1:48" s="441" customFormat="1" ht="15" customHeight="1">
      <c r="A885" s="566"/>
      <c r="B885" s="566"/>
      <c r="C885" s="567"/>
      <c r="D885" s="864"/>
      <c r="E885" s="532" t="str">
        <f t="shared" ref="E885:AV885" si="407" xml:space="preserve"> E$763</f>
        <v>Dividend withholding tax</v>
      </c>
      <c r="F885" s="532">
        <f t="shared" si="407"/>
        <v>0</v>
      </c>
      <c r="G885" s="532" t="str">
        <f t="shared" si="407"/>
        <v>$ mn</v>
      </c>
      <c r="H885" s="532">
        <f t="shared" si="407"/>
        <v>0</v>
      </c>
      <c r="I885" s="532">
        <f t="shared" si="407"/>
        <v>0</v>
      </c>
      <c r="J885" s="102">
        <f t="shared" si="407"/>
        <v>284.73360235425861</v>
      </c>
      <c r="K885" s="102">
        <f t="shared" si="407"/>
        <v>0</v>
      </c>
      <c r="L885" s="102">
        <f t="shared" si="407"/>
        <v>0</v>
      </c>
      <c r="M885" s="102">
        <f t="shared" si="407"/>
        <v>0</v>
      </c>
      <c r="N885" s="102">
        <f t="shared" si="407"/>
        <v>0</v>
      </c>
      <c r="O885" s="102">
        <f t="shared" si="407"/>
        <v>0</v>
      </c>
      <c r="P885" s="102">
        <f t="shared" si="407"/>
        <v>0</v>
      </c>
      <c r="Q885" s="102">
        <f t="shared" si="407"/>
        <v>25.902127734161525</v>
      </c>
      <c r="R885" s="102">
        <f t="shared" si="407"/>
        <v>16.890896425955646</v>
      </c>
      <c r="S885" s="102">
        <f t="shared" si="407"/>
        <v>55.660156486177186</v>
      </c>
      <c r="T885" s="102">
        <f t="shared" si="407"/>
        <v>52.940986442394319</v>
      </c>
      <c r="U885" s="102">
        <f t="shared" si="407"/>
        <v>22.541759252892845</v>
      </c>
      <c r="V885" s="102">
        <f t="shared" si="407"/>
        <v>11.400590730927673</v>
      </c>
      <c r="W885" s="102">
        <f t="shared" si="407"/>
        <v>16.314082116819993</v>
      </c>
      <c r="X885" s="102">
        <f t="shared" si="407"/>
        <v>9.8143467987945492</v>
      </c>
      <c r="Y885" s="102">
        <f t="shared" si="407"/>
        <v>3.9561482189484538</v>
      </c>
      <c r="Z885" s="102">
        <f t="shared" si="407"/>
        <v>0</v>
      </c>
      <c r="AA885" s="102">
        <f t="shared" si="407"/>
        <v>0</v>
      </c>
      <c r="AB885" s="102">
        <f t="shared" si="407"/>
        <v>8.91545080946082</v>
      </c>
      <c r="AC885" s="102">
        <f t="shared" si="407"/>
        <v>29.433232336642178</v>
      </c>
      <c r="AD885" s="102">
        <f t="shared" si="407"/>
        <v>30.963825001083411</v>
      </c>
      <c r="AE885" s="102">
        <f t="shared" si="407"/>
        <v>0</v>
      </c>
      <c r="AF885" s="102">
        <f t="shared" si="407"/>
        <v>0</v>
      </c>
      <c r="AG885" s="102">
        <f t="shared" si="407"/>
        <v>0</v>
      </c>
      <c r="AH885" s="102">
        <f t="shared" si="407"/>
        <v>0</v>
      </c>
      <c r="AI885" s="102">
        <f t="shared" si="407"/>
        <v>0</v>
      </c>
      <c r="AJ885" s="102">
        <f t="shared" si="407"/>
        <v>0</v>
      </c>
      <c r="AK885" s="102">
        <f t="shared" si="407"/>
        <v>0</v>
      </c>
      <c r="AL885" s="102">
        <f t="shared" si="407"/>
        <v>0</v>
      </c>
      <c r="AM885" s="102">
        <f t="shared" si="407"/>
        <v>0</v>
      </c>
      <c r="AN885" s="102">
        <f t="shared" si="407"/>
        <v>0</v>
      </c>
      <c r="AO885" s="102">
        <f t="shared" si="407"/>
        <v>0</v>
      </c>
      <c r="AP885" s="102">
        <f t="shared" si="407"/>
        <v>0</v>
      </c>
      <c r="AQ885" s="102">
        <f t="shared" si="407"/>
        <v>0</v>
      </c>
      <c r="AR885" s="102">
        <f t="shared" si="407"/>
        <v>0</v>
      </c>
      <c r="AS885" s="102">
        <f t="shared" si="407"/>
        <v>0</v>
      </c>
      <c r="AT885" s="102">
        <f t="shared" si="407"/>
        <v>0</v>
      </c>
      <c r="AU885" s="102">
        <f t="shared" si="407"/>
        <v>0</v>
      </c>
      <c r="AV885" s="102">
        <f t="shared" si="407"/>
        <v>0</v>
      </c>
    </row>
    <row r="886" spans="1:48" s="441" customFormat="1" ht="15" customHeight="1">
      <c r="A886" s="566"/>
      <c r="B886" s="566"/>
      <c r="C886" s="567"/>
      <c r="D886" s="864"/>
      <c r="E886" s="750" t="str">
        <f t="shared" ref="E886:AV886" si="408" xml:space="preserve"> E$639</f>
        <v>WHT on non-resident services</v>
      </c>
      <c r="F886" s="750">
        <f t="shared" si="408"/>
        <v>0</v>
      </c>
      <c r="G886" s="750" t="str">
        <f t="shared" si="408"/>
        <v>$ mn</v>
      </c>
      <c r="H886" s="750">
        <f t="shared" si="408"/>
        <v>0</v>
      </c>
      <c r="I886" s="750">
        <f t="shared" si="408"/>
        <v>0</v>
      </c>
      <c r="J886" s="750">
        <f t="shared" si="408"/>
        <v>116.1293554984677</v>
      </c>
      <c r="K886" s="750">
        <f t="shared" si="408"/>
        <v>0</v>
      </c>
      <c r="L886" s="750">
        <f t="shared" si="408"/>
        <v>0</v>
      </c>
      <c r="M886" s="750">
        <f t="shared" si="408"/>
        <v>0</v>
      </c>
      <c r="N886" s="750">
        <f t="shared" si="408"/>
        <v>0</v>
      </c>
      <c r="O886" s="750">
        <f t="shared" si="408"/>
        <v>0</v>
      </c>
      <c r="P886" s="750">
        <f t="shared" si="408"/>
        <v>19.799919999999997</v>
      </c>
      <c r="Q886" s="750">
        <f t="shared" si="408"/>
        <v>3.4417600000000004</v>
      </c>
      <c r="R886" s="750">
        <f t="shared" si="408"/>
        <v>4.905153633597104</v>
      </c>
      <c r="S886" s="750">
        <f t="shared" si="408"/>
        <v>5.0413991194314169</v>
      </c>
      <c r="T886" s="750">
        <f t="shared" si="408"/>
        <v>6.6039795103128069</v>
      </c>
      <c r="U886" s="750">
        <f t="shared" si="408"/>
        <v>6.480050692231405</v>
      </c>
      <c r="V886" s="750">
        <f t="shared" si="408"/>
        <v>7.2970733100523271</v>
      </c>
      <c r="W886" s="750">
        <f t="shared" si="408"/>
        <v>7.1625197884942295</v>
      </c>
      <c r="X886" s="750">
        <f t="shared" si="408"/>
        <v>7.7389916412084201</v>
      </c>
      <c r="Y886" s="750">
        <f t="shared" si="408"/>
        <v>7.3653308966799234</v>
      </c>
      <c r="Z886" s="750">
        <f t="shared" si="408"/>
        <v>7.8155346410725848</v>
      </c>
      <c r="AA886" s="750">
        <f t="shared" si="408"/>
        <v>7.6564461253809046</v>
      </c>
      <c r="AB886" s="750">
        <f t="shared" si="408"/>
        <v>8.5170433605766043</v>
      </c>
      <c r="AC886" s="750">
        <f t="shared" si="408"/>
        <v>8.0311319353889452</v>
      </c>
      <c r="AD886" s="750">
        <f t="shared" si="408"/>
        <v>8.2730208440410351</v>
      </c>
      <c r="AE886" s="750">
        <f t="shared" si="408"/>
        <v>0</v>
      </c>
      <c r="AF886" s="750">
        <f t="shared" si="408"/>
        <v>0</v>
      </c>
      <c r="AG886" s="750">
        <f t="shared" si="408"/>
        <v>0</v>
      </c>
      <c r="AH886" s="750">
        <f t="shared" si="408"/>
        <v>0</v>
      </c>
      <c r="AI886" s="750">
        <f t="shared" si="408"/>
        <v>0</v>
      </c>
      <c r="AJ886" s="750">
        <f t="shared" si="408"/>
        <v>0</v>
      </c>
      <c r="AK886" s="750">
        <f t="shared" si="408"/>
        <v>0</v>
      </c>
      <c r="AL886" s="750">
        <f t="shared" si="408"/>
        <v>0</v>
      </c>
      <c r="AM886" s="750">
        <f t="shared" si="408"/>
        <v>0</v>
      </c>
      <c r="AN886" s="750">
        <f t="shared" si="408"/>
        <v>0</v>
      </c>
      <c r="AO886" s="750">
        <f t="shared" si="408"/>
        <v>0</v>
      </c>
      <c r="AP886" s="750">
        <f t="shared" si="408"/>
        <v>0</v>
      </c>
      <c r="AQ886" s="750">
        <f t="shared" si="408"/>
        <v>0</v>
      </c>
      <c r="AR886" s="750">
        <f t="shared" si="408"/>
        <v>0</v>
      </c>
      <c r="AS886" s="750">
        <f t="shared" si="408"/>
        <v>0</v>
      </c>
      <c r="AT886" s="750">
        <f t="shared" si="408"/>
        <v>0</v>
      </c>
      <c r="AU886" s="750">
        <f t="shared" si="408"/>
        <v>0</v>
      </c>
      <c r="AV886" s="750">
        <f t="shared" si="408"/>
        <v>0</v>
      </c>
    </row>
    <row r="887" spans="1:48" s="393" customFormat="1" ht="15" customHeight="1">
      <c r="A887" s="388"/>
      <c r="B887" s="389"/>
      <c r="C887" s="390"/>
      <c r="D887" s="861"/>
      <c r="E887" s="391"/>
      <c r="F887" s="391" t="s">
        <v>611</v>
      </c>
      <c r="G887" s="391"/>
      <c r="H887" s="391"/>
      <c r="I887" s="391"/>
      <c r="J887" s="391"/>
      <c r="K887" s="391"/>
      <c r="L887" s="391"/>
      <c r="M887" s="391"/>
      <c r="N887" s="391"/>
      <c r="O887" s="391"/>
      <c r="P887" s="391"/>
      <c r="Q887" s="391"/>
      <c r="R887" s="391"/>
      <c r="S887" s="391"/>
      <c r="T887" s="391"/>
      <c r="U887" s="391"/>
      <c r="V887" s="391"/>
      <c r="W887" s="391"/>
      <c r="X887" s="391"/>
      <c r="Y887" s="391"/>
      <c r="Z887" s="391"/>
      <c r="AA887" s="391"/>
      <c r="AB887" s="391"/>
      <c r="AC887" s="391"/>
      <c r="AD887" s="391"/>
      <c r="AE887" s="391"/>
      <c r="AF887" s="391"/>
      <c r="AG887" s="391"/>
      <c r="AH887" s="391"/>
      <c r="AI887" s="391"/>
      <c r="AJ887" s="391"/>
      <c r="AK887" s="391"/>
      <c r="AL887" s="391"/>
      <c r="AM887" s="391"/>
      <c r="AN887" s="391"/>
      <c r="AO887" s="391"/>
      <c r="AP887" s="391"/>
      <c r="AQ887" s="391"/>
      <c r="AR887" s="391"/>
      <c r="AS887" s="391"/>
      <c r="AT887" s="391"/>
      <c r="AU887" s="391"/>
      <c r="AV887" s="391"/>
    </row>
    <row r="888" spans="1:48" s="441" customFormat="1" ht="15" customHeight="1">
      <c r="A888" s="566"/>
      <c r="B888" s="566"/>
      <c r="C888" s="567"/>
      <c r="D888" s="864"/>
      <c r="E888" s="102" t="s">
        <v>679</v>
      </c>
      <c r="F888" s="102"/>
      <c r="G888" s="102" t="s">
        <v>29</v>
      </c>
      <c r="H888" s="102"/>
      <c r="I888" s="102"/>
      <c r="J888" s="102">
        <f xml:space="preserve"> SUM(L888:AV888)</f>
        <v>3201.1779972370141</v>
      </c>
      <c r="K888" s="102"/>
      <c r="L888" s="102">
        <f t="shared" ref="L888:AV888" si="409" xml:space="preserve"> SUM(L877:L887)</f>
        <v>0</v>
      </c>
      <c r="M888" s="102">
        <f t="shared" si="409"/>
        <v>0</v>
      </c>
      <c r="N888" s="102">
        <f t="shared" si="409"/>
        <v>0</v>
      </c>
      <c r="O888" s="102">
        <f t="shared" si="409"/>
        <v>0</v>
      </c>
      <c r="P888" s="102">
        <f t="shared" si="409"/>
        <v>23.791051457392751</v>
      </c>
      <c r="Q888" s="102">
        <f t="shared" si="409"/>
        <v>278.54002294708886</v>
      </c>
      <c r="R888" s="102">
        <f t="shared" si="409"/>
        <v>119.65263848900783</v>
      </c>
      <c r="S888" s="102">
        <f t="shared" si="409"/>
        <v>348.18517326554991</v>
      </c>
      <c r="T888" s="102">
        <f t="shared" si="409"/>
        <v>389.50387848780395</v>
      </c>
      <c r="U888" s="102">
        <f t="shared" si="409"/>
        <v>156.43226157468644</v>
      </c>
      <c r="V888" s="102">
        <f t="shared" si="409"/>
        <v>113.64500193675771</v>
      </c>
      <c r="W888" s="102">
        <f t="shared" si="409"/>
        <v>212.21149042518854</v>
      </c>
      <c r="X888" s="102">
        <f t="shared" si="409"/>
        <v>205.99915596072478</v>
      </c>
      <c r="Y888" s="102">
        <f t="shared" si="409"/>
        <v>191.72144050986023</v>
      </c>
      <c r="Z888" s="102">
        <f t="shared" si="409"/>
        <v>197.22781519965909</v>
      </c>
      <c r="AA888" s="102">
        <f t="shared" si="409"/>
        <v>199.66940662988583</v>
      </c>
      <c r="AB888" s="102">
        <f t="shared" si="409"/>
        <v>215.42408862151638</v>
      </c>
      <c r="AC888" s="102">
        <f t="shared" si="409"/>
        <v>275.14935526718682</v>
      </c>
      <c r="AD888" s="102">
        <f t="shared" si="409"/>
        <v>274.02521646470473</v>
      </c>
      <c r="AE888" s="102">
        <f t="shared" si="409"/>
        <v>0</v>
      </c>
      <c r="AF888" s="102">
        <f t="shared" si="409"/>
        <v>0</v>
      </c>
      <c r="AG888" s="102">
        <f t="shared" si="409"/>
        <v>0</v>
      </c>
      <c r="AH888" s="102">
        <f t="shared" si="409"/>
        <v>0</v>
      </c>
      <c r="AI888" s="102">
        <f t="shared" si="409"/>
        <v>0</v>
      </c>
      <c r="AJ888" s="102">
        <f t="shared" si="409"/>
        <v>0</v>
      </c>
      <c r="AK888" s="102">
        <f t="shared" si="409"/>
        <v>0</v>
      </c>
      <c r="AL888" s="102">
        <f t="shared" si="409"/>
        <v>0</v>
      </c>
      <c r="AM888" s="102">
        <f t="shared" si="409"/>
        <v>0</v>
      </c>
      <c r="AN888" s="102">
        <f t="shared" si="409"/>
        <v>0</v>
      </c>
      <c r="AO888" s="102">
        <f t="shared" si="409"/>
        <v>0</v>
      </c>
      <c r="AP888" s="102">
        <f t="shared" si="409"/>
        <v>0</v>
      </c>
      <c r="AQ888" s="102">
        <f t="shared" si="409"/>
        <v>0</v>
      </c>
      <c r="AR888" s="102">
        <f t="shared" si="409"/>
        <v>0</v>
      </c>
      <c r="AS888" s="102">
        <f t="shared" si="409"/>
        <v>0</v>
      </c>
      <c r="AT888" s="102">
        <f t="shared" si="409"/>
        <v>0</v>
      </c>
      <c r="AU888" s="102">
        <f t="shared" si="409"/>
        <v>0</v>
      </c>
      <c r="AV888" s="102">
        <f t="shared" si="409"/>
        <v>0</v>
      </c>
    </row>
    <row r="889" spans="1:48" s="441" customFormat="1" ht="15" customHeight="1">
      <c r="A889" s="566"/>
      <c r="B889" s="566"/>
      <c r="C889" s="567"/>
      <c r="D889" s="864"/>
      <c r="E889" s="102" t="str">
        <f t="shared" ref="E889:AV889" si="410" xml:space="preserve"> E$752</f>
        <v>Gecamines share of net cashflows after tax</v>
      </c>
      <c r="F889" s="102">
        <f t="shared" si="410"/>
        <v>0</v>
      </c>
      <c r="G889" s="102" t="str">
        <f t="shared" si="410"/>
        <v>$ mn</v>
      </c>
      <c r="H889" s="102">
        <f t="shared" si="410"/>
        <v>0</v>
      </c>
      <c r="I889" s="102">
        <f t="shared" si="410"/>
        <v>0</v>
      </c>
      <c r="J889" s="102">
        <f t="shared" si="410"/>
        <v>421.58818581567391</v>
      </c>
      <c r="K889" s="102">
        <f t="shared" si="410"/>
        <v>0</v>
      </c>
      <c r="L889" s="102">
        <f t="shared" si="410"/>
        <v>0</v>
      </c>
      <c r="M889" s="102">
        <f t="shared" si="410"/>
        <v>0</v>
      </c>
      <c r="N889" s="102">
        <f t="shared" si="410"/>
        <v>0</v>
      </c>
      <c r="O889" s="102">
        <f t="shared" si="410"/>
        <v>0</v>
      </c>
      <c r="P889" s="102">
        <f t="shared" si="410"/>
        <v>0</v>
      </c>
      <c r="Q889" s="102">
        <f t="shared" si="410"/>
        <v>133.99765846001051</v>
      </c>
      <c r="R889" s="102">
        <f t="shared" si="410"/>
        <v>18.767662695506274</v>
      </c>
      <c r="S889" s="102">
        <f t="shared" si="410"/>
        <v>61.844618317974657</v>
      </c>
      <c r="T889" s="102">
        <f t="shared" si="410"/>
        <v>58.823318269327025</v>
      </c>
      <c r="U889" s="102">
        <f t="shared" si="410"/>
        <v>25.046399169880939</v>
      </c>
      <c r="V889" s="102">
        <f t="shared" si="410"/>
        <v>12.667323034364081</v>
      </c>
      <c r="W889" s="102">
        <f t="shared" si="410"/>
        <v>18.126757907577769</v>
      </c>
      <c r="X889" s="102">
        <f t="shared" si="410"/>
        <v>10.904829776438389</v>
      </c>
      <c r="Y889" s="102">
        <f t="shared" si="410"/>
        <v>4.3957202432760596</v>
      </c>
      <c r="Z889" s="102">
        <f t="shared" si="410"/>
        <v>0</v>
      </c>
      <c r="AA889" s="102">
        <f t="shared" si="410"/>
        <v>0</v>
      </c>
      <c r="AB889" s="102">
        <f t="shared" si="410"/>
        <v>9.9060564549564685</v>
      </c>
      <c r="AC889" s="102">
        <f t="shared" si="410"/>
        <v>32.703591485157972</v>
      </c>
      <c r="AD889" s="102">
        <f t="shared" si="410"/>
        <v>34.404250001203785</v>
      </c>
      <c r="AE889" s="102">
        <f t="shared" si="410"/>
        <v>0</v>
      </c>
      <c r="AF889" s="102">
        <f t="shared" si="410"/>
        <v>0</v>
      </c>
      <c r="AG889" s="102">
        <f t="shared" si="410"/>
        <v>0</v>
      </c>
      <c r="AH889" s="102">
        <f t="shared" si="410"/>
        <v>0</v>
      </c>
      <c r="AI889" s="102">
        <f t="shared" si="410"/>
        <v>0</v>
      </c>
      <c r="AJ889" s="102">
        <f t="shared" si="410"/>
        <v>0</v>
      </c>
      <c r="AK889" s="102">
        <f t="shared" si="410"/>
        <v>0</v>
      </c>
      <c r="AL889" s="102">
        <f t="shared" si="410"/>
        <v>0</v>
      </c>
      <c r="AM889" s="102">
        <f t="shared" si="410"/>
        <v>0</v>
      </c>
      <c r="AN889" s="102">
        <f t="shared" si="410"/>
        <v>0</v>
      </c>
      <c r="AO889" s="102">
        <f t="shared" si="410"/>
        <v>0</v>
      </c>
      <c r="AP889" s="102">
        <f t="shared" si="410"/>
        <v>0</v>
      </c>
      <c r="AQ889" s="102">
        <f t="shared" si="410"/>
        <v>0</v>
      </c>
      <c r="AR889" s="102">
        <f t="shared" si="410"/>
        <v>0</v>
      </c>
      <c r="AS889" s="102">
        <f t="shared" si="410"/>
        <v>0</v>
      </c>
      <c r="AT889" s="102">
        <f t="shared" si="410"/>
        <v>0</v>
      </c>
      <c r="AU889" s="102">
        <f t="shared" si="410"/>
        <v>0</v>
      </c>
      <c r="AV889" s="102">
        <f t="shared" si="410"/>
        <v>0</v>
      </c>
    </row>
    <row r="890" spans="1:48" s="571" customFormat="1" ht="15" customHeight="1">
      <c r="A890" s="568"/>
      <c r="B890" s="568"/>
      <c r="C890" s="569"/>
      <c r="D890" s="865"/>
      <c r="E890" s="570" t="s">
        <v>676</v>
      </c>
      <c r="F890" s="570"/>
      <c r="G890" s="570" t="s">
        <v>29</v>
      </c>
      <c r="H890" s="570">
        <f xml:space="preserve"> H$656</f>
        <v>0</v>
      </c>
      <c r="I890" s="570"/>
      <c r="J890" s="570">
        <f xml:space="preserve"> SUM(L890:AV890)</f>
        <v>3622.7661830526886</v>
      </c>
      <c r="K890" s="570">
        <f xml:space="preserve"> K$656</f>
        <v>0</v>
      </c>
      <c r="L890" s="570">
        <f t="shared" ref="L890:AV890" si="411">SUM(L888:L889)</f>
        <v>0</v>
      </c>
      <c r="M890" s="570">
        <f t="shared" si="411"/>
        <v>0</v>
      </c>
      <c r="N890" s="570">
        <f t="shared" si="411"/>
        <v>0</v>
      </c>
      <c r="O890" s="570">
        <f t="shared" si="411"/>
        <v>0</v>
      </c>
      <c r="P890" s="570">
        <f t="shared" si="411"/>
        <v>23.791051457392751</v>
      </c>
      <c r="Q890" s="570">
        <f t="shared" si="411"/>
        <v>412.5376814070994</v>
      </c>
      <c r="R890" s="570">
        <f t="shared" si="411"/>
        <v>138.4203011845141</v>
      </c>
      <c r="S890" s="570">
        <f t="shared" si="411"/>
        <v>410.02979158352457</v>
      </c>
      <c r="T890" s="570">
        <f t="shared" si="411"/>
        <v>448.32719675713099</v>
      </c>
      <c r="U890" s="570">
        <f t="shared" si="411"/>
        <v>181.47866074456738</v>
      </c>
      <c r="V890" s="570">
        <f t="shared" si="411"/>
        <v>126.3123249711218</v>
      </c>
      <c r="W890" s="570">
        <f t="shared" si="411"/>
        <v>230.33824833276631</v>
      </c>
      <c r="X890" s="570">
        <f t="shared" si="411"/>
        <v>216.90398573716317</v>
      </c>
      <c r="Y890" s="570">
        <f t="shared" si="411"/>
        <v>196.11716075313629</v>
      </c>
      <c r="Z890" s="570">
        <f t="shared" si="411"/>
        <v>197.22781519965909</v>
      </c>
      <c r="AA890" s="570">
        <f t="shared" si="411"/>
        <v>199.66940662988583</v>
      </c>
      <c r="AB890" s="570">
        <f t="shared" si="411"/>
        <v>225.33014507647283</v>
      </c>
      <c r="AC890" s="570">
        <f t="shared" si="411"/>
        <v>307.85294675234479</v>
      </c>
      <c r="AD890" s="570">
        <f t="shared" si="411"/>
        <v>308.42946646590849</v>
      </c>
      <c r="AE890" s="570">
        <f t="shared" si="411"/>
        <v>0</v>
      </c>
      <c r="AF890" s="570">
        <f t="shared" si="411"/>
        <v>0</v>
      </c>
      <c r="AG890" s="570">
        <f t="shared" si="411"/>
        <v>0</v>
      </c>
      <c r="AH890" s="570">
        <f t="shared" si="411"/>
        <v>0</v>
      </c>
      <c r="AI890" s="570">
        <f t="shared" si="411"/>
        <v>0</v>
      </c>
      <c r="AJ890" s="570">
        <f t="shared" si="411"/>
        <v>0</v>
      </c>
      <c r="AK890" s="570">
        <f t="shared" si="411"/>
        <v>0</v>
      </c>
      <c r="AL890" s="570">
        <f t="shared" si="411"/>
        <v>0</v>
      </c>
      <c r="AM890" s="570">
        <f t="shared" si="411"/>
        <v>0</v>
      </c>
      <c r="AN890" s="570">
        <f t="shared" si="411"/>
        <v>0</v>
      </c>
      <c r="AO890" s="570">
        <f t="shared" si="411"/>
        <v>0</v>
      </c>
      <c r="AP890" s="570">
        <f t="shared" si="411"/>
        <v>0</v>
      </c>
      <c r="AQ890" s="570">
        <f t="shared" si="411"/>
        <v>0</v>
      </c>
      <c r="AR890" s="570">
        <f t="shared" si="411"/>
        <v>0</v>
      </c>
      <c r="AS890" s="570">
        <f t="shared" si="411"/>
        <v>0</v>
      </c>
      <c r="AT890" s="570">
        <f t="shared" si="411"/>
        <v>0</v>
      </c>
      <c r="AU890" s="570">
        <f t="shared" si="411"/>
        <v>0</v>
      </c>
      <c r="AV890" s="570">
        <f t="shared" si="411"/>
        <v>0</v>
      </c>
    </row>
    <row r="891" spans="1:48" s="3" customFormat="1" ht="15" customHeight="1">
      <c r="C891" s="434"/>
      <c r="D891" s="850"/>
    </row>
    <row r="892" spans="1:48" s="3" customFormat="1" ht="15" customHeight="1">
      <c r="C892" s="434"/>
      <c r="D892" s="850"/>
      <c r="E892" s="3" t="s">
        <v>793</v>
      </c>
      <c r="F892" s="305">
        <f xml:space="preserve"> SUM(L892:AV892)</f>
        <v>0</v>
      </c>
      <c r="G892" s="3" t="s">
        <v>113</v>
      </c>
      <c r="L892" s="305">
        <f t="shared" ref="L892:AV892" si="412" xml:space="preserve"> IF( ABS(L888 - L923) &gt; CHK_TOL, 1, 0)</f>
        <v>0</v>
      </c>
      <c r="M892" s="305">
        <f t="shared" si="412"/>
        <v>0</v>
      </c>
      <c r="N892" s="305">
        <f t="shared" si="412"/>
        <v>0</v>
      </c>
      <c r="O892" s="305">
        <f t="shared" si="412"/>
        <v>0</v>
      </c>
      <c r="P892" s="305">
        <f t="shared" si="412"/>
        <v>0</v>
      </c>
      <c r="Q892" s="305">
        <f t="shared" si="412"/>
        <v>0</v>
      </c>
      <c r="R892" s="305">
        <f t="shared" si="412"/>
        <v>0</v>
      </c>
      <c r="S892" s="305">
        <f t="shared" si="412"/>
        <v>0</v>
      </c>
      <c r="T892" s="305">
        <f t="shared" si="412"/>
        <v>0</v>
      </c>
      <c r="U892" s="305">
        <f t="shared" si="412"/>
        <v>0</v>
      </c>
      <c r="V892" s="305">
        <f t="shared" si="412"/>
        <v>0</v>
      </c>
      <c r="W892" s="305">
        <f t="shared" si="412"/>
        <v>0</v>
      </c>
      <c r="X892" s="305">
        <f t="shared" si="412"/>
        <v>0</v>
      </c>
      <c r="Y892" s="305">
        <f t="shared" si="412"/>
        <v>0</v>
      </c>
      <c r="Z892" s="305">
        <f t="shared" si="412"/>
        <v>0</v>
      </c>
      <c r="AA892" s="305">
        <f t="shared" si="412"/>
        <v>0</v>
      </c>
      <c r="AB892" s="305">
        <f t="shared" si="412"/>
        <v>0</v>
      </c>
      <c r="AC892" s="305">
        <f t="shared" si="412"/>
        <v>0</v>
      </c>
      <c r="AD892" s="305">
        <f t="shared" si="412"/>
        <v>0</v>
      </c>
      <c r="AE892" s="305">
        <f t="shared" si="412"/>
        <v>0</v>
      </c>
      <c r="AF892" s="305">
        <f t="shared" si="412"/>
        <v>0</v>
      </c>
      <c r="AG892" s="305">
        <f t="shared" si="412"/>
        <v>0</v>
      </c>
      <c r="AH892" s="305">
        <f t="shared" si="412"/>
        <v>0</v>
      </c>
      <c r="AI892" s="305">
        <f t="shared" si="412"/>
        <v>0</v>
      </c>
      <c r="AJ892" s="305">
        <f t="shared" si="412"/>
        <v>0</v>
      </c>
      <c r="AK892" s="305">
        <f t="shared" si="412"/>
        <v>0</v>
      </c>
      <c r="AL892" s="305">
        <f t="shared" si="412"/>
        <v>0</v>
      </c>
      <c r="AM892" s="305">
        <f t="shared" si="412"/>
        <v>0</v>
      </c>
      <c r="AN892" s="305">
        <f t="shared" si="412"/>
        <v>0</v>
      </c>
      <c r="AO892" s="305">
        <f t="shared" si="412"/>
        <v>0</v>
      </c>
      <c r="AP892" s="305">
        <f t="shared" si="412"/>
        <v>0</v>
      </c>
      <c r="AQ892" s="305">
        <f t="shared" si="412"/>
        <v>0</v>
      </c>
      <c r="AR892" s="305">
        <f t="shared" si="412"/>
        <v>0</v>
      </c>
      <c r="AS892" s="305">
        <f t="shared" si="412"/>
        <v>0</v>
      </c>
      <c r="AT892" s="305">
        <f t="shared" si="412"/>
        <v>0</v>
      </c>
      <c r="AU892" s="305">
        <f t="shared" si="412"/>
        <v>0</v>
      </c>
      <c r="AV892" s="305">
        <f t="shared" si="412"/>
        <v>0</v>
      </c>
    </row>
    <row r="893" spans="1:48" s="3" customFormat="1" ht="15" customHeight="1">
      <c r="C893" s="434"/>
      <c r="D893" s="850"/>
    </row>
    <row r="894" spans="1:48" s="3" customFormat="1" ht="15" customHeight="1">
      <c r="C894" s="434"/>
      <c r="D894" s="850"/>
      <c r="E894" s="6" t="str">
        <f t="shared" ref="E894:AV894" si="413" xml:space="preserve"> E$329</f>
        <v>Combined Subnational Revenue Arrears</v>
      </c>
      <c r="F894" s="6">
        <f t="shared" si="413"/>
        <v>0</v>
      </c>
      <c r="G894" s="6" t="str">
        <f t="shared" si="413"/>
        <v>$ mn</v>
      </c>
      <c r="H894" s="6">
        <f t="shared" si="413"/>
        <v>0</v>
      </c>
      <c r="I894" s="6">
        <f t="shared" si="413"/>
        <v>0</v>
      </c>
      <c r="J894" s="6">
        <f t="shared" si="413"/>
        <v>91.906425129627607</v>
      </c>
      <c r="K894" s="6">
        <f t="shared" si="413"/>
        <v>0</v>
      </c>
      <c r="L894" s="6">
        <f t="shared" si="413"/>
        <v>0</v>
      </c>
      <c r="M894" s="6">
        <f t="shared" si="413"/>
        <v>0</v>
      </c>
      <c r="N894" s="6">
        <f t="shared" si="413"/>
        <v>0</v>
      </c>
      <c r="O894" s="6">
        <f t="shared" si="413"/>
        <v>0</v>
      </c>
      <c r="P894" s="6">
        <f t="shared" si="413"/>
        <v>0.34958388178828237</v>
      </c>
      <c r="Q894" s="6">
        <f t="shared" si="413"/>
        <v>7.4526085431093385</v>
      </c>
      <c r="R894" s="6">
        <f t="shared" si="413"/>
        <v>16.298395203458973</v>
      </c>
      <c r="S894" s="6">
        <f t="shared" si="413"/>
        <v>29.515717477313871</v>
      </c>
      <c r="T894" s="6">
        <f t="shared" si="413"/>
        <v>38.290120023957144</v>
      </c>
      <c r="U894" s="6">
        <f t="shared" si="413"/>
        <v>0</v>
      </c>
      <c r="V894" s="6">
        <f t="shared" si="413"/>
        <v>0</v>
      </c>
      <c r="W894" s="6">
        <f t="shared" si="413"/>
        <v>0</v>
      </c>
      <c r="X894" s="6">
        <f t="shared" si="413"/>
        <v>0</v>
      </c>
      <c r="Y894" s="6">
        <f t="shared" si="413"/>
        <v>0</v>
      </c>
      <c r="Z894" s="6">
        <f t="shared" si="413"/>
        <v>0</v>
      </c>
      <c r="AA894" s="6">
        <f t="shared" si="413"/>
        <v>0</v>
      </c>
      <c r="AB894" s="6">
        <f t="shared" si="413"/>
        <v>0</v>
      </c>
      <c r="AC894" s="6">
        <f t="shared" si="413"/>
        <v>0</v>
      </c>
      <c r="AD894" s="6">
        <f t="shared" si="413"/>
        <v>0</v>
      </c>
      <c r="AE894" s="6">
        <f t="shared" si="413"/>
        <v>0</v>
      </c>
      <c r="AF894" s="6">
        <f t="shared" si="413"/>
        <v>0</v>
      </c>
      <c r="AG894" s="6">
        <f t="shared" si="413"/>
        <v>0</v>
      </c>
      <c r="AH894" s="6">
        <f t="shared" si="413"/>
        <v>0</v>
      </c>
      <c r="AI894" s="6">
        <f t="shared" si="413"/>
        <v>0</v>
      </c>
      <c r="AJ894" s="6">
        <f t="shared" si="413"/>
        <v>0</v>
      </c>
      <c r="AK894" s="6">
        <f t="shared" si="413"/>
        <v>0</v>
      </c>
      <c r="AL894" s="6">
        <f t="shared" si="413"/>
        <v>0</v>
      </c>
      <c r="AM894" s="6">
        <f t="shared" si="413"/>
        <v>0</v>
      </c>
      <c r="AN894" s="6">
        <f t="shared" si="413"/>
        <v>0</v>
      </c>
      <c r="AO894" s="6">
        <f t="shared" si="413"/>
        <v>0</v>
      </c>
      <c r="AP894" s="6">
        <f t="shared" si="413"/>
        <v>0</v>
      </c>
      <c r="AQ894" s="6">
        <f t="shared" si="413"/>
        <v>0</v>
      </c>
      <c r="AR894" s="6">
        <f t="shared" si="413"/>
        <v>0</v>
      </c>
      <c r="AS894" s="6">
        <f t="shared" si="413"/>
        <v>0</v>
      </c>
      <c r="AT894" s="6">
        <f t="shared" si="413"/>
        <v>0</v>
      </c>
      <c r="AU894" s="6">
        <f t="shared" si="413"/>
        <v>0</v>
      </c>
      <c r="AV894" s="6">
        <f t="shared" si="413"/>
        <v>0</v>
      </c>
    </row>
    <row r="895" spans="1:48" s="3" customFormat="1" ht="15" customHeight="1">
      <c r="C895" s="434"/>
      <c r="D895" s="850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</row>
    <row r="896" spans="1:48" s="3" customFormat="1" ht="15" customHeight="1">
      <c r="C896" s="434"/>
      <c r="D896" s="850"/>
    </row>
    <row r="897" spans="1:9" s="3" customFormat="1" ht="15" customHeight="1">
      <c r="B897" s="241" t="s">
        <v>1063</v>
      </c>
      <c r="C897" s="434"/>
      <c r="D897" s="850"/>
    </row>
    <row r="898" spans="1:9" s="3" customFormat="1" ht="15" customHeight="1">
      <c r="B898" s="241"/>
      <c r="C898" s="434"/>
      <c r="D898" s="850"/>
      <c r="E898" s="472" t="str">
        <f xml:space="preserve"> 'T&amp;E'!E$8</f>
        <v>Model first year</v>
      </c>
      <c r="F898" s="472">
        <f xml:space="preserve"> 'T&amp;E'!F$8</f>
        <v>2014</v>
      </c>
      <c r="G898" s="41" t="str">
        <f xml:space="preserve"> 'T&amp;E'!G$8</f>
        <v>year</v>
      </c>
    </row>
    <row r="899" spans="1:9" s="3" customFormat="1" ht="15" customHeight="1">
      <c r="B899" s="241"/>
      <c r="C899" s="434"/>
      <c r="D899" s="850"/>
      <c r="E899" s="472" t="str">
        <f xml:space="preserve"> InputsCon!E$22</f>
        <v xml:space="preserve">Forecast / point forward year </v>
      </c>
      <c r="F899" s="472">
        <f xml:space="preserve"> InputsCon!F$22</f>
        <v>2025</v>
      </c>
      <c r="G899" s="472" t="str">
        <f xml:space="preserve"> InputsCon!G$22</f>
        <v>year</v>
      </c>
    </row>
    <row r="900" spans="1:9" s="3" customFormat="1" ht="15" customHeight="1">
      <c r="C900" s="434"/>
      <c r="D900" s="850"/>
      <c r="E900" s="472" t="str">
        <f xml:space="preserve"> InputsCon!E$23</f>
        <v>Focus year for sensitivity analysis</v>
      </c>
      <c r="F900" s="472">
        <f xml:space="preserve"> InputsCon!F$23</f>
        <v>2022</v>
      </c>
      <c r="G900" s="472" t="str">
        <f xml:space="preserve"> InputsCon!G$23</f>
        <v>year</v>
      </c>
    </row>
    <row r="901" spans="1:9" s="3" customFormat="1" ht="15" customHeight="1">
      <c r="C901" s="434"/>
      <c r="D901" s="850"/>
      <c r="E901" s="472"/>
      <c r="F901" s="472"/>
      <c r="G901" s="685"/>
      <c r="H901" s="472"/>
    </row>
    <row r="902" spans="1:9" s="3" customFormat="1" ht="15" customHeight="1">
      <c r="C902" s="434"/>
      <c r="D902" s="850"/>
      <c r="E902" s="686" t="str">
        <f xml:space="preserve"> B875</f>
        <v>Government revenues</v>
      </c>
      <c r="F902" s="688" t="str">
        <f xml:space="preserve"> "&gt;= " &amp; F898</f>
        <v>&gt;= 2014</v>
      </c>
      <c r="G902" s="679">
        <f xml:space="preserve"> F900</f>
        <v>2022</v>
      </c>
      <c r="H902" s="688" t="str">
        <f xml:space="preserve"> "&gt;= " &amp; F899</f>
        <v>&gt;= 2025</v>
      </c>
      <c r="I902" s="679" t="str">
        <f xml:space="preserve"> InputsCon!G$23</f>
        <v>year</v>
      </c>
    </row>
    <row r="903" spans="1:9" s="3" customFormat="1" ht="15" customHeight="1">
      <c r="A903" s="388"/>
      <c r="B903" s="389"/>
      <c r="C903" s="390"/>
      <c r="D903" s="861"/>
      <c r="E903" s="391"/>
      <c r="F903" s="391"/>
      <c r="G903" s="391"/>
      <c r="H903" s="391"/>
      <c r="I903" s="391"/>
    </row>
    <row r="904" spans="1:9" s="3" customFormat="1" ht="15" customHeight="1">
      <c r="C904" s="434"/>
      <c r="D904" s="850"/>
      <c r="E904" s="3" t="str">
        <f xml:space="preserve"> E878</f>
        <v>Cu + Co government royalty</v>
      </c>
      <c r="F904" s="3">
        <f t="shared" ref="F904:F912" si="414" xml:space="preserve"> SUMIFS(J878:AT878, J$876:AT$876, "&gt;=" &amp; F$898)</f>
        <v>1154.1185307309543</v>
      </c>
      <c r="G904" s="3" cm="1">
        <f t="array" ref="G904" xml:space="preserve"> INDEX(L878:AV878, , MATCH($F$900, L$876:AV$876, 0))</f>
        <v>125.24236751817006</v>
      </c>
      <c r="H904" s="3">
        <f t="shared" ref="H904:H912" si="415" xml:space="preserve"> SUMIFS(L878:AV878, L$876:AV$876, "&gt;=" &amp; F$899)</f>
        <v>678.56843937384019</v>
      </c>
      <c r="I904" s="3" t="str">
        <f t="shared" ref="I904:I912" si="416" xml:space="preserve"> G878</f>
        <v>$ mn</v>
      </c>
    </row>
    <row r="905" spans="1:9" s="3" customFormat="1" ht="15" customHeight="1">
      <c r="C905" s="434"/>
      <c r="D905" s="850"/>
      <c r="E905" s="3" t="str">
        <f t="shared" ref="E905:E912" si="417" xml:space="preserve"> E879</f>
        <v>Turnover tax (Chiffre d'Affaires 0.3PC)</v>
      </c>
      <c r="F905" s="3">
        <f t="shared" si="414"/>
        <v>57.035766295213875</v>
      </c>
      <c r="G905" s="3" cm="1">
        <f t="array" ref="G905" xml:space="preserve"> INDEX(L879:AV879, , MATCH($F$900, L$876:AV$876, 0))</f>
        <v>5.3707620239571421</v>
      </c>
      <c r="H905" s="3">
        <f t="shared" si="415"/>
        <v>34.102151817751455</v>
      </c>
      <c r="I905" s="3" t="str">
        <f t="shared" si="416"/>
        <v>$ mn</v>
      </c>
    </row>
    <row r="906" spans="1:9" s="3" customFormat="1" ht="15" customHeight="1">
      <c r="C906" s="434"/>
      <c r="D906" s="850"/>
      <c r="E906" s="3" t="str">
        <f t="shared" si="417"/>
        <v>CIT payable</v>
      </c>
      <c r="F906" s="3">
        <f t="shared" si="414"/>
        <v>1375.6952723039724</v>
      </c>
      <c r="G906" s="3" cm="1">
        <f t="array" ref="G906" xml:space="preserve"> INDEX(L880:AV880, , MATCH($F$900, L$876:AV$876, 0))</f>
        <v>175.18703567870509</v>
      </c>
      <c r="H906" s="3">
        <f t="shared" si="415"/>
        <v>761.62832351185295</v>
      </c>
      <c r="I906" s="3" t="str">
        <f t="shared" si="416"/>
        <v>$ mn</v>
      </c>
    </row>
    <row r="907" spans="1:9" s="3" customFormat="1" ht="15" customHeight="1">
      <c r="C907" s="434"/>
      <c r="D907" s="850"/>
      <c r="E907" s="3" t="str">
        <f t="shared" si="417"/>
        <v>Special Tax On Excess Profits</v>
      </c>
      <c r="F907" s="3">
        <f t="shared" si="414"/>
        <v>0</v>
      </c>
      <c r="G907" s="3" cm="1">
        <f t="array" ref="G907" xml:space="preserve"> INDEX(L881:AV881, , MATCH($F$900, L$876:AV$876, 0))</f>
        <v>0</v>
      </c>
      <c r="H907" s="3">
        <f t="shared" si="415"/>
        <v>0</v>
      </c>
      <c r="I907" s="3" t="str">
        <f t="shared" si="416"/>
        <v>$ mn</v>
      </c>
    </row>
    <row r="908" spans="1:9" s="3" customFormat="1" ht="15" customHeight="1">
      <c r="C908" s="434"/>
      <c r="D908" s="850"/>
      <c r="E908" s="3" t="str">
        <f t="shared" si="417"/>
        <v>Payroll taxes (included in costs)</v>
      </c>
      <c r="F908" s="3">
        <f t="shared" si="414"/>
        <v>198.14906260966347</v>
      </c>
      <c r="G908" s="3" cm="1">
        <f t="array" ref="G908" xml:space="preserve"> INDEX(L882:AV882, , MATCH($F$900, L$876:AV$876, 0))</f>
        <v>14.1</v>
      </c>
      <c r="H908" s="3">
        <f t="shared" si="415"/>
        <v>135.17194986068989</v>
      </c>
      <c r="I908" s="3" t="str">
        <f t="shared" si="416"/>
        <v>$ mn</v>
      </c>
    </row>
    <row r="909" spans="1:9" s="3" customFormat="1" ht="15" customHeight="1">
      <c r="C909" s="434"/>
      <c r="D909" s="850"/>
      <c r="E909" s="3" t="str">
        <f t="shared" si="417"/>
        <v>Import duties</v>
      </c>
      <c r="F909" s="3">
        <f t="shared" si="414"/>
        <v>15.316407444483447</v>
      </c>
      <c r="G909" s="3" cm="1">
        <f t="array" ref="G909" xml:space="preserve"> INDEX(L883:AV883, , MATCH($F$900, L$876:AV$876, 0))</f>
        <v>10.058747314264506</v>
      </c>
      <c r="H909" s="3">
        <f t="shared" si="415"/>
        <v>0</v>
      </c>
      <c r="I909" s="3" t="str">
        <f t="shared" si="416"/>
        <v>$ mn</v>
      </c>
    </row>
    <row r="910" spans="1:9" s="3" customFormat="1" ht="15" customHeight="1">
      <c r="C910" s="434"/>
      <c r="D910" s="850"/>
      <c r="E910" s="3" t="str">
        <f t="shared" si="417"/>
        <v>Interest Withholding Tax</v>
      </c>
      <c r="F910" s="3">
        <f t="shared" si="414"/>
        <v>0</v>
      </c>
      <c r="G910" s="3" cm="1">
        <f t="array" ref="G910" xml:space="preserve"> INDEX(L884:AV884, , MATCH($F$900, L$876:AV$876, 0))</f>
        <v>0</v>
      </c>
      <c r="H910" s="3">
        <f t="shared" si="415"/>
        <v>0</v>
      </c>
      <c r="I910" s="3" t="str">
        <f t="shared" si="416"/>
        <v>$ mn</v>
      </c>
    </row>
    <row r="911" spans="1:9" s="3" customFormat="1" ht="15" customHeight="1">
      <c r="C911" s="434"/>
      <c r="D911" s="850"/>
      <c r="E911" s="3" t="str">
        <f t="shared" si="417"/>
        <v>Dividend withholding tax</v>
      </c>
      <c r="F911" s="3">
        <f t="shared" si="414"/>
        <v>284.73360235425861</v>
      </c>
      <c r="G911" s="3" cm="1">
        <f t="array" ref="G911" xml:space="preserve"> INDEX(L885:AV885, , MATCH($F$900, L$876:AV$876, 0))</f>
        <v>52.940986442394319</v>
      </c>
      <c r="H911" s="3">
        <f t="shared" si="415"/>
        <v>99.397085281749398</v>
      </c>
      <c r="I911" s="3" t="str">
        <f t="shared" si="416"/>
        <v>$ mn</v>
      </c>
    </row>
    <row r="912" spans="1:9" s="3" customFormat="1" ht="15" customHeight="1">
      <c r="C912" s="434"/>
      <c r="D912" s="850"/>
      <c r="E912" s="3" t="str">
        <f t="shared" si="417"/>
        <v>WHT on non-resident services</v>
      </c>
      <c r="F912" s="3">
        <f t="shared" si="414"/>
        <v>116.1293554984677</v>
      </c>
      <c r="G912" s="3" cm="1">
        <f t="array" ref="G912" xml:space="preserve"> INDEX(L886:AV886, , MATCH($F$900, L$876:AV$876, 0))</f>
        <v>6.6039795103128069</v>
      </c>
      <c r="H912" s="3">
        <f t="shared" si="415"/>
        <v>62.560019232842642</v>
      </c>
      <c r="I912" s="3" t="str">
        <f t="shared" si="416"/>
        <v>$ mn</v>
      </c>
    </row>
    <row r="913" spans="1:48" s="3" customFormat="1" ht="15" customHeight="1">
      <c r="C913" s="434"/>
      <c r="D913" s="850"/>
      <c r="E913" s="3" t="str">
        <f xml:space="preserve"> E894</f>
        <v>Combined Subnational Revenue Arrears</v>
      </c>
      <c r="F913" s="3">
        <f xml:space="preserve"> SUMIFS(J894:AT894, J$876:AT$876, "&gt;=" &amp; F$898)</f>
        <v>91.906425129627607</v>
      </c>
      <c r="G913" s="3" cm="1">
        <f t="array" ref="G913" xml:space="preserve"> INDEX(L894:AV894, , MATCH($F$900, L$876:AV$876, 0))</f>
        <v>38.290120023957144</v>
      </c>
      <c r="H913" s="3">
        <f xml:space="preserve"> SUMIFS(L894:AV894, L$876:AV$876, "&gt;=" &amp; F$899)</f>
        <v>0</v>
      </c>
      <c r="I913" s="3" t="str">
        <f xml:space="preserve"> G894</f>
        <v>$ mn</v>
      </c>
    </row>
    <row r="914" spans="1:48" s="3" customFormat="1" ht="15" customHeight="1">
      <c r="A914" s="388"/>
      <c r="B914" s="389"/>
      <c r="C914" s="390"/>
      <c r="D914" s="861"/>
      <c r="E914" s="391"/>
      <c r="F914" s="391"/>
      <c r="G914" s="391"/>
      <c r="H914" s="391"/>
      <c r="I914" s="391"/>
    </row>
    <row r="915" spans="1:48" s="3" customFormat="1" ht="15" customHeight="1">
      <c r="C915" s="434"/>
      <c r="D915" s="850"/>
      <c r="E915" s="3" t="str">
        <f xml:space="preserve"> E888 &amp; " " &amp; $F$900</f>
        <v>Government revenues excl. Gecamines participation 2022</v>
      </c>
      <c r="F915" s="3">
        <f xml:space="preserve"> SUMIFS(J888:AT888, J$876:AT$876, "&gt;=" &amp; F$898)</f>
        <v>3201.1779972370141</v>
      </c>
      <c r="G915" s="3" cm="1">
        <f t="array" ref="G915" xml:space="preserve"> INDEX(L888:AV888, , MATCH($F$900, L$876:AV$876, 0))</f>
        <v>389.50387848780395</v>
      </c>
      <c r="H915" s="3">
        <f xml:space="preserve"> SUMIFS(L888:AV888, L$876:AV$876, "&gt;=" &amp; F$899)</f>
        <v>1771.4279690787264</v>
      </c>
      <c r="I915" s="3" t="str">
        <f xml:space="preserve"> G888</f>
        <v>$ mn</v>
      </c>
    </row>
    <row r="916" spans="1:48" s="3" customFormat="1" ht="15" customHeight="1">
      <c r="C916" s="434"/>
      <c r="D916" s="850"/>
      <c r="E916" s="3" t="str">
        <f xml:space="preserve"> E889 &amp; " " &amp; $F$900</f>
        <v>Gecamines share of net cashflows after tax 2022</v>
      </c>
      <c r="F916" s="3">
        <f xml:space="preserve"> SUMIFS(J889:AT889, J$876:AT$876, "&gt;=" &amp; F$898)</f>
        <v>421.58818581567391</v>
      </c>
      <c r="G916" s="3" cm="1">
        <f t="array" ref="G916" xml:space="preserve"> INDEX(L889:AV889, , MATCH($F$900, L$876:AV$876, 0))</f>
        <v>58.823318269327025</v>
      </c>
      <c r="H916" s="3">
        <f xml:space="preserve"> SUMIFS(L889:AV889, L$876:AV$876, "&gt;=" &amp; F$899)</f>
        <v>110.44120586861044</v>
      </c>
      <c r="I916" s="3" t="str">
        <f xml:space="preserve"> G889</f>
        <v>$ mn</v>
      </c>
    </row>
    <row r="917" spans="1:48" s="3" customFormat="1" ht="15" customHeight="1">
      <c r="C917" s="434"/>
      <c r="D917" s="850"/>
      <c r="E917" s="3" t="str">
        <f xml:space="preserve"> E890 &amp; " " &amp; $F$900</f>
        <v>Government revenues incl. Gecamines  2022</v>
      </c>
      <c r="F917" s="3">
        <f xml:space="preserve"> SUMIFS(J890:AT890, J$876:AT$876, "&gt;=" &amp; F$898)</f>
        <v>3622.7661830526886</v>
      </c>
      <c r="G917" s="3" cm="1">
        <f t="array" ref="G917" xml:space="preserve"> INDEX(L890:AV890, , MATCH($F$900, L$876:AV$876, 0))</f>
        <v>448.32719675713099</v>
      </c>
      <c r="H917" s="3">
        <f xml:space="preserve"> SUMIFS(L890:AV890, L$876:AV$876, "&gt;=" &amp; F$899)</f>
        <v>1881.8691749473371</v>
      </c>
      <c r="I917" s="3" t="str">
        <f xml:space="preserve"> G890</f>
        <v>$ mn</v>
      </c>
    </row>
    <row r="918" spans="1:48" s="3" customFormat="1" ht="15" customHeight="1">
      <c r="A918" s="296"/>
      <c r="B918" s="296"/>
      <c r="C918" s="509"/>
      <c r="D918" s="866"/>
      <c r="E918" s="296"/>
      <c r="F918" s="296"/>
      <c r="G918" s="296"/>
      <c r="H918" s="296"/>
      <c r="I918" s="296"/>
    </row>
    <row r="919" spans="1:48" s="3" customFormat="1" ht="15" customHeight="1">
      <c r="C919" s="434"/>
      <c r="D919" s="850"/>
      <c r="E919" s="3" t="str">
        <f xml:space="preserve"> E777</f>
        <v>Potential Impact of Tax and Investment treaty obligations</v>
      </c>
      <c r="F919" s="3">
        <f xml:space="preserve"> SUMIFS(J777:AT777, J$876:AT$876, "&gt;=" &amp; F$898)</f>
        <v>258.49615667559698</v>
      </c>
      <c r="G919" s="3" cm="1">
        <f t="array" ref="G919" xml:space="preserve"> INDEX(L777:AV777, , MATCH($F$900, L$876:AV$876, 0))</f>
        <v>33.074472731509964</v>
      </c>
      <c r="H919" s="3">
        <f xml:space="preserve"> SUMIFS(L777:AV777, L$876:AV$876, "&gt;=" &amp; F$899)</f>
        <v>112.25856187371734</v>
      </c>
      <c r="I919" s="3" t="s">
        <v>681</v>
      </c>
    </row>
    <row r="920" spans="1:48" s="3" customFormat="1" ht="15" customHeight="1">
      <c r="C920" s="434"/>
      <c r="D920" s="850"/>
    </row>
    <row r="921" spans="1:48" ht="15" customHeight="1">
      <c r="B921" s="111" t="s">
        <v>678</v>
      </c>
      <c r="F921" s="320"/>
      <c r="G921" s="320"/>
      <c r="H921" s="320"/>
      <c r="I921" s="320"/>
      <c r="J921" s="320"/>
      <c r="L921" s="320"/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  <c r="AA921" s="320"/>
      <c r="AB921" s="320"/>
      <c r="AC921" s="320"/>
      <c r="AD921" s="320"/>
      <c r="AE921" s="320"/>
      <c r="AF921" s="320"/>
      <c r="AG921" s="320"/>
      <c r="AH921" s="320"/>
      <c r="AI921" s="320"/>
      <c r="AJ921" s="320"/>
      <c r="AK921" s="320"/>
      <c r="AL921" s="320"/>
      <c r="AM921" s="320"/>
      <c r="AN921" s="320"/>
      <c r="AO921" s="320"/>
      <c r="AP921" s="320"/>
      <c r="AQ921" s="320"/>
      <c r="AR921" s="320"/>
      <c r="AS921" s="320"/>
      <c r="AT921" s="320"/>
      <c r="AU921" s="320"/>
      <c r="AV921" s="320"/>
    </row>
    <row r="922" spans="1:48" s="8" customFormat="1" ht="15" customHeight="1">
      <c r="A922" s="413"/>
      <c r="B922" s="413"/>
      <c r="C922" s="478"/>
      <c r="D922" s="860"/>
      <c r="E922" s="102" t="str">
        <f xml:space="preserve"> E800</f>
        <v>Project cashflows before tax</v>
      </c>
      <c r="F922" s="102">
        <f t="shared" ref="F922:AV922" si="418" xml:space="preserve"> F$800</f>
        <v>0</v>
      </c>
      <c r="G922" s="102" t="str">
        <f t="shared" si="418"/>
        <v>$ mn</v>
      </c>
      <c r="H922" s="102">
        <f t="shared" si="418"/>
        <v>0</v>
      </c>
      <c r="I922" s="102">
        <f t="shared" si="418"/>
        <v>0</v>
      </c>
      <c r="J922" s="102">
        <f t="shared" si="418"/>
        <v>7602.4719981898188</v>
      </c>
      <c r="K922" s="102">
        <f t="shared" si="418"/>
        <v>0</v>
      </c>
      <c r="L922" s="102">
        <f t="shared" si="418"/>
        <v>0</v>
      </c>
      <c r="M922" s="102">
        <f t="shared" si="418"/>
        <v>0</v>
      </c>
      <c r="N922" s="102">
        <f t="shared" si="418"/>
        <v>0</v>
      </c>
      <c r="O922" s="102">
        <f t="shared" si="418"/>
        <v>0</v>
      </c>
      <c r="P922" s="102">
        <f t="shared" si="418"/>
        <v>-943.06374607057251</v>
      </c>
      <c r="Q922" s="102">
        <f t="shared" si="418"/>
        <v>770.99558436977952</v>
      </c>
      <c r="R922" s="102">
        <f t="shared" si="418"/>
        <v>314.33493733000921</v>
      </c>
      <c r="S922" s="102">
        <f t="shared" si="418"/>
        <v>1003.2129916506368</v>
      </c>
      <c r="T922" s="102">
        <f t="shared" si="418"/>
        <v>1063.0484207248564</v>
      </c>
      <c r="U922" s="102">
        <f t="shared" si="418"/>
        <v>555.43352993011024</v>
      </c>
      <c r="V922" s="102">
        <f t="shared" si="418"/>
        <v>404.33052632425427</v>
      </c>
      <c r="W922" s="102">
        <f t="shared" si="418"/>
        <v>603.51914712237158</v>
      </c>
      <c r="X922" s="102">
        <f t="shared" si="418"/>
        <v>552.92060449538792</v>
      </c>
      <c r="Y922" s="102">
        <f t="shared" si="418"/>
        <v>541.23665696978128</v>
      </c>
      <c r="Z922" s="102">
        <f t="shared" si="418"/>
        <v>535.78080999474901</v>
      </c>
      <c r="AA922" s="102">
        <f t="shared" si="418"/>
        <v>531.50535740522753</v>
      </c>
      <c r="AB922" s="102">
        <f t="shared" si="418"/>
        <v>486.3857379523771</v>
      </c>
      <c r="AC922" s="102">
        <f t="shared" si="418"/>
        <v>584.03809811517249</v>
      </c>
      <c r="AD922" s="102">
        <f t="shared" si="418"/>
        <v>598.7933418756794</v>
      </c>
      <c r="AE922" s="102">
        <f t="shared" si="418"/>
        <v>0</v>
      </c>
      <c r="AF922" s="102">
        <f t="shared" si="418"/>
        <v>0</v>
      </c>
      <c r="AG922" s="102">
        <f t="shared" si="418"/>
        <v>0</v>
      </c>
      <c r="AH922" s="102">
        <f t="shared" si="418"/>
        <v>0</v>
      </c>
      <c r="AI922" s="102">
        <f t="shared" si="418"/>
        <v>0</v>
      </c>
      <c r="AJ922" s="102">
        <f t="shared" si="418"/>
        <v>0</v>
      </c>
      <c r="AK922" s="102">
        <f t="shared" si="418"/>
        <v>0</v>
      </c>
      <c r="AL922" s="102">
        <f t="shared" si="418"/>
        <v>0</v>
      </c>
      <c r="AM922" s="102">
        <f t="shared" si="418"/>
        <v>0</v>
      </c>
      <c r="AN922" s="102">
        <f t="shared" si="418"/>
        <v>0</v>
      </c>
      <c r="AO922" s="102">
        <f t="shared" si="418"/>
        <v>0</v>
      </c>
      <c r="AP922" s="102">
        <f t="shared" si="418"/>
        <v>0</v>
      </c>
      <c r="AQ922" s="102">
        <f t="shared" si="418"/>
        <v>0</v>
      </c>
      <c r="AR922" s="102">
        <f t="shared" si="418"/>
        <v>0</v>
      </c>
      <c r="AS922" s="102">
        <f t="shared" si="418"/>
        <v>0</v>
      </c>
      <c r="AT922" s="102">
        <f t="shared" si="418"/>
        <v>0</v>
      </c>
      <c r="AU922" s="102">
        <f t="shared" si="418"/>
        <v>0</v>
      </c>
      <c r="AV922" s="102">
        <f t="shared" si="418"/>
        <v>0</v>
      </c>
    </row>
    <row r="923" spans="1:48" s="8" customFormat="1" ht="15" customHeight="1">
      <c r="A923" s="413"/>
      <c r="B923" s="413"/>
      <c r="C923" s="478"/>
      <c r="D923" s="860"/>
      <c r="E923" s="102" t="str">
        <f t="shared" ref="E923:AV923" si="419" xml:space="preserve"> E$803</f>
        <v>Government revenues excl. Gecamines participation</v>
      </c>
      <c r="F923" s="102">
        <f t="shared" si="419"/>
        <v>0</v>
      </c>
      <c r="G923" s="102" t="str">
        <f t="shared" si="419"/>
        <v>$ mn</v>
      </c>
      <c r="H923" s="102">
        <f t="shared" si="419"/>
        <v>0</v>
      </c>
      <c r="I923" s="102">
        <f t="shared" si="419"/>
        <v>0</v>
      </c>
      <c r="J923" s="102">
        <f t="shared" si="419"/>
        <v>3201.1779972370141</v>
      </c>
      <c r="K923" s="102">
        <f t="shared" si="419"/>
        <v>0</v>
      </c>
      <c r="L923" s="102">
        <f t="shared" si="419"/>
        <v>0</v>
      </c>
      <c r="M923" s="102">
        <f t="shared" si="419"/>
        <v>0</v>
      </c>
      <c r="N923" s="102">
        <f t="shared" si="419"/>
        <v>0</v>
      </c>
      <c r="O923" s="102">
        <f t="shared" si="419"/>
        <v>0</v>
      </c>
      <c r="P923" s="102">
        <f t="shared" si="419"/>
        <v>23.791051457392751</v>
      </c>
      <c r="Q923" s="102">
        <f t="shared" si="419"/>
        <v>278.54002294708886</v>
      </c>
      <c r="R923" s="102">
        <f t="shared" si="419"/>
        <v>119.65263848900783</v>
      </c>
      <c r="S923" s="102">
        <f t="shared" si="419"/>
        <v>348.18517326554991</v>
      </c>
      <c r="T923" s="102">
        <f t="shared" si="419"/>
        <v>389.50387848780395</v>
      </c>
      <c r="U923" s="102">
        <f t="shared" si="419"/>
        <v>156.43226157468644</v>
      </c>
      <c r="V923" s="102">
        <f t="shared" si="419"/>
        <v>113.64500193675771</v>
      </c>
      <c r="W923" s="102">
        <f t="shared" si="419"/>
        <v>212.21149042518854</v>
      </c>
      <c r="X923" s="102">
        <f t="shared" si="419"/>
        <v>205.99915596072478</v>
      </c>
      <c r="Y923" s="102">
        <f t="shared" si="419"/>
        <v>191.72144050986023</v>
      </c>
      <c r="Z923" s="102">
        <f t="shared" si="419"/>
        <v>197.22781519965909</v>
      </c>
      <c r="AA923" s="102">
        <f t="shared" si="419"/>
        <v>199.66940662988583</v>
      </c>
      <c r="AB923" s="102">
        <f t="shared" si="419"/>
        <v>215.42408862151638</v>
      </c>
      <c r="AC923" s="102">
        <f t="shared" si="419"/>
        <v>275.14935526718682</v>
      </c>
      <c r="AD923" s="102">
        <f t="shared" si="419"/>
        <v>274.02521646470473</v>
      </c>
      <c r="AE923" s="102">
        <f t="shared" si="419"/>
        <v>0</v>
      </c>
      <c r="AF923" s="102">
        <f t="shared" si="419"/>
        <v>0</v>
      </c>
      <c r="AG923" s="102">
        <f t="shared" si="419"/>
        <v>0</v>
      </c>
      <c r="AH923" s="102">
        <f t="shared" si="419"/>
        <v>0</v>
      </c>
      <c r="AI923" s="102">
        <f t="shared" si="419"/>
        <v>0</v>
      </c>
      <c r="AJ923" s="102">
        <f t="shared" si="419"/>
        <v>0</v>
      </c>
      <c r="AK923" s="102">
        <f t="shared" si="419"/>
        <v>0</v>
      </c>
      <c r="AL923" s="102">
        <f t="shared" si="419"/>
        <v>0</v>
      </c>
      <c r="AM923" s="102">
        <f t="shared" si="419"/>
        <v>0</v>
      </c>
      <c r="AN923" s="102">
        <f t="shared" si="419"/>
        <v>0</v>
      </c>
      <c r="AO923" s="102">
        <f t="shared" si="419"/>
        <v>0</v>
      </c>
      <c r="AP923" s="102">
        <f t="shared" si="419"/>
        <v>0</v>
      </c>
      <c r="AQ923" s="102">
        <f t="shared" si="419"/>
        <v>0</v>
      </c>
      <c r="AR923" s="102">
        <f t="shared" si="419"/>
        <v>0</v>
      </c>
      <c r="AS923" s="102">
        <f t="shared" si="419"/>
        <v>0</v>
      </c>
      <c r="AT923" s="102">
        <f t="shared" si="419"/>
        <v>0</v>
      </c>
      <c r="AU923" s="102">
        <f t="shared" si="419"/>
        <v>0</v>
      </c>
      <c r="AV923" s="102">
        <f t="shared" si="419"/>
        <v>0</v>
      </c>
    </row>
    <row r="924" spans="1:48" s="8" customFormat="1" ht="15" customHeight="1">
      <c r="A924" s="413"/>
      <c r="B924" s="413"/>
      <c r="C924" s="478"/>
      <c r="D924" s="860"/>
      <c r="E924" s="102" t="str">
        <f t="shared" ref="E924:AV924" si="420" xml:space="preserve"> E$804</f>
        <v>Gecamines share of net cashflows after tax</v>
      </c>
      <c r="F924" s="102">
        <f t="shared" si="420"/>
        <v>0</v>
      </c>
      <c r="G924" s="102" t="str">
        <f t="shared" si="420"/>
        <v>$ mn</v>
      </c>
      <c r="H924" s="102">
        <f t="shared" si="420"/>
        <v>0</v>
      </c>
      <c r="I924" s="102">
        <f t="shared" si="420"/>
        <v>0</v>
      </c>
      <c r="J924" s="102">
        <f t="shared" si="420"/>
        <v>421.58818581567391</v>
      </c>
      <c r="K924" s="102">
        <f t="shared" si="420"/>
        <v>0</v>
      </c>
      <c r="L924" s="102">
        <f t="shared" si="420"/>
        <v>0</v>
      </c>
      <c r="M924" s="102">
        <f t="shared" si="420"/>
        <v>0</v>
      </c>
      <c r="N924" s="102">
        <f t="shared" si="420"/>
        <v>0</v>
      </c>
      <c r="O924" s="102">
        <f t="shared" si="420"/>
        <v>0</v>
      </c>
      <c r="P924" s="102">
        <f t="shared" si="420"/>
        <v>0</v>
      </c>
      <c r="Q924" s="102">
        <f t="shared" si="420"/>
        <v>133.99765846001051</v>
      </c>
      <c r="R924" s="102">
        <f t="shared" si="420"/>
        <v>18.767662695506274</v>
      </c>
      <c r="S924" s="102">
        <f t="shared" si="420"/>
        <v>61.844618317974657</v>
      </c>
      <c r="T924" s="102">
        <f t="shared" si="420"/>
        <v>58.823318269327025</v>
      </c>
      <c r="U924" s="102">
        <f t="shared" si="420"/>
        <v>25.046399169880939</v>
      </c>
      <c r="V924" s="102">
        <f t="shared" si="420"/>
        <v>12.667323034364081</v>
      </c>
      <c r="W924" s="102">
        <f t="shared" si="420"/>
        <v>18.126757907577769</v>
      </c>
      <c r="X924" s="102">
        <f t="shared" si="420"/>
        <v>10.904829776438389</v>
      </c>
      <c r="Y924" s="102">
        <f t="shared" si="420"/>
        <v>4.3957202432760596</v>
      </c>
      <c r="Z924" s="102">
        <f t="shared" si="420"/>
        <v>0</v>
      </c>
      <c r="AA924" s="102">
        <f t="shared" si="420"/>
        <v>0</v>
      </c>
      <c r="AB924" s="102">
        <f t="shared" si="420"/>
        <v>9.9060564549564685</v>
      </c>
      <c r="AC924" s="102">
        <f t="shared" si="420"/>
        <v>32.703591485157972</v>
      </c>
      <c r="AD924" s="102">
        <f t="shared" si="420"/>
        <v>34.404250001203785</v>
      </c>
      <c r="AE924" s="102">
        <f t="shared" si="420"/>
        <v>0</v>
      </c>
      <c r="AF924" s="102">
        <f t="shared" si="420"/>
        <v>0</v>
      </c>
      <c r="AG924" s="102">
        <f t="shared" si="420"/>
        <v>0</v>
      </c>
      <c r="AH924" s="102">
        <f t="shared" si="420"/>
        <v>0</v>
      </c>
      <c r="AI924" s="102">
        <f t="shared" si="420"/>
        <v>0</v>
      </c>
      <c r="AJ924" s="102">
        <f t="shared" si="420"/>
        <v>0</v>
      </c>
      <c r="AK924" s="102">
        <f t="shared" si="420"/>
        <v>0</v>
      </c>
      <c r="AL924" s="102">
        <f t="shared" si="420"/>
        <v>0</v>
      </c>
      <c r="AM924" s="102">
        <f t="shared" si="420"/>
        <v>0</v>
      </c>
      <c r="AN924" s="102">
        <f t="shared" si="420"/>
        <v>0</v>
      </c>
      <c r="AO924" s="102">
        <f t="shared" si="420"/>
        <v>0</v>
      </c>
      <c r="AP924" s="102">
        <f t="shared" si="420"/>
        <v>0</v>
      </c>
      <c r="AQ924" s="102">
        <f t="shared" si="420"/>
        <v>0</v>
      </c>
      <c r="AR924" s="102">
        <f t="shared" si="420"/>
        <v>0</v>
      </c>
      <c r="AS924" s="102">
        <f t="shared" si="420"/>
        <v>0</v>
      </c>
      <c r="AT924" s="102">
        <f t="shared" si="420"/>
        <v>0</v>
      </c>
      <c r="AU924" s="102">
        <f t="shared" si="420"/>
        <v>0</v>
      </c>
      <c r="AV924" s="102">
        <f t="shared" si="420"/>
        <v>0</v>
      </c>
    </row>
    <row r="925" spans="1:48" s="8" customFormat="1" ht="15" customHeight="1">
      <c r="A925" s="413"/>
      <c r="B925" s="413"/>
      <c r="C925" s="478"/>
      <c r="D925" s="860"/>
      <c r="E925" s="102" t="s">
        <v>775</v>
      </c>
      <c r="F925" s="102"/>
      <c r="G925" s="102" t="s">
        <v>29</v>
      </c>
      <c r="H925" s="102"/>
      <c r="I925" s="102"/>
      <c r="J925" s="102">
        <f xml:space="preserve"> SUM(L925:AV925)</f>
        <v>3622.7661830526886</v>
      </c>
      <c r="K925" s="102"/>
      <c r="L925" s="102">
        <f t="shared" ref="L925:AV925" si="421">SUM(L923:L924)</f>
        <v>0</v>
      </c>
      <c r="M925" s="102">
        <f t="shared" si="421"/>
        <v>0</v>
      </c>
      <c r="N925" s="102">
        <f t="shared" si="421"/>
        <v>0</v>
      </c>
      <c r="O925" s="102">
        <f t="shared" si="421"/>
        <v>0</v>
      </c>
      <c r="P925" s="102">
        <f t="shared" si="421"/>
        <v>23.791051457392751</v>
      </c>
      <c r="Q925" s="102">
        <f t="shared" si="421"/>
        <v>412.5376814070994</v>
      </c>
      <c r="R925" s="102">
        <f t="shared" si="421"/>
        <v>138.4203011845141</v>
      </c>
      <c r="S925" s="102">
        <f t="shared" si="421"/>
        <v>410.02979158352457</v>
      </c>
      <c r="T925" s="102">
        <f t="shared" si="421"/>
        <v>448.32719675713099</v>
      </c>
      <c r="U925" s="102">
        <f t="shared" si="421"/>
        <v>181.47866074456738</v>
      </c>
      <c r="V925" s="102">
        <f t="shared" si="421"/>
        <v>126.3123249711218</v>
      </c>
      <c r="W925" s="102">
        <f t="shared" si="421"/>
        <v>230.33824833276631</v>
      </c>
      <c r="X925" s="102">
        <f t="shared" si="421"/>
        <v>216.90398573716317</v>
      </c>
      <c r="Y925" s="102">
        <f t="shared" si="421"/>
        <v>196.11716075313629</v>
      </c>
      <c r="Z925" s="102">
        <f t="shared" si="421"/>
        <v>197.22781519965909</v>
      </c>
      <c r="AA925" s="102">
        <f t="shared" si="421"/>
        <v>199.66940662988583</v>
      </c>
      <c r="AB925" s="102">
        <f t="shared" si="421"/>
        <v>225.33014507647283</v>
      </c>
      <c r="AC925" s="102">
        <f t="shared" si="421"/>
        <v>307.85294675234479</v>
      </c>
      <c r="AD925" s="102">
        <f t="shared" si="421"/>
        <v>308.42946646590849</v>
      </c>
      <c r="AE925" s="102">
        <f t="shared" si="421"/>
        <v>0</v>
      </c>
      <c r="AF925" s="102">
        <f t="shared" si="421"/>
        <v>0</v>
      </c>
      <c r="AG925" s="102">
        <f t="shared" si="421"/>
        <v>0</v>
      </c>
      <c r="AH925" s="102">
        <f t="shared" si="421"/>
        <v>0</v>
      </c>
      <c r="AI925" s="102">
        <f t="shared" si="421"/>
        <v>0</v>
      </c>
      <c r="AJ925" s="102">
        <f t="shared" si="421"/>
        <v>0</v>
      </c>
      <c r="AK925" s="102">
        <f t="shared" si="421"/>
        <v>0</v>
      </c>
      <c r="AL925" s="102">
        <f t="shared" si="421"/>
        <v>0</v>
      </c>
      <c r="AM925" s="102">
        <f t="shared" si="421"/>
        <v>0</v>
      </c>
      <c r="AN925" s="102">
        <f t="shared" si="421"/>
        <v>0</v>
      </c>
      <c r="AO925" s="102">
        <f t="shared" si="421"/>
        <v>0</v>
      </c>
      <c r="AP925" s="102">
        <f t="shared" si="421"/>
        <v>0</v>
      </c>
      <c r="AQ925" s="102">
        <f t="shared" si="421"/>
        <v>0</v>
      </c>
      <c r="AR925" s="102">
        <f t="shared" si="421"/>
        <v>0</v>
      </c>
      <c r="AS925" s="102">
        <f t="shared" si="421"/>
        <v>0</v>
      </c>
      <c r="AT925" s="102">
        <f t="shared" si="421"/>
        <v>0</v>
      </c>
      <c r="AU925" s="102">
        <f t="shared" si="421"/>
        <v>0</v>
      </c>
      <c r="AV925" s="102">
        <f t="shared" si="421"/>
        <v>0</v>
      </c>
    </row>
    <row r="926" spans="1:48" s="8" customFormat="1" ht="15" customHeight="1">
      <c r="A926" s="413"/>
      <c r="B926" s="413"/>
      <c r="C926" s="478"/>
      <c r="D926" s="860"/>
      <c r="E926" s="102" t="str">
        <f t="shared" ref="E926:AV926" si="422" xml:space="preserve"> E$802</f>
        <v>Parent company net cashflows</v>
      </c>
      <c r="F926" s="102">
        <f t="shared" si="422"/>
        <v>0</v>
      </c>
      <c r="G926" s="102" t="str">
        <f t="shared" si="422"/>
        <v>$ mn</v>
      </c>
      <c r="H926" s="102">
        <f t="shared" si="422"/>
        <v>0</v>
      </c>
      <c r="I926" s="102">
        <f t="shared" si="422"/>
        <v>0</v>
      </c>
      <c r="J926" s="102">
        <f t="shared" si="422"/>
        <v>3834.0025882296322</v>
      </c>
      <c r="K926" s="102">
        <f t="shared" si="422"/>
        <v>0</v>
      </c>
      <c r="L926" s="102">
        <f t="shared" si="422"/>
        <v>0</v>
      </c>
      <c r="M926" s="102">
        <f t="shared" si="422"/>
        <v>0</v>
      </c>
      <c r="N926" s="102">
        <f t="shared" si="422"/>
        <v>0</v>
      </c>
      <c r="O926" s="102">
        <f t="shared" si="422"/>
        <v>0</v>
      </c>
      <c r="P926" s="102">
        <f t="shared" si="422"/>
        <v>-946.95764879847923</v>
      </c>
      <c r="Q926" s="102">
        <f t="shared" si="422"/>
        <v>341.71679840593299</v>
      </c>
      <c r="R926" s="102">
        <f t="shared" si="422"/>
        <v>169.3354678336008</v>
      </c>
      <c r="S926" s="102">
        <f t="shared" si="422"/>
        <v>569.99141837559466</v>
      </c>
      <c r="T926" s="102">
        <f t="shared" si="422"/>
        <v>600.72760059266</v>
      </c>
      <c r="U926" s="102">
        <f t="shared" si="422"/>
        <v>362.74586427881331</v>
      </c>
      <c r="V926" s="102">
        <f t="shared" si="422"/>
        <v>270.58513794582922</v>
      </c>
      <c r="W926" s="102">
        <f t="shared" si="422"/>
        <v>360.95853362398213</v>
      </c>
      <c r="X926" s="102">
        <f t="shared" si="422"/>
        <v>324.99568494764344</v>
      </c>
      <c r="Y926" s="102">
        <f t="shared" si="422"/>
        <v>334.59188229280244</v>
      </c>
      <c r="Z926" s="102">
        <f t="shared" si="422"/>
        <v>328.16688707779031</v>
      </c>
      <c r="AA926" s="102">
        <f t="shared" si="422"/>
        <v>321.6830138147015</v>
      </c>
      <c r="AB926" s="102">
        <f t="shared" si="422"/>
        <v>251.88843179923015</v>
      </c>
      <c r="AC926" s="102">
        <f t="shared" si="422"/>
        <v>264.89909102977958</v>
      </c>
      <c r="AD926" s="102">
        <f t="shared" si="422"/>
        <v>278.67442500975068</v>
      </c>
      <c r="AE926" s="102">
        <f t="shared" si="422"/>
        <v>0</v>
      </c>
      <c r="AF926" s="102">
        <f t="shared" si="422"/>
        <v>0</v>
      </c>
      <c r="AG926" s="102">
        <f t="shared" si="422"/>
        <v>0</v>
      </c>
      <c r="AH926" s="102">
        <f t="shared" si="422"/>
        <v>0</v>
      </c>
      <c r="AI926" s="102">
        <f t="shared" si="422"/>
        <v>0</v>
      </c>
      <c r="AJ926" s="102">
        <f t="shared" si="422"/>
        <v>0</v>
      </c>
      <c r="AK926" s="102">
        <f t="shared" si="422"/>
        <v>0</v>
      </c>
      <c r="AL926" s="102">
        <f t="shared" si="422"/>
        <v>0</v>
      </c>
      <c r="AM926" s="102">
        <f t="shared" si="422"/>
        <v>0</v>
      </c>
      <c r="AN926" s="102">
        <f t="shared" si="422"/>
        <v>0</v>
      </c>
      <c r="AO926" s="102">
        <f t="shared" si="422"/>
        <v>0</v>
      </c>
      <c r="AP926" s="102">
        <f t="shared" si="422"/>
        <v>0</v>
      </c>
      <c r="AQ926" s="102">
        <f t="shared" si="422"/>
        <v>0</v>
      </c>
      <c r="AR926" s="102">
        <f t="shared" si="422"/>
        <v>0</v>
      </c>
      <c r="AS926" s="102">
        <f t="shared" si="422"/>
        <v>0</v>
      </c>
      <c r="AT926" s="102">
        <f t="shared" si="422"/>
        <v>0</v>
      </c>
      <c r="AU926" s="102">
        <f t="shared" si="422"/>
        <v>0</v>
      </c>
      <c r="AV926" s="102">
        <f t="shared" si="422"/>
        <v>0</v>
      </c>
    </row>
    <row r="927" spans="1:48" s="8" customFormat="1" ht="15" customHeight="1">
      <c r="A927" s="413"/>
      <c r="B927" s="413"/>
      <c r="C927" s="478"/>
      <c r="D927" s="860"/>
      <c r="E927" s="102" t="str">
        <f t="shared" ref="E927:AV927" si="423" xml:space="preserve"> E$801</f>
        <v>Cu + Co private royalty (treat as distribution of profit)</v>
      </c>
      <c r="F927" s="102">
        <f t="shared" si="423"/>
        <v>0</v>
      </c>
      <c r="G927" s="102" t="str">
        <f t="shared" si="423"/>
        <v>$ mn</v>
      </c>
      <c r="H927" s="102">
        <f t="shared" si="423"/>
        <v>0</v>
      </c>
      <c r="I927" s="102">
        <f t="shared" si="423"/>
        <v>0</v>
      </c>
      <c r="J927" s="102">
        <f t="shared" si="423"/>
        <v>475.29805246011557</v>
      </c>
      <c r="K927" s="102">
        <f t="shared" si="423"/>
        <v>0</v>
      </c>
      <c r="L927" s="102">
        <f t="shared" si="423"/>
        <v>0</v>
      </c>
      <c r="M927" s="102">
        <f t="shared" si="423"/>
        <v>0</v>
      </c>
      <c r="N927" s="102">
        <f t="shared" si="423"/>
        <v>0</v>
      </c>
      <c r="O927" s="102">
        <f t="shared" si="423"/>
        <v>0</v>
      </c>
      <c r="P927" s="102">
        <f t="shared" si="423"/>
        <v>1.6784063482356868</v>
      </c>
      <c r="Q927" s="102">
        <f t="shared" si="423"/>
        <v>23.66488960924449</v>
      </c>
      <c r="R927" s="102">
        <f t="shared" si="423"/>
        <v>20.024321945491437</v>
      </c>
      <c r="S927" s="102">
        <f t="shared" si="423"/>
        <v>38.873180810948853</v>
      </c>
      <c r="T927" s="102">
        <f t="shared" si="423"/>
        <v>44.756350199642853</v>
      </c>
      <c r="U927" s="102">
        <f t="shared" si="423"/>
        <v>32.174887024535288</v>
      </c>
      <c r="V927" s="102">
        <f t="shared" si="423"/>
        <v>29.941418040754854</v>
      </c>
      <c r="W927" s="102">
        <f t="shared" si="423"/>
        <v>35.093975091031062</v>
      </c>
      <c r="X927" s="102">
        <f t="shared" si="423"/>
        <v>34.778368247296427</v>
      </c>
      <c r="Y927" s="102">
        <f t="shared" si="423"/>
        <v>34.230421565855707</v>
      </c>
      <c r="Z927" s="102">
        <f t="shared" si="423"/>
        <v>34.958374896698942</v>
      </c>
      <c r="AA927" s="102">
        <f t="shared" si="423"/>
        <v>34.833792158827926</v>
      </c>
      <c r="AB927" s="102">
        <f t="shared" si="423"/>
        <v>35.016658042379511</v>
      </c>
      <c r="AC927" s="102">
        <f t="shared" si="423"/>
        <v>37.26170539469598</v>
      </c>
      <c r="AD927" s="102">
        <f t="shared" si="423"/>
        <v>38.011303084476609</v>
      </c>
      <c r="AE927" s="102">
        <f t="shared" si="423"/>
        <v>0</v>
      </c>
      <c r="AF927" s="102">
        <f t="shared" si="423"/>
        <v>0</v>
      </c>
      <c r="AG927" s="102">
        <f t="shared" si="423"/>
        <v>0</v>
      </c>
      <c r="AH927" s="102">
        <f t="shared" si="423"/>
        <v>0</v>
      </c>
      <c r="AI927" s="102">
        <f t="shared" si="423"/>
        <v>0</v>
      </c>
      <c r="AJ927" s="102">
        <f t="shared" si="423"/>
        <v>0</v>
      </c>
      <c r="AK927" s="102">
        <f t="shared" si="423"/>
        <v>0</v>
      </c>
      <c r="AL927" s="102">
        <f t="shared" si="423"/>
        <v>0</v>
      </c>
      <c r="AM927" s="102">
        <f t="shared" si="423"/>
        <v>0</v>
      </c>
      <c r="AN927" s="102">
        <f t="shared" si="423"/>
        <v>0</v>
      </c>
      <c r="AO927" s="102">
        <f t="shared" si="423"/>
        <v>0</v>
      </c>
      <c r="AP927" s="102">
        <f t="shared" si="423"/>
        <v>0</v>
      </c>
      <c r="AQ927" s="102">
        <f t="shared" si="423"/>
        <v>0</v>
      </c>
      <c r="AR927" s="102">
        <f t="shared" si="423"/>
        <v>0</v>
      </c>
      <c r="AS927" s="102">
        <f t="shared" si="423"/>
        <v>0</v>
      </c>
      <c r="AT927" s="102">
        <f t="shared" si="423"/>
        <v>0</v>
      </c>
      <c r="AU927" s="102">
        <f t="shared" si="423"/>
        <v>0</v>
      </c>
      <c r="AV927" s="102">
        <f t="shared" si="423"/>
        <v>0</v>
      </c>
    </row>
    <row r="928" spans="1:48" s="8" customFormat="1" ht="15" customHeight="1">
      <c r="A928" s="413"/>
      <c r="B928" s="413"/>
      <c r="C928" s="478"/>
      <c r="D928" s="860"/>
      <c r="E928" s="102" t="str">
        <f t="shared" ref="E928:AV928" si="424" xml:space="preserve"> E$722</f>
        <v>[Net debt cashflows (3rd party lender)]</v>
      </c>
      <c r="F928" s="102">
        <f t="shared" si="424"/>
        <v>0</v>
      </c>
      <c r="G928" s="102" t="str">
        <f t="shared" si="424"/>
        <v>$ mn</v>
      </c>
      <c r="H928" s="102">
        <f t="shared" si="424"/>
        <v>0</v>
      </c>
      <c r="I928" s="102">
        <f t="shared" si="424"/>
        <v>0</v>
      </c>
      <c r="J928" s="102">
        <f t="shared" si="424"/>
        <v>0</v>
      </c>
      <c r="K928" s="102">
        <f t="shared" si="424"/>
        <v>0</v>
      </c>
      <c r="L928" s="102">
        <f t="shared" si="424"/>
        <v>0</v>
      </c>
      <c r="M928" s="102">
        <f t="shared" si="424"/>
        <v>0</v>
      </c>
      <c r="N928" s="102">
        <f t="shared" si="424"/>
        <v>0</v>
      </c>
      <c r="O928" s="102">
        <f t="shared" si="424"/>
        <v>0</v>
      </c>
      <c r="P928" s="102">
        <f t="shared" si="424"/>
        <v>0</v>
      </c>
      <c r="Q928" s="102">
        <f t="shared" si="424"/>
        <v>0</v>
      </c>
      <c r="R928" s="102">
        <f t="shared" si="424"/>
        <v>0</v>
      </c>
      <c r="S928" s="102">
        <f t="shared" si="424"/>
        <v>0</v>
      </c>
      <c r="T928" s="102">
        <f t="shared" si="424"/>
        <v>0</v>
      </c>
      <c r="U928" s="102">
        <f t="shared" si="424"/>
        <v>0</v>
      </c>
      <c r="V928" s="102">
        <f t="shared" si="424"/>
        <v>0</v>
      </c>
      <c r="W928" s="102">
        <f t="shared" si="424"/>
        <v>0</v>
      </c>
      <c r="X928" s="102">
        <f t="shared" si="424"/>
        <v>0</v>
      </c>
      <c r="Y928" s="102">
        <f t="shared" si="424"/>
        <v>0</v>
      </c>
      <c r="Z928" s="102">
        <f t="shared" si="424"/>
        <v>0</v>
      </c>
      <c r="AA928" s="102">
        <f t="shared" si="424"/>
        <v>0</v>
      </c>
      <c r="AB928" s="102">
        <f t="shared" si="424"/>
        <v>0</v>
      </c>
      <c r="AC928" s="102">
        <f t="shared" si="424"/>
        <v>0</v>
      </c>
      <c r="AD928" s="102">
        <f t="shared" si="424"/>
        <v>0</v>
      </c>
      <c r="AE928" s="102">
        <f t="shared" si="424"/>
        <v>0</v>
      </c>
      <c r="AF928" s="102">
        <f t="shared" si="424"/>
        <v>0</v>
      </c>
      <c r="AG928" s="102">
        <f t="shared" si="424"/>
        <v>0</v>
      </c>
      <c r="AH928" s="102">
        <f t="shared" si="424"/>
        <v>0</v>
      </c>
      <c r="AI928" s="102">
        <f t="shared" si="424"/>
        <v>0</v>
      </c>
      <c r="AJ928" s="102">
        <f t="shared" si="424"/>
        <v>0</v>
      </c>
      <c r="AK928" s="102">
        <f t="shared" si="424"/>
        <v>0</v>
      </c>
      <c r="AL928" s="102">
        <f t="shared" si="424"/>
        <v>0</v>
      </c>
      <c r="AM928" s="102">
        <f t="shared" si="424"/>
        <v>0</v>
      </c>
      <c r="AN928" s="102">
        <f t="shared" si="424"/>
        <v>0</v>
      </c>
      <c r="AO928" s="102">
        <f t="shared" si="424"/>
        <v>0</v>
      </c>
      <c r="AP928" s="102">
        <f t="shared" si="424"/>
        <v>0</v>
      </c>
      <c r="AQ928" s="102">
        <f t="shared" si="424"/>
        <v>0</v>
      </c>
      <c r="AR928" s="102">
        <f t="shared" si="424"/>
        <v>0</v>
      </c>
      <c r="AS928" s="102">
        <f t="shared" si="424"/>
        <v>0</v>
      </c>
      <c r="AT928" s="102">
        <f t="shared" si="424"/>
        <v>0</v>
      </c>
      <c r="AU928" s="102">
        <f t="shared" si="424"/>
        <v>0</v>
      </c>
      <c r="AV928" s="102">
        <f t="shared" si="424"/>
        <v>0</v>
      </c>
    </row>
    <row r="929" spans="1:48" s="8" customFormat="1" ht="15" customHeight="1">
      <c r="A929" s="413"/>
      <c r="B929" s="413"/>
      <c r="C929" s="478"/>
      <c r="D929" s="860"/>
      <c r="E929" s="8" t="str">
        <f t="shared" ref="E929:AV929" si="425" xml:space="preserve"> E$809</f>
        <v>Additional govt revenues incl. in project costs</v>
      </c>
      <c r="F929" s="8">
        <f t="shared" si="425"/>
        <v>0</v>
      </c>
      <c r="G929" s="8" t="str">
        <f t="shared" si="425"/>
        <v>$ mn</v>
      </c>
      <c r="H929" s="8">
        <f t="shared" si="425"/>
        <v>0</v>
      </c>
      <c r="I929" s="8">
        <f t="shared" si="425"/>
        <v>0</v>
      </c>
      <c r="J929" s="8">
        <f t="shared" si="425"/>
        <v>329.59482555261462</v>
      </c>
      <c r="K929" s="8">
        <f t="shared" si="425"/>
        <v>0</v>
      </c>
      <c r="L929" s="8">
        <f t="shared" si="425"/>
        <v>0</v>
      </c>
      <c r="M929" s="8">
        <f t="shared" si="425"/>
        <v>0</v>
      </c>
      <c r="N929" s="8">
        <f t="shared" si="425"/>
        <v>0</v>
      </c>
      <c r="O929" s="8">
        <f t="shared" si="425"/>
        <v>0</v>
      </c>
      <c r="P929" s="8">
        <f t="shared" si="425"/>
        <v>21.575555077721646</v>
      </c>
      <c r="Q929" s="8">
        <f t="shared" si="425"/>
        <v>6.9237850524972924</v>
      </c>
      <c r="R929" s="8">
        <f t="shared" si="425"/>
        <v>13.445153633597105</v>
      </c>
      <c r="S929" s="8">
        <f t="shared" si="425"/>
        <v>15.681399119431418</v>
      </c>
      <c r="T929" s="8">
        <f t="shared" si="425"/>
        <v>30.762726824577314</v>
      </c>
      <c r="U929" s="8">
        <f t="shared" si="425"/>
        <v>20.965882117805783</v>
      </c>
      <c r="V929" s="8">
        <f t="shared" si="425"/>
        <v>22.508354633451575</v>
      </c>
      <c r="W929" s="8">
        <f t="shared" si="425"/>
        <v>22.871609925407849</v>
      </c>
      <c r="X929" s="8">
        <f t="shared" si="425"/>
        <v>23.757434436715108</v>
      </c>
      <c r="Y929" s="8">
        <f t="shared" si="425"/>
        <v>23.702807642013077</v>
      </c>
      <c r="Z929" s="8">
        <f t="shared" si="425"/>
        <v>24.572267179399407</v>
      </c>
      <c r="AA929" s="8">
        <f t="shared" si="425"/>
        <v>24.680855198187778</v>
      </c>
      <c r="AB929" s="8">
        <f t="shared" si="425"/>
        <v>25.849496965705345</v>
      </c>
      <c r="AC929" s="8">
        <f t="shared" si="425"/>
        <v>25.975645061647604</v>
      </c>
      <c r="AD929" s="8">
        <f t="shared" si="425"/>
        <v>26.321852684456353</v>
      </c>
      <c r="AE929" s="8">
        <f t="shared" si="425"/>
        <v>0</v>
      </c>
      <c r="AF929" s="8">
        <f t="shared" si="425"/>
        <v>0</v>
      </c>
      <c r="AG929" s="8">
        <f t="shared" si="425"/>
        <v>0</v>
      </c>
      <c r="AH929" s="8">
        <f t="shared" si="425"/>
        <v>0</v>
      </c>
      <c r="AI929" s="8">
        <f t="shared" si="425"/>
        <v>0</v>
      </c>
      <c r="AJ929" s="8">
        <f t="shared" si="425"/>
        <v>0</v>
      </c>
      <c r="AK929" s="8">
        <f t="shared" si="425"/>
        <v>0</v>
      </c>
      <c r="AL929" s="8">
        <f t="shared" si="425"/>
        <v>0</v>
      </c>
      <c r="AM929" s="8">
        <f t="shared" si="425"/>
        <v>0</v>
      </c>
      <c r="AN929" s="8">
        <f t="shared" si="425"/>
        <v>0</v>
      </c>
      <c r="AO929" s="8">
        <f t="shared" si="425"/>
        <v>0</v>
      </c>
      <c r="AP929" s="8">
        <f t="shared" si="425"/>
        <v>0</v>
      </c>
      <c r="AQ929" s="8">
        <f t="shared" si="425"/>
        <v>0</v>
      </c>
      <c r="AR929" s="8">
        <f t="shared" si="425"/>
        <v>0</v>
      </c>
      <c r="AS929" s="8">
        <f t="shared" si="425"/>
        <v>0</v>
      </c>
      <c r="AT929" s="8">
        <f t="shared" si="425"/>
        <v>0</v>
      </c>
      <c r="AU929" s="8">
        <f t="shared" si="425"/>
        <v>0</v>
      </c>
      <c r="AV929" s="8">
        <f t="shared" si="425"/>
        <v>0</v>
      </c>
    </row>
    <row r="930" spans="1:48" s="187" customFormat="1" ht="15" customHeight="1">
      <c r="A930" s="473"/>
      <c r="B930" s="473"/>
      <c r="C930" s="474"/>
      <c r="D930" s="839"/>
      <c r="E930" s="187" t="s">
        <v>773</v>
      </c>
      <c r="F930" s="546">
        <f xml:space="preserve"> SUM(L930:AV930)</f>
        <v>0</v>
      </c>
      <c r="G930" s="136" t="s">
        <v>113</v>
      </c>
      <c r="H930" s="136"/>
      <c r="I930" s="136"/>
      <c r="J930" s="136"/>
      <c r="K930" s="136"/>
      <c r="L930" s="546">
        <f t="shared" ref="L930:AV930" si="426" xml:space="preserve"> IF( ABS(L922- SUM(L925:L927) + L929) &lt;= CHK_TOL, 0, 1)</f>
        <v>0</v>
      </c>
      <c r="M930" s="546">
        <f t="shared" si="426"/>
        <v>0</v>
      </c>
      <c r="N930" s="546">
        <f t="shared" si="426"/>
        <v>0</v>
      </c>
      <c r="O930" s="546">
        <f t="shared" si="426"/>
        <v>0</v>
      </c>
      <c r="P930" s="546">
        <f xml:space="preserve"> IF( ABS(P922- SUM(P925:P927) + P929) &lt;= CHK_TOL, 0, 1)</f>
        <v>0</v>
      </c>
      <c r="Q930" s="546">
        <f t="shared" si="426"/>
        <v>0</v>
      </c>
      <c r="R930" s="546">
        <f t="shared" si="426"/>
        <v>0</v>
      </c>
      <c r="S930" s="546">
        <f t="shared" si="426"/>
        <v>0</v>
      </c>
      <c r="T930" s="546">
        <f t="shared" si="426"/>
        <v>0</v>
      </c>
      <c r="U930" s="546">
        <f t="shared" si="426"/>
        <v>0</v>
      </c>
      <c r="V930" s="546">
        <f t="shared" si="426"/>
        <v>0</v>
      </c>
      <c r="W930" s="546">
        <f t="shared" si="426"/>
        <v>0</v>
      </c>
      <c r="X930" s="546">
        <f t="shared" si="426"/>
        <v>0</v>
      </c>
      <c r="Y930" s="546">
        <f t="shared" si="426"/>
        <v>0</v>
      </c>
      <c r="Z930" s="546">
        <f t="shared" si="426"/>
        <v>0</v>
      </c>
      <c r="AA930" s="546">
        <f t="shared" si="426"/>
        <v>0</v>
      </c>
      <c r="AB930" s="546">
        <f t="shared" si="426"/>
        <v>0</v>
      </c>
      <c r="AC930" s="546">
        <f t="shared" si="426"/>
        <v>0</v>
      </c>
      <c r="AD930" s="546">
        <f t="shared" si="426"/>
        <v>0</v>
      </c>
      <c r="AE930" s="546">
        <f t="shared" si="426"/>
        <v>0</v>
      </c>
      <c r="AF930" s="546">
        <f t="shared" si="426"/>
        <v>0</v>
      </c>
      <c r="AG930" s="546">
        <f t="shared" si="426"/>
        <v>0</v>
      </c>
      <c r="AH930" s="546">
        <f t="shared" si="426"/>
        <v>0</v>
      </c>
      <c r="AI930" s="546">
        <f t="shared" si="426"/>
        <v>0</v>
      </c>
      <c r="AJ930" s="546">
        <f t="shared" si="426"/>
        <v>0</v>
      </c>
      <c r="AK930" s="546">
        <f t="shared" si="426"/>
        <v>0</v>
      </c>
      <c r="AL930" s="546">
        <f t="shared" si="426"/>
        <v>0</v>
      </c>
      <c r="AM930" s="546">
        <f t="shared" si="426"/>
        <v>0</v>
      </c>
      <c r="AN930" s="546">
        <f t="shared" si="426"/>
        <v>0</v>
      </c>
      <c r="AO930" s="546">
        <f t="shared" si="426"/>
        <v>0</v>
      </c>
      <c r="AP930" s="546">
        <f t="shared" si="426"/>
        <v>0</v>
      </c>
      <c r="AQ930" s="546">
        <f t="shared" si="426"/>
        <v>0</v>
      </c>
      <c r="AR930" s="546">
        <f t="shared" si="426"/>
        <v>0</v>
      </c>
      <c r="AS930" s="546">
        <f t="shared" si="426"/>
        <v>0</v>
      </c>
      <c r="AT930" s="546">
        <f t="shared" si="426"/>
        <v>0</v>
      </c>
      <c r="AU930" s="546">
        <f t="shared" si="426"/>
        <v>0</v>
      </c>
      <c r="AV930" s="546">
        <f t="shared" si="426"/>
        <v>0</v>
      </c>
    </row>
    <row r="931" spans="1:48" customFormat="1" ht="15" customHeight="1"/>
    <row r="932" spans="1:48" ht="15" customHeight="1">
      <c r="B932" s="111" t="s">
        <v>792</v>
      </c>
    </row>
    <row r="933" spans="1:48" ht="15" customHeight="1">
      <c r="E933" s="98" t="s">
        <v>710</v>
      </c>
      <c r="F933" s="327">
        <v>2017</v>
      </c>
      <c r="G933" s="340" t="s">
        <v>62</v>
      </c>
      <c r="H933" s="340"/>
      <c r="I933" s="341"/>
    </row>
    <row r="934" spans="1:48" ht="15" customHeight="1">
      <c r="E934" s="98" t="s">
        <v>711</v>
      </c>
      <c r="F934" s="327">
        <v>2019</v>
      </c>
      <c r="G934" s="340" t="s">
        <v>62</v>
      </c>
      <c r="H934" s="340"/>
      <c r="I934" s="341"/>
    </row>
    <row r="935" spans="1:48" ht="15" customHeight="1">
      <c r="E935" s="417" t="str">
        <f xml:space="preserve"> 'T&amp;E'!E$12</f>
        <v xml:space="preserve">Forecast / point forward year </v>
      </c>
      <c r="F935" s="416">
        <f xml:space="preserve"> 'T&amp;E'!F$12</f>
        <v>2025</v>
      </c>
      <c r="G935" s="417" t="str">
        <f xml:space="preserve"> 'T&amp;E'!G$12</f>
        <v>year</v>
      </c>
      <c r="H935" s="340"/>
      <c r="I935" s="341"/>
    </row>
    <row r="936" spans="1:48" s="108" customFormat="1" ht="15" customHeight="1">
      <c r="A936" s="188"/>
      <c r="B936" s="188"/>
      <c r="C936" s="415"/>
      <c r="D936" s="843"/>
      <c r="E936" s="76" t="str">
        <f xml:space="preserve"> 'T&amp;E'!E$9</f>
        <v>Model calendar year</v>
      </c>
      <c r="F936" s="176">
        <f xml:space="preserve"> 'T&amp;E'!F$9</f>
        <v>0</v>
      </c>
      <c r="G936" s="176" t="str">
        <f xml:space="preserve"> 'T&amp;E'!G$9</f>
        <v>year</v>
      </c>
      <c r="H936" s="176">
        <f xml:space="preserve"> 'T&amp;E'!H$9</f>
        <v>0</v>
      </c>
      <c r="I936" s="176">
        <f xml:space="preserve"> 'T&amp;E'!I$9</f>
        <v>0</v>
      </c>
      <c r="J936" s="176">
        <f xml:space="preserve"> 'T&amp;E'!J$9</f>
        <v>0</v>
      </c>
      <c r="K936" s="176">
        <f xml:space="preserve"> 'T&amp;E'!K$9</f>
        <v>0</v>
      </c>
      <c r="L936" s="176">
        <f xml:space="preserve"> 'T&amp;E'!L$9</f>
        <v>2014</v>
      </c>
      <c r="M936" s="176">
        <f xml:space="preserve"> 'T&amp;E'!M$9</f>
        <v>2015</v>
      </c>
      <c r="N936" s="176">
        <f xml:space="preserve"> 'T&amp;E'!N$9</f>
        <v>2016</v>
      </c>
      <c r="O936" s="176">
        <f xml:space="preserve"> 'T&amp;E'!O$9</f>
        <v>2017</v>
      </c>
      <c r="P936" s="176">
        <f xml:space="preserve"> 'T&amp;E'!P$9</f>
        <v>2018</v>
      </c>
      <c r="Q936" s="176">
        <f xml:space="preserve"> 'T&amp;E'!Q$9</f>
        <v>2019</v>
      </c>
      <c r="R936" s="176">
        <f xml:space="preserve"> 'T&amp;E'!R$9</f>
        <v>2020</v>
      </c>
      <c r="S936" s="176">
        <f xml:space="preserve"> 'T&amp;E'!S$9</f>
        <v>2021</v>
      </c>
      <c r="T936" s="176">
        <f xml:space="preserve"> 'T&amp;E'!T$9</f>
        <v>2022</v>
      </c>
      <c r="U936" s="176">
        <f xml:space="preserve"> 'T&amp;E'!U$9</f>
        <v>2023</v>
      </c>
      <c r="V936" s="176">
        <f xml:space="preserve"> 'T&amp;E'!V$9</f>
        <v>2024</v>
      </c>
      <c r="W936" s="176">
        <f xml:space="preserve"> 'T&amp;E'!W$9</f>
        <v>2025</v>
      </c>
      <c r="X936" s="176">
        <f xml:space="preserve"> 'T&amp;E'!X$9</f>
        <v>2026</v>
      </c>
      <c r="Y936" s="176">
        <f xml:space="preserve"> 'T&amp;E'!Y$9</f>
        <v>2027</v>
      </c>
      <c r="Z936" s="176">
        <f xml:space="preserve"> 'T&amp;E'!Z$9</f>
        <v>2028</v>
      </c>
      <c r="AA936" s="176">
        <f xml:space="preserve"> 'T&amp;E'!AA$9</f>
        <v>2029</v>
      </c>
      <c r="AB936" s="176">
        <f xml:space="preserve"> 'T&amp;E'!AB$9</f>
        <v>2030</v>
      </c>
      <c r="AC936" s="176">
        <f xml:space="preserve"> 'T&amp;E'!AC$9</f>
        <v>2031</v>
      </c>
      <c r="AD936" s="176">
        <f xml:space="preserve"> 'T&amp;E'!AD$9</f>
        <v>2032</v>
      </c>
      <c r="AE936" s="176">
        <f xml:space="preserve"> 'T&amp;E'!AE$9</f>
        <v>2033</v>
      </c>
      <c r="AF936" s="176">
        <f xml:space="preserve"> 'T&amp;E'!AF$9</f>
        <v>2034</v>
      </c>
      <c r="AG936" s="176">
        <f xml:space="preserve"> 'T&amp;E'!AG$9</f>
        <v>2035</v>
      </c>
      <c r="AH936" s="176">
        <f xml:space="preserve"> 'T&amp;E'!AH$9</f>
        <v>2036</v>
      </c>
      <c r="AI936" s="176">
        <f xml:space="preserve"> 'T&amp;E'!AI$9</f>
        <v>2037</v>
      </c>
      <c r="AJ936" s="176">
        <f xml:space="preserve"> 'T&amp;E'!AJ$9</f>
        <v>2038</v>
      </c>
      <c r="AK936" s="176">
        <f xml:space="preserve"> 'T&amp;E'!AK$9</f>
        <v>2039</v>
      </c>
      <c r="AL936" s="176">
        <f xml:space="preserve"> 'T&amp;E'!AL$9</f>
        <v>2040</v>
      </c>
      <c r="AM936" s="176">
        <f xml:space="preserve"> 'T&amp;E'!AM$9</f>
        <v>2041</v>
      </c>
      <c r="AN936" s="176">
        <f xml:space="preserve"> 'T&amp;E'!AN$9</f>
        <v>2042</v>
      </c>
      <c r="AO936" s="176">
        <f xml:space="preserve"> 'T&amp;E'!AO$9</f>
        <v>2043</v>
      </c>
      <c r="AP936" s="176">
        <f xml:space="preserve"> 'T&amp;E'!AP$9</f>
        <v>2044</v>
      </c>
      <c r="AQ936" s="176">
        <f xml:space="preserve"> 'T&amp;E'!AQ$9</f>
        <v>2045</v>
      </c>
      <c r="AR936" s="176">
        <f xml:space="preserve"> 'T&amp;E'!AR$9</f>
        <v>2046</v>
      </c>
      <c r="AS936" s="176">
        <f xml:space="preserve"> 'T&amp;E'!AS$9</f>
        <v>2047</v>
      </c>
      <c r="AT936" s="176">
        <f xml:space="preserve"> 'T&amp;E'!AT$9</f>
        <v>2048</v>
      </c>
      <c r="AU936" s="176">
        <f xml:space="preserve"> 'T&amp;E'!AU$9</f>
        <v>2049</v>
      </c>
      <c r="AV936" s="176">
        <f xml:space="preserve"> 'T&amp;E'!AV$9</f>
        <v>2050</v>
      </c>
    </row>
    <row r="937" spans="1:48" ht="15" customHeight="1">
      <c r="E937" s="98" t="s">
        <v>712</v>
      </c>
      <c r="F937" s="320"/>
      <c r="G937" s="340" t="s">
        <v>146</v>
      </c>
      <c r="H937" s="340"/>
      <c r="K937" s="161"/>
      <c r="L937" s="320">
        <f t="shared" ref="L937:AV937" si="427" xml:space="preserve"> IF(L936 &lt; $F933, 0, K937 + 1)</f>
        <v>0</v>
      </c>
      <c r="M937" s="320">
        <f t="shared" si="427"/>
        <v>0</v>
      </c>
      <c r="N937" s="320">
        <f t="shared" si="427"/>
        <v>0</v>
      </c>
      <c r="O937" s="320">
        <f t="shared" si="427"/>
        <v>1</v>
      </c>
      <c r="P937" s="320">
        <f t="shared" si="427"/>
        <v>2</v>
      </c>
      <c r="Q937" s="320">
        <f t="shared" si="427"/>
        <v>3</v>
      </c>
      <c r="R937" s="320">
        <f t="shared" si="427"/>
        <v>4</v>
      </c>
      <c r="S937" s="320">
        <f t="shared" si="427"/>
        <v>5</v>
      </c>
      <c r="T937" s="320">
        <f t="shared" si="427"/>
        <v>6</v>
      </c>
      <c r="U937" s="320">
        <f t="shared" si="427"/>
        <v>7</v>
      </c>
      <c r="V937" s="320">
        <f t="shared" si="427"/>
        <v>8</v>
      </c>
      <c r="W937" s="320">
        <f t="shared" si="427"/>
        <v>9</v>
      </c>
      <c r="X937" s="320">
        <f t="shared" si="427"/>
        <v>10</v>
      </c>
      <c r="Y937" s="320">
        <f t="shared" si="427"/>
        <v>11</v>
      </c>
      <c r="Z937" s="320">
        <f t="shared" si="427"/>
        <v>12</v>
      </c>
      <c r="AA937" s="320">
        <f t="shared" si="427"/>
        <v>13</v>
      </c>
      <c r="AB937" s="320">
        <f t="shared" si="427"/>
        <v>14</v>
      </c>
      <c r="AC937" s="320">
        <f t="shared" si="427"/>
        <v>15</v>
      </c>
      <c r="AD937" s="320">
        <f t="shared" si="427"/>
        <v>16</v>
      </c>
      <c r="AE937" s="320">
        <f t="shared" si="427"/>
        <v>17</v>
      </c>
      <c r="AF937" s="320">
        <f t="shared" si="427"/>
        <v>18</v>
      </c>
      <c r="AG937" s="320">
        <f t="shared" si="427"/>
        <v>19</v>
      </c>
      <c r="AH937" s="320">
        <f t="shared" si="427"/>
        <v>20</v>
      </c>
      <c r="AI937" s="320">
        <f t="shared" si="427"/>
        <v>21</v>
      </c>
      <c r="AJ937" s="320">
        <f t="shared" si="427"/>
        <v>22</v>
      </c>
      <c r="AK937" s="320">
        <f t="shared" si="427"/>
        <v>23</v>
      </c>
      <c r="AL937" s="320">
        <f t="shared" si="427"/>
        <v>24</v>
      </c>
      <c r="AM937" s="320">
        <f t="shared" si="427"/>
        <v>25</v>
      </c>
      <c r="AN937" s="320">
        <f t="shared" si="427"/>
        <v>26</v>
      </c>
      <c r="AO937" s="320">
        <f t="shared" si="427"/>
        <v>27</v>
      </c>
      <c r="AP937" s="320">
        <f t="shared" si="427"/>
        <v>28</v>
      </c>
      <c r="AQ937" s="320">
        <f t="shared" si="427"/>
        <v>29</v>
      </c>
      <c r="AR937" s="320">
        <f t="shared" si="427"/>
        <v>30</v>
      </c>
      <c r="AS937" s="320">
        <f t="shared" si="427"/>
        <v>31</v>
      </c>
      <c r="AT937" s="320">
        <f t="shared" si="427"/>
        <v>32</v>
      </c>
      <c r="AU937" s="320">
        <f t="shared" si="427"/>
        <v>33</v>
      </c>
      <c r="AV937" s="320">
        <f t="shared" si="427"/>
        <v>34</v>
      </c>
    </row>
    <row r="938" spans="1:48" ht="15" customHeight="1">
      <c r="E938" s="98" t="s">
        <v>713</v>
      </c>
      <c r="F938" s="320"/>
      <c r="G938" s="340" t="s">
        <v>146</v>
      </c>
      <c r="H938" s="340"/>
      <c r="K938" s="161"/>
      <c r="L938" s="320">
        <f t="shared" ref="L938:AV938" si="428" xml:space="preserve"> IF(L936 &lt; $F934, 0, K938 + 1)</f>
        <v>0</v>
      </c>
      <c r="M938" s="320">
        <f t="shared" si="428"/>
        <v>0</v>
      </c>
      <c r="N938" s="320">
        <f t="shared" si="428"/>
        <v>0</v>
      </c>
      <c r="O938" s="320">
        <f t="shared" si="428"/>
        <v>0</v>
      </c>
      <c r="P938" s="320">
        <f t="shared" si="428"/>
        <v>0</v>
      </c>
      <c r="Q938" s="320">
        <f t="shared" si="428"/>
        <v>1</v>
      </c>
      <c r="R938" s="320">
        <f t="shared" si="428"/>
        <v>2</v>
      </c>
      <c r="S938" s="320">
        <f t="shared" si="428"/>
        <v>3</v>
      </c>
      <c r="T938" s="320">
        <f t="shared" si="428"/>
        <v>4</v>
      </c>
      <c r="U938" s="320">
        <f t="shared" si="428"/>
        <v>5</v>
      </c>
      <c r="V938" s="320">
        <f t="shared" si="428"/>
        <v>6</v>
      </c>
      <c r="W938" s="320">
        <f t="shared" si="428"/>
        <v>7</v>
      </c>
      <c r="X938" s="320">
        <f t="shared" si="428"/>
        <v>8</v>
      </c>
      <c r="Y938" s="320">
        <f t="shared" si="428"/>
        <v>9</v>
      </c>
      <c r="Z938" s="320">
        <f t="shared" si="428"/>
        <v>10</v>
      </c>
      <c r="AA938" s="320">
        <f t="shared" si="428"/>
        <v>11</v>
      </c>
      <c r="AB938" s="320">
        <f t="shared" si="428"/>
        <v>12</v>
      </c>
      <c r="AC938" s="320">
        <f t="shared" si="428"/>
        <v>13</v>
      </c>
      <c r="AD938" s="320">
        <f t="shared" si="428"/>
        <v>14</v>
      </c>
      <c r="AE938" s="320">
        <f t="shared" si="428"/>
        <v>15</v>
      </c>
      <c r="AF938" s="320">
        <f t="shared" si="428"/>
        <v>16</v>
      </c>
      <c r="AG938" s="320">
        <f t="shared" si="428"/>
        <v>17</v>
      </c>
      <c r="AH938" s="320">
        <f t="shared" si="428"/>
        <v>18</v>
      </c>
      <c r="AI938" s="320">
        <f t="shared" si="428"/>
        <v>19</v>
      </c>
      <c r="AJ938" s="320">
        <f t="shared" si="428"/>
        <v>20</v>
      </c>
      <c r="AK938" s="320">
        <f t="shared" si="428"/>
        <v>21</v>
      </c>
      <c r="AL938" s="320">
        <f t="shared" si="428"/>
        <v>22</v>
      </c>
      <c r="AM938" s="320">
        <f t="shared" si="428"/>
        <v>23</v>
      </c>
      <c r="AN938" s="320">
        <f t="shared" si="428"/>
        <v>24</v>
      </c>
      <c r="AO938" s="320">
        <f t="shared" si="428"/>
        <v>25</v>
      </c>
      <c r="AP938" s="320">
        <f t="shared" si="428"/>
        <v>26</v>
      </c>
      <c r="AQ938" s="320">
        <f t="shared" si="428"/>
        <v>27</v>
      </c>
      <c r="AR938" s="320">
        <f t="shared" si="428"/>
        <v>28</v>
      </c>
      <c r="AS938" s="320">
        <f t="shared" si="428"/>
        <v>29</v>
      </c>
      <c r="AT938" s="320">
        <f t="shared" si="428"/>
        <v>30</v>
      </c>
      <c r="AU938" s="320">
        <f t="shared" si="428"/>
        <v>31</v>
      </c>
      <c r="AV938" s="320">
        <f t="shared" si="428"/>
        <v>32</v>
      </c>
    </row>
    <row r="939" spans="1:48" ht="15" customHeight="1">
      <c r="E939" s="98" t="s">
        <v>714</v>
      </c>
      <c r="F939" s="320"/>
      <c r="G939" s="340" t="s">
        <v>146</v>
      </c>
      <c r="H939" s="340"/>
      <c r="K939" s="161"/>
      <c r="L939" s="320">
        <f xml:space="preserve"> IF(L936 &lt; $F935, 0, K939 + 1)</f>
        <v>0</v>
      </c>
      <c r="M939" s="320">
        <f t="shared" ref="M939:AV939" si="429" xml:space="preserve"> IF(M936 &lt; $F935, 0, L939 + 1)</f>
        <v>0</v>
      </c>
      <c r="N939" s="320">
        <f t="shared" si="429"/>
        <v>0</v>
      </c>
      <c r="O939" s="320">
        <f t="shared" si="429"/>
        <v>0</v>
      </c>
      <c r="P939" s="320">
        <f t="shared" si="429"/>
        <v>0</v>
      </c>
      <c r="Q939" s="320">
        <f t="shared" si="429"/>
        <v>0</v>
      </c>
      <c r="R939" s="320">
        <f t="shared" si="429"/>
        <v>0</v>
      </c>
      <c r="S939" s="320">
        <f t="shared" si="429"/>
        <v>0</v>
      </c>
      <c r="T939" s="320">
        <f t="shared" si="429"/>
        <v>0</v>
      </c>
      <c r="U939" s="320">
        <f t="shared" si="429"/>
        <v>0</v>
      </c>
      <c r="V939" s="320">
        <f t="shared" si="429"/>
        <v>0</v>
      </c>
      <c r="W939" s="320">
        <f t="shared" si="429"/>
        <v>1</v>
      </c>
      <c r="X939" s="320">
        <f t="shared" si="429"/>
        <v>2</v>
      </c>
      <c r="Y939" s="320">
        <f t="shared" si="429"/>
        <v>3</v>
      </c>
      <c r="Z939" s="320">
        <f t="shared" si="429"/>
        <v>4</v>
      </c>
      <c r="AA939" s="320">
        <f t="shared" si="429"/>
        <v>5</v>
      </c>
      <c r="AB939" s="320">
        <f t="shared" si="429"/>
        <v>6</v>
      </c>
      <c r="AC939" s="320">
        <f t="shared" si="429"/>
        <v>7</v>
      </c>
      <c r="AD939" s="320">
        <f t="shared" si="429"/>
        <v>8</v>
      </c>
      <c r="AE939" s="320">
        <f t="shared" si="429"/>
        <v>9</v>
      </c>
      <c r="AF939" s="320">
        <f t="shared" si="429"/>
        <v>10</v>
      </c>
      <c r="AG939" s="320">
        <f t="shared" si="429"/>
        <v>11</v>
      </c>
      <c r="AH939" s="320">
        <f t="shared" si="429"/>
        <v>12</v>
      </c>
      <c r="AI939" s="320">
        <f t="shared" si="429"/>
        <v>13</v>
      </c>
      <c r="AJ939" s="320">
        <f t="shared" si="429"/>
        <v>14</v>
      </c>
      <c r="AK939" s="320">
        <f t="shared" si="429"/>
        <v>15</v>
      </c>
      <c r="AL939" s="320">
        <f t="shared" si="429"/>
        <v>16</v>
      </c>
      <c r="AM939" s="320">
        <f t="shared" si="429"/>
        <v>17</v>
      </c>
      <c r="AN939" s="320">
        <f t="shared" si="429"/>
        <v>18</v>
      </c>
      <c r="AO939" s="320">
        <f t="shared" si="429"/>
        <v>19</v>
      </c>
      <c r="AP939" s="320">
        <f t="shared" si="429"/>
        <v>20</v>
      </c>
      <c r="AQ939" s="320">
        <f t="shared" si="429"/>
        <v>21</v>
      </c>
      <c r="AR939" s="320">
        <f t="shared" si="429"/>
        <v>22</v>
      </c>
      <c r="AS939" s="320">
        <f t="shared" si="429"/>
        <v>23</v>
      </c>
      <c r="AT939" s="320">
        <f t="shared" si="429"/>
        <v>24</v>
      </c>
      <c r="AU939" s="320">
        <f t="shared" si="429"/>
        <v>25</v>
      </c>
      <c r="AV939" s="320">
        <f t="shared" si="429"/>
        <v>26</v>
      </c>
    </row>
    <row r="940" spans="1:48" ht="15" customHeight="1">
      <c r="E940" s="6"/>
    </row>
    <row r="941" spans="1:48" ht="15" customHeight="1">
      <c r="E941" s="417" t="str">
        <f xml:space="preserve"> InputsCon!E$14</f>
        <v>Discount rate</v>
      </c>
      <c r="F941" s="425">
        <f xml:space="preserve"> InputsCon!F$14</f>
        <v>0.1</v>
      </c>
      <c r="G941" s="425" t="str">
        <f xml:space="preserve"> InputsCon!G$14</f>
        <v>%nominal</v>
      </c>
      <c r="H941" s="340"/>
      <c r="I941" s="341" t="str">
        <f xml:space="preserve"> Sources!$I$59</f>
        <v>XLVII</v>
      </c>
    </row>
    <row r="942" spans="1:48" ht="15" customHeight="1">
      <c r="E942" s="98" t="str">
        <f>"Discount factor_" &amp; F933</f>
        <v>Discount factor_2017</v>
      </c>
      <c r="F942" s="340"/>
      <c r="G942" s="340" t="s">
        <v>148</v>
      </c>
      <c r="H942" s="340"/>
      <c r="L942" s="342">
        <f t="shared" ref="L942:AV942" si="430" xml:space="preserve"> IF( L937 &gt; 0, 1 / ( 1 + $F941) ^ (L937 - 0.5), 0)</f>
        <v>0</v>
      </c>
      <c r="M942" s="342">
        <f t="shared" si="430"/>
        <v>0</v>
      </c>
      <c r="N942" s="342">
        <f t="shared" si="430"/>
        <v>0</v>
      </c>
      <c r="O942" s="342">
        <f t="shared" si="430"/>
        <v>0.95346258924559224</v>
      </c>
      <c r="P942" s="342">
        <f t="shared" si="430"/>
        <v>0.86678417204144742</v>
      </c>
      <c r="Q942" s="342">
        <f xml:space="preserve"> IF( Q937 &gt; 0, 1 / ( 1 + $F941) ^ (Q937 - 0.5), 0)</f>
        <v>0.78798561094677033</v>
      </c>
      <c r="R942" s="342">
        <f t="shared" si="430"/>
        <v>0.71635055540615489</v>
      </c>
      <c r="S942" s="342">
        <f t="shared" si="430"/>
        <v>0.65122777764195883</v>
      </c>
      <c r="T942" s="342">
        <f t="shared" si="430"/>
        <v>0.59202525240178083</v>
      </c>
      <c r="U942" s="342">
        <f t="shared" si="430"/>
        <v>0.53820477491070973</v>
      </c>
      <c r="V942" s="342">
        <f t="shared" si="430"/>
        <v>0.48927706810064514</v>
      </c>
      <c r="W942" s="342">
        <f t="shared" si="430"/>
        <v>0.44479733463695009</v>
      </c>
      <c r="X942" s="342">
        <f t="shared" si="430"/>
        <v>0.4043612133063183</v>
      </c>
      <c r="Y942" s="342">
        <f t="shared" si="430"/>
        <v>0.36760110300574383</v>
      </c>
      <c r="Z942" s="342">
        <f t="shared" si="430"/>
        <v>0.33418282091431251</v>
      </c>
      <c r="AA942" s="342">
        <f t="shared" si="430"/>
        <v>0.30380256446755688</v>
      </c>
      <c r="AB942" s="342">
        <f t="shared" si="430"/>
        <v>0.27618414951596076</v>
      </c>
      <c r="AC942" s="342">
        <f t="shared" si="430"/>
        <v>0.25107649955996431</v>
      </c>
      <c r="AD942" s="342">
        <f t="shared" si="430"/>
        <v>0.22825136323633116</v>
      </c>
      <c r="AE942" s="342">
        <f t="shared" si="430"/>
        <v>0.20750123930575562</v>
      </c>
      <c r="AF942" s="342">
        <f t="shared" si="430"/>
        <v>0.18863749027795962</v>
      </c>
      <c r="AG942" s="342">
        <f t="shared" si="430"/>
        <v>0.17148862752541782</v>
      </c>
      <c r="AH942" s="342">
        <f t="shared" si="430"/>
        <v>0.15589875229583436</v>
      </c>
      <c r="AI942" s="342">
        <f t="shared" si="430"/>
        <v>0.14172613845075852</v>
      </c>
      <c r="AJ942" s="342">
        <f t="shared" si="430"/>
        <v>0.1288419440461441</v>
      </c>
      <c r="AK942" s="342">
        <f t="shared" si="430"/>
        <v>0.11712904004194918</v>
      </c>
      <c r="AL942" s="342">
        <f t="shared" si="430"/>
        <v>0.10648094549268106</v>
      </c>
      <c r="AM942" s="342">
        <f t="shared" si="430"/>
        <v>9.6800859538800965E-2</v>
      </c>
      <c r="AN942" s="342">
        <f t="shared" si="430"/>
        <v>8.8000781398909919E-2</v>
      </c>
      <c r="AO942" s="342">
        <f t="shared" si="430"/>
        <v>8.0000710362645402E-2</v>
      </c>
      <c r="AP942" s="342">
        <f t="shared" si="430"/>
        <v>7.272791851149582E-2</v>
      </c>
      <c r="AQ942" s="342">
        <f t="shared" si="430"/>
        <v>6.6116289555905275E-2</v>
      </c>
      <c r="AR942" s="342">
        <f t="shared" si="430"/>
        <v>6.0105717778095702E-2</v>
      </c>
      <c r="AS942" s="342">
        <f t="shared" si="430"/>
        <v>5.4641561616450646E-2</v>
      </c>
      <c r="AT942" s="342">
        <f t="shared" si="430"/>
        <v>4.967414692404603E-2</v>
      </c>
      <c r="AU942" s="342">
        <f t="shared" si="430"/>
        <v>4.5158315385496389E-2</v>
      </c>
      <c r="AV942" s="342">
        <f t="shared" si="430"/>
        <v>4.1053013986814886E-2</v>
      </c>
    </row>
    <row r="943" spans="1:48" ht="15" customHeight="1">
      <c r="E943" s="98" t="str">
        <f>"Discount factor_" &amp; F934</f>
        <v>Discount factor_2019</v>
      </c>
      <c r="F943" s="340"/>
      <c r="G943" s="340" t="s">
        <v>148</v>
      </c>
      <c r="H943" s="340"/>
      <c r="L943" s="342">
        <f t="shared" ref="L943:AV943" si="431" xml:space="preserve"> IF( L938 &gt; 0, 1 / ( 1 + $F941) ^ (L938 - 0.5), 0)</f>
        <v>0</v>
      </c>
      <c r="M943" s="342">
        <f t="shared" si="431"/>
        <v>0</v>
      </c>
      <c r="N943" s="342">
        <f t="shared" si="431"/>
        <v>0</v>
      </c>
      <c r="O943" s="342">
        <f t="shared" si="431"/>
        <v>0</v>
      </c>
      <c r="P943" s="342">
        <f t="shared" si="431"/>
        <v>0</v>
      </c>
      <c r="Q943" s="342">
        <f t="shared" si="431"/>
        <v>0.95346258924559224</v>
      </c>
      <c r="R943" s="342">
        <f t="shared" si="431"/>
        <v>0.86678417204144742</v>
      </c>
      <c r="S943" s="342">
        <f t="shared" si="431"/>
        <v>0.78798561094677033</v>
      </c>
      <c r="T943" s="342">
        <f t="shared" si="431"/>
        <v>0.71635055540615489</v>
      </c>
      <c r="U943" s="342">
        <f t="shared" si="431"/>
        <v>0.65122777764195883</v>
      </c>
      <c r="V943" s="342">
        <f t="shared" si="431"/>
        <v>0.59202525240178083</v>
      </c>
      <c r="W943" s="342">
        <f t="shared" si="431"/>
        <v>0.53820477491070973</v>
      </c>
      <c r="X943" s="342">
        <f t="shared" si="431"/>
        <v>0.48927706810064514</v>
      </c>
      <c r="Y943" s="342">
        <f t="shared" si="431"/>
        <v>0.44479733463695009</v>
      </c>
      <c r="Z943" s="342">
        <f t="shared" si="431"/>
        <v>0.4043612133063183</v>
      </c>
      <c r="AA943" s="342">
        <f t="shared" si="431"/>
        <v>0.36760110300574383</v>
      </c>
      <c r="AB943" s="342">
        <f t="shared" si="431"/>
        <v>0.33418282091431251</v>
      </c>
      <c r="AC943" s="342">
        <f t="shared" si="431"/>
        <v>0.30380256446755688</v>
      </c>
      <c r="AD943" s="342">
        <f t="shared" si="431"/>
        <v>0.27618414951596076</v>
      </c>
      <c r="AE943" s="342">
        <f t="shared" si="431"/>
        <v>0.25107649955996431</v>
      </c>
      <c r="AF943" s="342">
        <f t="shared" si="431"/>
        <v>0.22825136323633116</v>
      </c>
      <c r="AG943" s="342">
        <f t="shared" si="431"/>
        <v>0.20750123930575562</v>
      </c>
      <c r="AH943" s="342">
        <f t="shared" si="431"/>
        <v>0.18863749027795962</v>
      </c>
      <c r="AI943" s="342">
        <f t="shared" si="431"/>
        <v>0.17148862752541782</v>
      </c>
      <c r="AJ943" s="342">
        <f t="shared" si="431"/>
        <v>0.15589875229583436</v>
      </c>
      <c r="AK943" s="342">
        <f t="shared" si="431"/>
        <v>0.14172613845075852</v>
      </c>
      <c r="AL943" s="342">
        <f t="shared" si="431"/>
        <v>0.1288419440461441</v>
      </c>
      <c r="AM943" s="342">
        <f t="shared" si="431"/>
        <v>0.11712904004194918</v>
      </c>
      <c r="AN943" s="342">
        <f t="shared" si="431"/>
        <v>0.10648094549268106</v>
      </c>
      <c r="AO943" s="342">
        <f t="shared" si="431"/>
        <v>9.6800859538800965E-2</v>
      </c>
      <c r="AP943" s="342">
        <f t="shared" si="431"/>
        <v>8.8000781398909919E-2</v>
      </c>
      <c r="AQ943" s="342">
        <f t="shared" si="431"/>
        <v>8.0000710362645402E-2</v>
      </c>
      <c r="AR943" s="342">
        <f t="shared" si="431"/>
        <v>7.272791851149582E-2</v>
      </c>
      <c r="AS943" s="342">
        <f t="shared" si="431"/>
        <v>6.6116289555905275E-2</v>
      </c>
      <c r="AT943" s="342">
        <f t="shared" si="431"/>
        <v>6.0105717778095702E-2</v>
      </c>
      <c r="AU943" s="342">
        <f t="shared" si="431"/>
        <v>5.4641561616450646E-2</v>
      </c>
      <c r="AV943" s="342">
        <f t="shared" si="431"/>
        <v>4.967414692404603E-2</v>
      </c>
    </row>
    <row r="944" spans="1:48" ht="15" customHeight="1">
      <c r="E944" s="98" t="str">
        <f>"Discount factor_" &amp; F935</f>
        <v>Discount factor_2025</v>
      </c>
      <c r="F944" s="340"/>
      <c r="G944" s="340" t="s">
        <v>148</v>
      </c>
      <c r="H944" s="340"/>
      <c r="L944" s="342">
        <f t="shared" ref="L944:AV944" si="432" xml:space="preserve"> IF( L939 &gt; 0, 1 / ( 1 + $F941) ^ (L939 - 0.5), 0)</f>
        <v>0</v>
      </c>
      <c r="M944" s="342">
        <f t="shared" si="432"/>
        <v>0</v>
      </c>
      <c r="N944" s="342">
        <f t="shared" si="432"/>
        <v>0</v>
      </c>
      <c r="O944" s="342">
        <f t="shared" si="432"/>
        <v>0</v>
      </c>
      <c r="P944" s="342">
        <f t="shared" si="432"/>
        <v>0</v>
      </c>
      <c r="Q944" s="342">
        <f t="shared" si="432"/>
        <v>0</v>
      </c>
      <c r="R944" s="342">
        <f t="shared" si="432"/>
        <v>0</v>
      </c>
      <c r="S944" s="342">
        <f t="shared" si="432"/>
        <v>0</v>
      </c>
      <c r="T944" s="342">
        <f t="shared" si="432"/>
        <v>0</v>
      </c>
      <c r="U944" s="342">
        <f t="shared" si="432"/>
        <v>0</v>
      </c>
      <c r="V944" s="342">
        <f t="shared" si="432"/>
        <v>0</v>
      </c>
      <c r="W944" s="342">
        <f t="shared" si="432"/>
        <v>0.95346258924559224</v>
      </c>
      <c r="X944" s="342">
        <f t="shared" si="432"/>
        <v>0.86678417204144742</v>
      </c>
      <c r="Y944" s="342">
        <f t="shared" si="432"/>
        <v>0.78798561094677033</v>
      </c>
      <c r="Z944" s="342">
        <f t="shared" si="432"/>
        <v>0.71635055540615489</v>
      </c>
      <c r="AA944" s="342">
        <f t="shared" si="432"/>
        <v>0.65122777764195883</v>
      </c>
      <c r="AB944" s="342">
        <f t="shared" si="432"/>
        <v>0.59202525240178083</v>
      </c>
      <c r="AC944" s="342">
        <f t="shared" si="432"/>
        <v>0.53820477491070973</v>
      </c>
      <c r="AD944" s="342">
        <f t="shared" si="432"/>
        <v>0.48927706810064514</v>
      </c>
      <c r="AE944" s="342">
        <f t="shared" si="432"/>
        <v>0.44479733463695009</v>
      </c>
      <c r="AF944" s="342">
        <f t="shared" si="432"/>
        <v>0.4043612133063183</v>
      </c>
      <c r="AG944" s="342">
        <f t="shared" si="432"/>
        <v>0.36760110300574383</v>
      </c>
      <c r="AH944" s="342">
        <f t="shared" si="432"/>
        <v>0.33418282091431251</v>
      </c>
      <c r="AI944" s="342">
        <f t="shared" si="432"/>
        <v>0.30380256446755688</v>
      </c>
      <c r="AJ944" s="342">
        <f t="shared" si="432"/>
        <v>0.27618414951596076</v>
      </c>
      <c r="AK944" s="342">
        <f t="shared" si="432"/>
        <v>0.25107649955996431</v>
      </c>
      <c r="AL944" s="342">
        <f t="shared" si="432"/>
        <v>0.22825136323633116</v>
      </c>
      <c r="AM944" s="342">
        <f t="shared" si="432"/>
        <v>0.20750123930575562</v>
      </c>
      <c r="AN944" s="342">
        <f t="shared" si="432"/>
        <v>0.18863749027795962</v>
      </c>
      <c r="AO944" s="342">
        <f t="shared" si="432"/>
        <v>0.17148862752541782</v>
      </c>
      <c r="AP944" s="342">
        <f t="shared" si="432"/>
        <v>0.15589875229583436</v>
      </c>
      <c r="AQ944" s="342">
        <f t="shared" si="432"/>
        <v>0.14172613845075852</v>
      </c>
      <c r="AR944" s="342">
        <f t="shared" si="432"/>
        <v>0.1288419440461441</v>
      </c>
      <c r="AS944" s="342">
        <f t="shared" si="432"/>
        <v>0.11712904004194918</v>
      </c>
      <c r="AT944" s="342">
        <f t="shared" si="432"/>
        <v>0.10648094549268106</v>
      </c>
      <c r="AU944" s="342">
        <f t="shared" si="432"/>
        <v>9.6800859538800965E-2</v>
      </c>
      <c r="AV944" s="342">
        <f t="shared" si="432"/>
        <v>8.8000781398909919E-2</v>
      </c>
    </row>
    <row r="945" spans="2:15" ht="15" customHeight="1">
      <c r="E945" s="6" t="s">
        <v>722</v>
      </c>
      <c r="F945" s="343" t="str">
        <f>"$ mn NPV" &amp; F941 * 100</f>
        <v>$ mn NPV10</v>
      </c>
    </row>
    <row r="946" spans="2:15" ht="15" customHeight="1">
      <c r="E946" s="6" t="s">
        <v>723</v>
      </c>
      <c r="F946" s="343" t="str">
        <f>"NPV" &amp; F941 * 100</f>
        <v>NPV10</v>
      </c>
    </row>
    <row r="948" spans="2:15" ht="15" customHeight="1">
      <c r="B948" s="111" t="s">
        <v>721</v>
      </c>
    </row>
    <row r="949" spans="2:15" ht="15" customHeight="1">
      <c r="E949" s="449" t="s">
        <v>687</v>
      </c>
      <c r="F949" s="450"/>
      <c r="G949" s="450"/>
      <c r="H949" s="450"/>
      <c r="I949" s="450"/>
      <c r="J949" s="450"/>
      <c r="K949" s="450"/>
      <c r="L949" s="461" t="s">
        <v>718</v>
      </c>
      <c r="M949" s="461" t="s">
        <v>718</v>
      </c>
      <c r="N949" s="459"/>
      <c r="O949" s="450"/>
    </row>
    <row r="950" spans="2:15" ht="15" customHeight="1">
      <c r="E950" s="451" t="s">
        <v>786</v>
      </c>
      <c r="F950" s="460"/>
      <c r="G950" s="460"/>
      <c r="H950" s="460">
        <f xml:space="preserve"> F921</f>
        <v>0</v>
      </c>
      <c r="I950" s="460"/>
      <c r="J950" s="460"/>
      <c r="K950" s="460">
        <f xml:space="preserve"> F921</f>
        <v>0</v>
      </c>
      <c r="L950" s="467" t="s">
        <v>800</v>
      </c>
      <c r="M950" s="451">
        <f xml:space="preserve"> $F$933</f>
        <v>2017</v>
      </c>
      <c r="N950" s="451">
        <f xml:space="preserve"> $F$934</f>
        <v>2019</v>
      </c>
      <c r="O950" s="451">
        <f xml:space="preserve"> $F$935</f>
        <v>2025</v>
      </c>
    </row>
    <row r="951" spans="2:15" ht="15" customHeight="1">
      <c r="E951" s="121" t="str">
        <f xml:space="preserve"> E819</f>
        <v>Copper production 2022Fs + actuals</v>
      </c>
      <c r="G951" s="121" t="str">
        <f xml:space="preserve"> G819</f>
        <v>KT Cu</v>
      </c>
      <c r="L951" s="6">
        <f xml:space="preserve"> SUM(L819:AU819)</f>
        <v>1421.0743320093752</v>
      </c>
      <c r="M951" s="6" cm="1">
        <f t="array" ref="M951" xml:space="preserve"> SUMPRODUCT(L819:AV819,--(L$937:AV$937 &gt; 0))</f>
        <v>1421.0743320093752</v>
      </c>
      <c r="N951" s="6" cm="1">
        <f t="array" ref="N951" xml:space="preserve"> SUMPRODUCT(L819:AV819,--(L$938:AV$938 &gt; 0))</f>
        <v>1411.8487686579751</v>
      </c>
      <c r="O951" s="6" cm="1">
        <f t="array" ref="O951" xml:space="preserve"> SUMPRODUCT(L819:AV819,--(L$939:AV$939 &gt; 0))</f>
        <v>836.90899999999999</v>
      </c>
    </row>
    <row r="952" spans="2:15" ht="15" customHeight="1">
      <c r="E952" s="121" t="str">
        <f xml:space="preserve"> E820</f>
        <v xml:space="preserve">Cobalt production 2022FS + actuals </v>
      </c>
      <c r="G952" s="121" t="str">
        <f xml:space="preserve"> G820</f>
        <v>KT</v>
      </c>
      <c r="L952" s="6">
        <f xml:space="preserve"> SUM(L820:AU820)</f>
        <v>280.82510633243999</v>
      </c>
      <c r="M952" s="6" cm="1">
        <f t="array" ref="M952" xml:space="preserve"> SUMPRODUCT(L820:AV820,--(L$937:AV$937 &gt; 0))</f>
        <v>280.82510633243999</v>
      </c>
      <c r="N952" s="6" cm="1">
        <f t="array" ref="N952" xml:space="preserve"> SUMPRODUCT(L820:AV820,--(L$938:AV$938 &gt; 0))</f>
        <v>280.61670331163998</v>
      </c>
      <c r="O952" s="6" cm="1">
        <f t="array" ref="O952" xml:space="preserve"> SUMPRODUCT(L820:AV820,--(L$939:AV$939 &gt; 0))</f>
        <v>161.17799999999997</v>
      </c>
    </row>
    <row r="953" spans="2:15" ht="15" customHeight="1">
      <c r="E953" s="121" t="s">
        <v>789</v>
      </c>
      <c r="G953" s="121" t="s">
        <v>790</v>
      </c>
      <c r="L953" s="342">
        <f xml:space="preserve"> L952 / L951</f>
        <v>0.19761464971037651</v>
      </c>
      <c r="M953" s="342">
        <f xml:space="preserve"> M952 / M951</f>
        <v>0.19761464971037651</v>
      </c>
      <c r="N953" s="342">
        <f t="shared" ref="N953:O953" si="433" xml:space="preserve"> N952 / N951</f>
        <v>0.19875832988711575</v>
      </c>
      <c r="O953" s="342">
        <f t="shared" si="433"/>
        <v>0.192587246642108</v>
      </c>
    </row>
    <row r="954" spans="2:15" ht="5.0999999999999996" customHeight="1">
      <c r="L954" s="6"/>
      <c r="M954" s="6"/>
      <c r="N954" s="6"/>
      <c r="O954" s="6"/>
    </row>
    <row r="955" spans="2:15" ht="15" customHeight="1">
      <c r="E955" s="121" t="str">
        <f xml:space="preserve"> E822</f>
        <v>Copper gross revenue (at realized prices)</v>
      </c>
      <c r="G955" s="121" t="str">
        <f xml:space="preserve"> G822</f>
        <v>$ mn</v>
      </c>
      <c r="L955" s="6">
        <f xml:space="preserve"> SUM(L822:AU822)</f>
        <v>11467.694807333486</v>
      </c>
      <c r="M955" s="6" cm="1">
        <f t="array" ref="M955" xml:space="preserve"> SUMPRODUCT(L822:AV822,--(L$937:AV$937 &gt; 0))</f>
        <v>11467.694807333486</v>
      </c>
      <c r="N955" s="6" cm="1">
        <f t="array" ref="N955" xml:space="preserve"> SUMPRODUCT(L822:AV822,--(L$938:AV$938 &gt; 0))</f>
        <v>11410.811981463903</v>
      </c>
      <c r="O955" s="6" cm="1">
        <f t="array" ref="O955" xml:space="preserve"> SUMPRODUCT(L822:AV822,--(L$939:AV$939 &gt; 0))</f>
        <v>7048.7685315570543</v>
      </c>
    </row>
    <row r="956" spans="2:15" ht="15" customHeight="1">
      <c r="E956" s="121" t="str">
        <f xml:space="preserve"> E823</f>
        <v>Cobalt gross revenue (at realized prices)</v>
      </c>
      <c r="G956" s="121" t="str">
        <f xml:space="preserve"> G823</f>
        <v>$ mn</v>
      </c>
      <c r="L956" s="6">
        <f xml:space="preserve"> SUM(L823:AU823)</f>
        <v>7544.2272910711363</v>
      </c>
      <c r="M956" s="6" cm="1">
        <f t="array" ref="M956" xml:space="preserve"> SUMPRODUCT(L823:AV823,--(L$937:AV$937 &gt; 0))</f>
        <v>7544.2272910711363</v>
      </c>
      <c r="N956" s="6" cm="1">
        <f t="array" ref="N956" xml:space="preserve"> SUMPRODUCT(L823:AV823,--(L$938:AV$938 &gt; 0))</f>
        <v>7533.9738630112897</v>
      </c>
      <c r="O956" s="6" cm="1">
        <f t="array" ref="O956" xml:space="preserve"> SUMPRODUCT(L823:AV823,--(L$939:AV$939 &gt; 0))</f>
        <v>4318.6154076934317</v>
      </c>
    </row>
    <row r="957" spans="2:15" ht="15" customHeight="1">
      <c r="E957" s="446" t="str">
        <f xml:space="preserve"> E824</f>
        <v>Copper plus Cobalt revenue</v>
      </c>
      <c r="F957" s="446"/>
      <c r="G957" s="446" t="str">
        <f xml:space="preserve"> G824</f>
        <v>$ mn</v>
      </c>
      <c r="H957" s="446"/>
      <c r="I957" s="447"/>
      <c r="J957" s="446"/>
      <c r="K957" s="324"/>
      <c r="L957" s="310">
        <f xml:space="preserve"> SUM(L824:AU824)</f>
        <v>19011.922098404622</v>
      </c>
      <c r="M957" s="310" cm="1">
        <f t="array" ref="M957" xml:space="preserve"> SUMPRODUCT(L824:AV824,--(L$937:AV$937 &gt; 0))</f>
        <v>19011.922098404622</v>
      </c>
      <c r="N957" s="310" cm="1">
        <f t="array" ref="N957" xml:space="preserve"> SUMPRODUCT(L824:AV824,--(L$938:AV$938 &gt; 0))</f>
        <v>18944.785844475198</v>
      </c>
      <c r="O957" s="310" cm="1">
        <f t="array" ref="O957" xml:space="preserve"> SUMPRODUCT(L824:AV824,--(L$939:AV$939 &gt; 0))</f>
        <v>11367.383939250485</v>
      </c>
    </row>
    <row r="958" spans="2:15" ht="5.0999999999999996" customHeight="1">
      <c r="L958" s="6"/>
      <c r="M958" s="6"/>
      <c r="N958" s="6"/>
      <c r="O958" s="6"/>
    </row>
    <row r="959" spans="2:15" ht="15" customHeight="1">
      <c r="E959" s="121" t="str">
        <f xml:space="preserve"> E826</f>
        <v>Freight, Insurance &amp; Sales 2019TR: Cu</v>
      </c>
      <c r="G959" s="121" t="str">
        <f xml:space="preserve"> G826</f>
        <v>$ mn</v>
      </c>
      <c r="L959" s="6">
        <f xml:space="preserve"> SUM(L826:AU826)</f>
        <v>0</v>
      </c>
      <c r="M959" s="6" cm="1">
        <f t="array" ref="M959" xml:space="preserve"> SUMPRODUCT(L826:AV826,--(L$937:AV$937 &gt; 0))</f>
        <v>0</v>
      </c>
      <c r="N959" s="6" cm="1">
        <f t="array" ref="N959" xml:space="preserve"> SUMPRODUCT(L826:AV826,--(L$938:AV$938 &gt; 0))</f>
        <v>0</v>
      </c>
      <c r="O959" s="6" cm="1">
        <f t="array" ref="O959" xml:space="preserve"> SUMPRODUCT(L826:AV826,--(L$939:AV$939 &gt; 0))</f>
        <v>0</v>
      </c>
    </row>
    <row r="960" spans="2:15" ht="15" customHeight="1">
      <c r="E960" s="121" t="str">
        <f xml:space="preserve"> E827</f>
        <v>Freight, Insurance &amp; Sales 2019TR: Co</v>
      </c>
      <c r="G960" s="121" t="str">
        <f xml:space="preserve"> G827</f>
        <v>$ mn</v>
      </c>
      <c r="L960" s="6">
        <f xml:space="preserve"> SUM(L827:AU827)</f>
        <v>0</v>
      </c>
      <c r="M960" s="6" cm="1">
        <f t="array" ref="M960" xml:space="preserve"> SUMPRODUCT(L827:AV827,--(L$937:AV$937 &gt; 0))</f>
        <v>0</v>
      </c>
      <c r="N960" s="6" cm="1">
        <f t="array" ref="N960" xml:space="preserve"> SUMPRODUCT(L827:AV827,--(L$938:AV$938 &gt; 0))</f>
        <v>0</v>
      </c>
      <c r="O960" s="6" cm="1">
        <f t="array" ref="O960" xml:space="preserve"> SUMPRODUCT(L827:AV827,--(L$939:AV$939 &gt; 0))</f>
        <v>0</v>
      </c>
    </row>
    <row r="961" spans="5:19" ht="15" customHeight="1">
      <c r="E961" s="446" t="str">
        <f xml:space="preserve"> E828</f>
        <v>Realization costs Cu and Co</v>
      </c>
      <c r="F961" s="446"/>
      <c r="G961" s="446" t="str">
        <f xml:space="preserve"> G828</f>
        <v>$ mn</v>
      </c>
      <c r="H961" s="446"/>
      <c r="I961" s="447"/>
      <c r="J961" s="446"/>
      <c r="K961" s="324"/>
      <c r="L961" s="310">
        <f xml:space="preserve"> SUM(L828:AU828)</f>
        <v>0</v>
      </c>
      <c r="M961" s="310" cm="1">
        <f t="array" ref="M961" xml:space="preserve"> SUMPRODUCT(L828:AV828,--(L$937:AV$937 &gt; 0))</f>
        <v>0</v>
      </c>
      <c r="N961" s="310" cm="1">
        <f t="array" ref="N961" xml:space="preserve"> SUMPRODUCT(L828:AV828,--(L$938:AV$938 &gt; 0))</f>
        <v>0</v>
      </c>
      <c r="O961" s="310" cm="1">
        <f t="array" ref="O961" xml:space="preserve"> SUMPRODUCT(L828:AV828,--(L$939:AV$939 &gt; 0))</f>
        <v>0</v>
      </c>
    </row>
    <row r="962" spans="5:19" ht="5.0999999999999996" customHeight="1">
      <c r="L962" s="6"/>
      <c r="M962" s="6"/>
      <c r="N962" s="6"/>
      <c r="O962" s="6"/>
    </row>
    <row r="963" spans="5:19" ht="15" customHeight="1">
      <c r="E963" s="121" t="str">
        <f xml:space="preserve"> E830</f>
        <v>Copper net revenue</v>
      </c>
      <c r="G963" s="121" t="str">
        <f xml:space="preserve"> G830</f>
        <v>$ mn</v>
      </c>
      <c r="L963" s="6">
        <f xml:space="preserve"> SUM(L830:AU830)</f>
        <v>11467.694807333486</v>
      </c>
      <c r="M963" s="6" cm="1">
        <f t="array" ref="M963" xml:space="preserve"> SUMPRODUCT(L830:AV830,--(L$937:AV$937 &gt; 0))</f>
        <v>11467.694807333486</v>
      </c>
      <c r="N963" s="6" cm="1">
        <f t="array" ref="N963" xml:space="preserve"> SUMPRODUCT(L830:AV830,--(L$938:AV$938 &gt; 0))</f>
        <v>11410.811981463903</v>
      </c>
      <c r="O963" s="6" cm="1">
        <f t="array" ref="O963" xml:space="preserve"> SUMPRODUCT(L830:AV830,--(L$939:AV$939 &gt; 0))</f>
        <v>7048.7685315570543</v>
      </c>
    </row>
    <row r="964" spans="5:19" ht="15" customHeight="1">
      <c r="E964" s="121" t="str">
        <f xml:space="preserve"> E831</f>
        <v>Cobalt net revenue</v>
      </c>
      <c r="G964" s="121" t="str">
        <f xml:space="preserve"> G831</f>
        <v>$ mn</v>
      </c>
      <c r="L964" s="6">
        <f xml:space="preserve"> SUM(L831:AU831)</f>
        <v>7544.2272910711363</v>
      </c>
      <c r="M964" s="6" cm="1">
        <f t="array" ref="M964" xml:space="preserve"> SUMPRODUCT(L831:AV831,--(L$937:AV$937 &gt; 0))</f>
        <v>7544.2272910711363</v>
      </c>
      <c r="N964" s="6" cm="1">
        <f t="array" ref="N964" xml:space="preserve"> SUMPRODUCT(L831:AV831,--(L$938:AV$938 &gt; 0))</f>
        <v>7533.9738630112897</v>
      </c>
      <c r="O964" s="6" cm="1">
        <f t="array" ref="O964" xml:space="preserve"> SUMPRODUCT(L831:AV831,--(L$939:AV$939 &gt; 0))</f>
        <v>4318.6154076934317</v>
      </c>
    </row>
    <row r="965" spans="5:19" ht="15" customHeight="1">
      <c r="E965" s="446" t="str">
        <f xml:space="preserve"> E832</f>
        <v>Copper &amp; Cobalt net revenue</v>
      </c>
      <c r="F965" s="446"/>
      <c r="G965" s="446" t="str">
        <f xml:space="preserve"> G832</f>
        <v>$ mn</v>
      </c>
      <c r="H965" s="446"/>
      <c r="I965" s="447"/>
      <c r="J965" s="446"/>
      <c r="K965" s="324"/>
      <c r="L965" s="310">
        <f xml:space="preserve"> SUM(L832:AU832)</f>
        <v>19011.922098404622</v>
      </c>
      <c r="M965" s="310" cm="1">
        <f t="array" ref="M965" xml:space="preserve"> SUMPRODUCT(L832:AV832,--(L$937:AV$937 &gt; 0))</f>
        <v>19011.922098404622</v>
      </c>
      <c r="N965" s="310" cm="1">
        <f t="array" ref="N965" xml:space="preserve"> SUMPRODUCT(L832:AV832,--(L$938:AV$938 &gt; 0))</f>
        <v>18944.785844475198</v>
      </c>
      <c r="O965" s="310" cm="1">
        <f t="array" ref="O965" xml:space="preserve"> SUMPRODUCT(L832:AV832,--(L$939:AV$939 &gt; 0))</f>
        <v>11367.383939250485</v>
      </c>
    </row>
    <row r="966" spans="5:19" ht="5.0999999999999996" customHeight="1">
      <c r="L966" s="6"/>
      <c r="M966" s="6"/>
      <c r="N966" s="6"/>
      <c r="O966" s="6"/>
    </row>
    <row r="967" spans="5:19" ht="15" customHeight="1">
      <c r="E967" s="121" t="str">
        <f xml:space="preserve"> E835</f>
        <v>Alternative Operating Cost Profile</v>
      </c>
      <c r="G967" s="121" t="str">
        <f xml:space="preserve"> G835</f>
        <v>$ mn</v>
      </c>
      <c r="L967" s="6">
        <f xml:space="preserve"> SUM(L835:AU835)</f>
        <v>9907.4531304831744</v>
      </c>
      <c r="M967" s="6" cm="1">
        <f t="array" ref="M967" xml:space="preserve"> SUMPRODUCT(L835:AV835,--(L$937:AV$937 &gt; 0))</f>
        <v>9907.4531304831744</v>
      </c>
      <c r="N967" s="6" cm="1">
        <f t="array" ref="N967" xml:space="preserve"> SUMPRODUCT(L835:AV835,--(L$938:AV$938 &gt; 0))</f>
        <v>9907.4531304831744</v>
      </c>
      <c r="O967" s="6" cm="1">
        <f t="array" ref="O967" xml:space="preserve"> SUMPRODUCT(L835:AV835,--(L$939:AV$939 &gt; 0))</f>
        <v>6758.5974930344937</v>
      </c>
    </row>
    <row r="968" spans="5:19" ht="15" customHeight="1">
      <c r="E968" s="121" t="str">
        <f xml:space="preserve"> E836</f>
        <v>Capital Costs inc. Sens.</v>
      </c>
      <c r="G968" s="121" t="str">
        <f xml:space="preserve"> G836</f>
        <v>$ mn</v>
      </c>
      <c r="L968" s="6">
        <f xml:space="preserve"> SUM(L836:AU836)</f>
        <v>1501.9969697316285</v>
      </c>
      <c r="M968" s="6" cm="1">
        <f t="array" ref="M968" xml:space="preserve"> SUMPRODUCT(L836:AV836,--(L$937:AV$937 &gt; 0))</f>
        <v>1501.9969697316285</v>
      </c>
      <c r="N968" s="6" cm="1">
        <f t="array" ref="N968" xml:space="preserve"> SUMPRODUCT(L836:AV836,--(L$938:AV$938 &gt; 0))</f>
        <v>491.79696973162845</v>
      </c>
      <c r="O968" s="6" cm="1">
        <f t="array" ref="O968" xml:space="preserve"> SUMPRODUCT(L836:AV836,--(L$939:AV$939 &gt; 0))</f>
        <v>174.60669228524603</v>
      </c>
    </row>
    <row r="969" spans="5:19" ht="15" customHeight="1">
      <c r="E969" s="446" t="str">
        <f xml:space="preserve"> E837</f>
        <v>Project costs</v>
      </c>
      <c r="F969" s="446"/>
      <c r="G969" s="446" t="str">
        <f xml:space="preserve"> G837</f>
        <v>$ mn</v>
      </c>
      <c r="H969" s="446"/>
      <c r="I969" s="447"/>
      <c r="J969" s="446"/>
      <c r="K969" s="324"/>
      <c r="L969" s="310">
        <f xml:space="preserve"> SUM(L837:AU837)</f>
        <v>11409.450100214803</v>
      </c>
      <c r="M969" s="310" cm="1">
        <f t="array" ref="M969" xml:space="preserve"> SUMPRODUCT(L837:AV837,--(L$937:AV$937 &gt; 0))</f>
        <v>11409.450100214803</v>
      </c>
      <c r="N969" s="310" cm="1">
        <f t="array" ref="N969" xml:space="preserve"> SUMPRODUCT(L837:AV837,--(L$938:AV$938 &gt; 0))</f>
        <v>10399.250100214806</v>
      </c>
      <c r="O969" s="310" cm="1">
        <f t="array" ref="O969" xml:space="preserve"> SUMPRODUCT(L837:AV837,--(L$939:AV$939 &gt; 0))</f>
        <v>6933.2041853197397</v>
      </c>
    </row>
    <row r="970" spans="5:19" ht="5.0999999999999996" customHeight="1">
      <c r="E970" s="121">
        <f xml:space="preserve"> E838</f>
        <v>0</v>
      </c>
      <c r="G970" s="121">
        <f xml:space="preserve"> G838</f>
        <v>0</v>
      </c>
      <c r="L970" s="6" cm="1">
        <f t="array" ref="L970" xml:space="preserve"> SUMPRODUCT(K838:AU838,--(K$937:AU$937 &gt; 0))</f>
        <v>0</v>
      </c>
      <c r="M970" s="6" cm="1">
        <f t="array" ref="M970" xml:space="preserve"> SUMPRODUCT(L838:AV838,--(L$937:AV$937 &gt; 0))</f>
        <v>0</v>
      </c>
      <c r="N970" s="6" cm="1">
        <f t="array" ref="N970" xml:space="preserve"> SUMPRODUCT(L838:AV838,--(L$938:AV$938 &gt; 0))</f>
        <v>0</v>
      </c>
      <c r="O970" s="6" cm="1">
        <f t="array" ref="O970" xml:space="preserve"> SUMPRODUCT(L838:AV838,--(L$939:AV$939 &gt; 0))</f>
        <v>0</v>
      </c>
    </row>
    <row r="971" spans="5:19" ht="15" customHeight="1">
      <c r="E971" s="446" t="str">
        <f xml:space="preserve"> E839</f>
        <v>Project cashflows before fiscal regime</v>
      </c>
      <c r="F971" s="446"/>
      <c r="G971" s="446" t="str">
        <f xml:space="preserve"> G839</f>
        <v>$ mn</v>
      </c>
      <c r="H971" s="446"/>
      <c r="I971" s="447"/>
      <c r="J971" s="446"/>
      <c r="K971" s="324"/>
      <c r="L971" s="310">
        <f xml:space="preserve"> SUM(L839:AU839)</f>
        <v>7602.4719981898188</v>
      </c>
      <c r="M971" s="310" cm="1">
        <f t="array" ref="M971" xml:space="preserve"> SUMPRODUCT(L839:AV839,--(L$937:AV$937 &gt; 0))</f>
        <v>7602.4719981898188</v>
      </c>
      <c r="N971" s="310" cm="1">
        <f t="array" ref="N971" xml:space="preserve"> SUMPRODUCT(L839:AV839,--(L$938:AV$938 &gt; 0))</f>
        <v>8545.5357442603927</v>
      </c>
      <c r="O971" s="310" cm="1">
        <f t="array" ref="O971" xml:space="preserve"> SUMPRODUCT(L839:AV839,--(L$939:AV$939 &gt; 0))</f>
        <v>4434.1797539307463</v>
      </c>
    </row>
    <row r="973" spans="5:19" ht="15" customHeight="1">
      <c r="E973" s="449" t="s">
        <v>693</v>
      </c>
      <c r="F973" s="450"/>
      <c r="G973" s="450"/>
      <c r="H973" s="450"/>
      <c r="I973" s="450"/>
      <c r="J973" s="450"/>
      <c r="K973" s="450"/>
      <c r="L973" s="461" t="s">
        <v>718</v>
      </c>
      <c r="M973" s="451"/>
      <c r="N973" s="451"/>
      <c r="O973" s="451"/>
    </row>
    <row r="974" spans="5:19" ht="15" customHeight="1">
      <c r="E974" s="449" t="str">
        <f xml:space="preserve"> E$950</f>
        <v>Time period (from)</v>
      </c>
      <c r="F974" s="449"/>
      <c r="G974" s="449"/>
      <c r="H974" s="449"/>
      <c r="I974" s="449"/>
      <c r="J974" s="449"/>
      <c r="K974" s="449">
        <f t="shared" ref="K974" si="434" xml:space="preserve"> K$950</f>
        <v>0</v>
      </c>
      <c r="L974" s="467" t="s">
        <v>800</v>
      </c>
      <c r="M974" s="451">
        <f xml:space="preserve"> M$950</f>
        <v>2017</v>
      </c>
      <c r="N974" s="451">
        <f xml:space="preserve"> N$950</f>
        <v>2019</v>
      </c>
      <c r="O974" s="451">
        <f xml:space="preserve"> O$950</f>
        <v>2025</v>
      </c>
    </row>
    <row r="975" spans="5:19" ht="15" customHeight="1">
      <c r="E975" s="391">
        <f t="shared" ref="E975:K975" si="435" xml:space="preserve"> E877</f>
        <v>0</v>
      </c>
      <c r="F975" s="391" t="str">
        <f t="shared" si="435"/>
        <v>top</v>
      </c>
      <c r="G975" s="391">
        <f t="shared" si="435"/>
        <v>0</v>
      </c>
      <c r="H975" s="391">
        <f t="shared" si="435"/>
        <v>0</v>
      </c>
      <c r="I975" s="391">
        <f t="shared" si="435"/>
        <v>0</v>
      </c>
      <c r="J975" s="391">
        <f t="shared" si="435"/>
        <v>0</v>
      </c>
      <c r="K975" s="391">
        <f t="shared" si="435"/>
        <v>0</v>
      </c>
      <c r="L975" s="448"/>
      <c r="M975" s="448"/>
      <c r="N975" s="448"/>
      <c r="O975" s="448"/>
    </row>
    <row r="976" spans="5:19" ht="15" customHeight="1">
      <c r="E976" s="121" t="str">
        <f t="shared" ref="E976:E988" si="436" xml:space="preserve"> E878</f>
        <v>Cu + Co government royalty</v>
      </c>
      <c r="G976" s="121" t="str">
        <f t="shared" ref="G976:G988" si="437" xml:space="preserve"> G878</f>
        <v>$ mn</v>
      </c>
      <c r="L976" s="6">
        <f t="shared" ref="L976:L984" si="438" xml:space="preserve"> SUM(L878:ALU878)</f>
        <v>1154.1185307309543</v>
      </c>
      <c r="M976" s="6" cm="1">
        <f t="array" ref="M976" xml:space="preserve"> SUMPRODUCT(L878:AV878,--(L$937:AV$937 &gt; 0))</f>
        <v>1154.1185307309543</v>
      </c>
      <c r="N976" s="6" cm="1">
        <f t="array" ref="N976" xml:space="preserve"> SUMPRODUCT(L878:AV878,--(L$938:AV$938 &gt; 0))</f>
        <v>1152.7758056523655</v>
      </c>
      <c r="O976" s="6" cm="1">
        <f t="array" ref="O976" xml:space="preserve"> SUMPRODUCT(L878:AV878,--(L$939:AV$939 &gt; 0))</f>
        <v>678.56843937384019</v>
      </c>
      <c r="Q976"/>
      <c r="R976" s="81"/>
      <c r="S976" s="81"/>
    </row>
    <row r="977" spans="5:19" ht="15" customHeight="1">
      <c r="E977" s="121" t="str">
        <f t="shared" si="436"/>
        <v>Turnover tax (Chiffre d'Affaires 0.3PC)</v>
      </c>
      <c r="G977" s="121" t="str">
        <f t="shared" si="437"/>
        <v>$ mn</v>
      </c>
      <c r="L977" s="6">
        <f t="shared" si="438"/>
        <v>57.035766295213875</v>
      </c>
      <c r="M977" s="6" cm="1">
        <f t="array" ref="M977" xml:space="preserve"> SUMPRODUCT(L879:AV879,--(L$937:AV$937 &gt; 0))</f>
        <v>57.035766295213875</v>
      </c>
      <c r="N977" s="6" cm="1">
        <f t="array" ref="N977" xml:space="preserve"> SUMPRODUCT(L879:AV879,--(L$938:AV$938 &gt; 0))</f>
        <v>56.834357533425589</v>
      </c>
      <c r="O977" s="6" cm="1">
        <f t="array" ref="O977" xml:space="preserve"> SUMPRODUCT(L879:AV879,--(L$939:AV$939 &gt; 0))</f>
        <v>34.102151817751455</v>
      </c>
      <c r="Q977" s="81"/>
      <c r="R977" s="81"/>
      <c r="S977" s="81"/>
    </row>
    <row r="978" spans="5:19" ht="15" customHeight="1">
      <c r="E978" s="121" t="str">
        <f t="shared" si="436"/>
        <v>CIT payable</v>
      </c>
      <c r="G978" s="121" t="str">
        <f t="shared" si="437"/>
        <v>$ mn</v>
      </c>
      <c r="L978" s="6">
        <f t="shared" si="438"/>
        <v>1375.6952723039724</v>
      </c>
      <c r="M978" s="6" cm="1">
        <f t="array" ref="M978" xml:space="preserve"> SUMPRODUCT(L880:AV880,--(L$937:AV$937 &gt; 0))</f>
        <v>1375.6952723039724</v>
      </c>
      <c r="N978" s="6" cm="1">
        <f t="array" ref="N978" xml:space="preserve"> SUMPRODUCT(L880:AV880,--(L$938:AV$938 &gt; 0))</f>
        <v>1375.0239097646781</v>
      </c>
      <c r="O978" s="6" cm="1">
        <f t="array" ref="O978" xml:space="preserve"> SUMPRODUCT(L880:AV880,--(L$939:AV$939 &gt; 0))</f>
        <v>761.62832351185295</v>
      </c>
      <c r="Q978" s="81"/>
      <c r="R978" s="81"/>
      <c r="S978" s="81"/>
    </row>
    <row r="979" spans="5:19" ht="15" customHeight="1">
      <c r="E979" s="121" t="str">
        <f t="shared" si="436"/>
        <v>Special Tax On Excess Profits</v>
      </c>
      <c r="G979" s="121" t="str">
        <f t="shared" si="437"/>
        <v>$ mn</v>
      </c>
      <c r="L979" s="6">
        <f t="shared" si="438"/>
        <v>0</v>
      </c>
      <c r="M979" s="6" cm="1">
        <f t="array" ref="M979" xml:space="preserve"> SUMPRODUCT(L881:AV881,--(L$937:AV$937 &gt; 0))</f>
        <v>0</v>
      </c>
      <c r="N979" s="6" cm="1">
        <f t="array" ref="N979" xml:space="preserve"> SUMPRODUCT(L881:AV881,--(L$938:AV$938 &gt; 0))</f>
        <v>0</v>
      </c>
      <c r="O979" s="6" cm="1">
        <f t="array" ref="O979" xml:space="preserve"> SUMPRODUCT(L881:AV881,--(L$939:AV$939 &gt; 0))</f>
        <v>0</v>
      </c>
    </row>
    <row r="980" spans="5:19" ht="15" customHeight="1">
      <c r="E980" s="121" t="str">
        <f t="shared" si="436"/>
        <v>Payroll taxes (included in costs)</v>
      </c>
      <c r="G980" s="121" t="str">
        <f t="shared" si="437"/>
        <v>$ mn</v>
      </c>
      <c r="L980" s="6">
        <f t="shared" si="438"/>
        <v>198.14906260966347</v>
      </c>
      <c r="M980" s="6" cm="1">
        <f t="array" ref="M980" xml:space="preserve"> SUMPRODUCT(L882:AV882,--(L$937:AV$937 &gt; 0))</f>
        <v>198.14906260966347</v>
      </c>
      <c r="N980" s="6" cm="1">
        <f t="array" ref="N980" xml:space="preserve"> SUMPRODUCT(L882:AV882,--(L$938:AV$938 &gt; 0))</f>
        <v>198.14906260966347</v>
      </c>
      <c r="O980" s="6" cm="1">
        <f t="array" ref="O980" xml:space="preserve"> SUMPRODUCT(L882:AV882,--(L$939:AV$939 &gt; 0))</f>
        <v>135.17194986068989</v>
      </c>
    </row>
    <row r="981" spans="5:19" ht="15" customHeight="1">
      <c r="E981" s="121" t="str">
        <f t="shared" si="436"/>
        <v>Import duties</v>
      </c>
      <c r="G981" s="121" t="str">
        <f t="shared" si="437"/>
        <v>$ mn</v>
      </c>
      <c r="L981" s="6">
        <f t="shared" si="438"/>
        <v>15.316407444483447</v>
      </c>
      <c r="M981" s="6" cm="1">
        <f t="array" ref="M981" xml:space="preserve"> SUMPRODUCT(L883:AV883,--(L$937:AV$937 &gt; 0))</f>
        <v>15.316407444483447</v>
      </c>
      <c r="N981" s="6" cm="1">
        <f t="array" ref="N981" xml:space="preserve"> SUMPRODUCT(L883:AV883,--(L$938:AV$938 &gt; 0))</f>
        <v>13.540772366761798</v>
      </c>
      <c r="O981" s="6" cm="1">
        <f t="array" ref="O981" xml:space="preserve"> SUMPRODUCT(L883:AV883,--(L$939:AV$939 &gt; 0))</f>
        <v>0</v>
      </c>
    </row>
    <row r="982" spans="5:19" ht="15" customHeight="1">
      <c r="E982" s="121" t="str">
        <f t="shared" si="436"/>
        <v>Interest Withholding Tax</v>
      </c>
      <c r="G982" s="121" t="str">
        <f t="shared" si="437"/>
        <v>$ mn</v>
      </c>
      <c r="L982" s="6">
        <f t="shared" si="438"/>
        <v>0</v>
      </c>
      <c r="M982" s="6" cm="1">
        <f t="array" ref="M982" xml:space="preserve"> SUMPRODUCT(L884:AV884,--(L$937:AV$937 &gt; 0))</f>
        <v>0</v>
      </c>
      <c r="N982" s="6" cm="1">
        <f t="array" ref="N982" xml:space="preserve"> SUMPRODUCT(L884:AV884,--(L$938:AV$938 &gt; 0))</f>
        <v>0</v>
      </c>
      <c r="O982" s="6" cm="1">
        <f t="array" ref="O982" xml:space="preserve"> SUMPRODUCT(L884:AV884,--(L$939:AV$939 &gt; 0))</f>
        <v>0</v>
      </c>
    </row>
    <row r="983" spans="5:19" ht="15" customHeight="1">
      <c r="E983" s="121" t="str">
        <f t="shared" si="436"/>
        <v>Dividend withholding tax</v>
      </c>
      <c r="G983" s="121" t="str">
        <f t="shared" si="437"/>
        <v>$ mn</v>
      </c>
      <c r="L983" s="6">
        <f t="shared" si="438"/>
        <v>284.73360235425861</v>
      </c>
      <c r="M983" s="6" cm="1">
        <f t="array" ref="M983" xml:space="preserve"> SUMPRODUCT(L885:AV885,--(L$937:AV$937 &gt; 0))</f>
        <v>284.73360235425861</v>
      </c>
      <c r="N983" s="6" cm="1">
        <f t="array" ref="N983" xml:space="preserve"> SUMPRODUCT(L885:AV885,--(L$938:AV$938 &gt; 0))</f>
        <v>284.73360235425861</v>
      </c>
      <c r="O983" s="6" cm="1">
        <f t="array" ref="O983" xml:space="preserve"> SUMPRODUCT(L885:AV885,--(L$939:AV$939 &gt; 0))</f>
        <v>99.397085281749398</v>
      </c>
    </row>
    <row r="984" spans="5:19" ht="15" customHeight="1">
      <c r="E984" s="121" t="str">
        <f t="shared" si="436"/>
        <v>WHT on non-resident services</v>
      </c>
      <c r="G984" s="121" t="str">
        <f t="shared" si="437"/>
        <v>$ mn</v>
      </c>
      <c r="L984" s="6">
        <f t="shared" si="438"/>
        <v>116.1293554984677</v>
      </c>
      <c r="M984" s="6" cm="1">
        <f t="array" ref="M984" xml:space="preserve"> SUMPRODUCT(L886:AV886,--(L$937:AV$937 &gt; 0))</f>
        <v>116.1293554984677</v>
      </c>
      <c r="N984" s="6" cm="1">
        <f t="array" ref="N984" xml:space="preserve"> SUMPRODUCT(L886:AV886,--(L$938:AV$938 &gt; 0))</f>
        <v>96.329435498467717</v>
      </c>
      <c r="O984" s="6" cm="1">
        <f t="array" ref="O984" xml:space="preserve"> SUMPRODUCT(L886:AV886,--(L$939:AV$939 &gt; 0))</f>
        <v>62.560019232842642</v>
      </c>
    </row>
    <row r="985" spans="5:19" ht="15" customHeight="1">
      <c r="E985" s="391">
        <f t="shared" si="436"/>
        <v>0</v>
      </c>
      <c r="F985" s="391" t="str">
        <f xml:space="preserve"> F887</f>
        <v>bottom</v>
      </c>
      <c r="G985" s="391">
        <f t="shared" si="437"/>
        <v>0</v>
      </c>
      <c r="H985" s="391">
        <f xml:space="preserve"> H887</f>
        <v>0</v>
      </c>
      <c r="I985" s="391">
        <f xml:space="preserve"> I887</f>
        <v>0</v>
      </c>
      <c r="J985" s="391">
        <f xml:space="preserve"> J887</f>
        <v>0</v>
      </c>
      <c r="K985" s="391">
        <f xml:space="preserve"> K887</f>
        <v>0</v>
      </c>
      <c r="L985" s="391">
        <f xml:space="preserve"> L887</f>
        <v>0</v>
      </c>
      <c r="M985" s="391">
        <f xml:space="preserve"> L887</f>
        <v>0</v>
      </c>
      <c r="N985" s="391">
        <f xml:space="preserve"> M887</f>
        <v>0</v>
      </c>
      <c r="O985" s="391">
        <f xml:space="preserve"> N887</f>
        <v>0</v>
      </c>
    </row>
    <row r="986" spans="5:19" ht="15" customHeight="1">
      <c r="E986" s="121" t="str">
        <f t="shared" si="436"/>
        <v>Government revenues excl. Gecamines participation</v>
      </c>
      <c r="G986" s="121" t="str">
        <f t="shared" si="437"/>
        <v>$ mn</v>
      </c>
      <c r="L986" s="6">
        <f xml:space="preserve"> SUM(L888:ALU888)</f>
        <v>3201.1779972370141</v>
      </c>
      <c r="M986" s="6" cm="1">
        <f t="array" ref="M986" xml:space="preserve"> SUMPRODUCT(L888:AV888,--(L$937:AV$937 &gt; 0))</f>
        <v>3201.1779972370141</v>
      </c>
      <c r="N986" s="6" cm="1">
        <f t="array" ref="N986" xml:space="preserve"> SUMPRODUCT(L888:AV888,--(L$938:AV$938 &gt; 0))</f>
        <v>3177.3869457796218</v>
      </c>
      <c r="O986" s="6" cm="1">
        <f t="array" ref="O986" xml:space="preserve"> SUMPRODUCT(L888:AV888,--(L$939:AV$939 &gt; 0))</f>
        <v>1771.4279690787264</v>
      </c>
    </row>
    <row r="987" spans="5:19" ht="15" customHeight="1">
      <c r="E987" s="121" t="str">
        <f t="shared" si="436"/>
        <v>Gecamines share of net cashflows after tax</v>
      </c>
      <c r="G987" s="121" t="str">
        <f t="shared" si="437"/>
        <v>$ mn</v>
      </c>
      <c r="L987" s="6">
        <f xml:space="preserve"> SUM(L889:ALU889)</f>
        <v>421.58818581567391</v>
      </c>
      <c r="M987" s="6" cm="1">
        <f t="array" ref="M987" xml:space="preserve"> SUMPRODUCT(L889:AV889,--(L$937:AV$937 &gt; 0))</f>
        <v>421.58818581567391</v>
      </c>
      <c r="N987" s="6" cm="1">
        <f t="array" ref="N987" xml:space="preserve"> SUMPRODUCT(L889:AV889,--(L$938:AV$938 &gt; 0))</f>
        <v>421.58818581567391</v>
      </c>
      <c r="O987" s="6" cm="1">
        <f t="array" ref="O987" xml:space="preserve"> SUMPRODUCT(L889:AV889,--(L$939:AV$939 &gt; 0))</f>
        <v>110.44120586861044</v>
      </c>
    </row>
    <row r="988" spans="5:19" ht="15" customHeight="1">
      <c r="E988" s="121" t="str">
        <f t="shared" si="436"/>
        <v xml:space="preserve">Government revenues incl. Gecamines </v>
      </c>
      <c r="G988" s="121" t="str">
        <f t="shared" si="437"/>
        <v>$ mn</v>
      </c>
      <c r="L988" s="6">
        <f xml:space="preserve"> SUM(L890:ALU890)</f>
        <v>3622.7661830526886</v>
      </c>
      <c r="M988" s="6" cm="1">
        <f t="array" ref="M988" xml:space="preserve"> SUMPRODUCT(L890:AV890,--(L$937:AV$937 &gt; 0))</f>
        <v>3622.7661830526886</v>
      </c>
      <c r="N988" s="6" cm="1">
        <f t="array" ref="N988" xml:space="preserve"> SUMPRODUCT(L890:AV890,--(L$938:AV$938 &gt; 0))</f>
        <v>3598.9751315952963</v>
      </c>
      <c r="O988" s="6" cm="1">
        <f t="array" ref="O988" xml:space="preserve"> SUMPRODUCT(L890:AV890,--(L$939:AV$939 &gt; 0))</f>
        <v>1881.8691749473371</v>
      </c>
    </row>
    <row r="990" spans="5:19" ht="15" customHeight="1">
      <c r="E990" s="121" t="s">
        <v>794</v>
      </c>
      <c r="F990" s="305">
        <f xml:space="preserve"> SUM(M990:O990)</f>
        <v>0</v>
      </c>
      <c r="G990" s="121" t="s">
        <v>113</v>
      </c>
      <c r="L990" s="305">
        <f xml:space="preserve"> IF( ABS(L988 - L997) &gt; CHK_TOL, 1, 0)</f>
        <v>0</v>
      </c>
      <c r="M990" s="305">
        <f xml:space="preserve"> IF( ABS(M988 - M997) &gt; CHK_TOL, 1, 0)</f>
        <v>0</v>
      </c>
      <c r="N990" s="305">
        <f xml:space="preserve"> IF( ABS(N988 - N997) &gt; CHK_TOL, 1, 0)</f>
        <v>0</v>
      </c>
      <c r="O990" s="305">
        <f xml:space="preserve"> IF( ABS(O988 - O997) &gt; CHK_TOL, 1, 0)</f>
        <v>0</v>
      </c>
    </row>
    <row r="992" spans="5:19" ht="15" customHeight="1">
      <c r="E992" s="452" t="s">
        <v>791</v>
      </c>
      <c r="F992" s="455"/>
      <c r="G992" s="455"/>
      <c r="H992" s="455"/>
      <c r="I992" s="455"/>
      <c r="J992" s="455"/>
      <c r="K992" s="455"/>
      <c r="L992" s="468" t="s">
        <v>718</v>
      </c>
      <c r="M992" s="455"/>
      <c r="N992" s="456"/>
      <c r="O992" s="455"/>
    </row>
    <row r="993" spans="5:15" ht="15" customHeight="1">
      <c r="E993" s="452" t="s">
        <v>786</v>
      </c>
      <c r="F993" s="455"/>
      <c r="G993" s="455"/>
      <c r="H993" s="457">
        <f xml:space="preserve"> F933</f>
        <v>2017</v>
      </c>
      <c r="I993" s="455"/>
      <c r="J993" s="455"/>
      <c r="K993" s="458">
        <f xml:space="preserve"> F933</f>
        <v>2017</v>
      </c>
      <c r="L993" s="469" t="s">
        <v>800</v>
      </c>
      <c r="M993" s="457">
        <f xml:space="preserve"> $F$933</f>
        <v>2017</v>
      </c>
      <c r="N993" s="457">
        <f xml:space="preserve"> $F$934</f>
        <v>2019</v>
      </c>
      <c r="O993" s="457">
        <f xml:space="preserve"> $F$935</f>
        <v>2025</v>
      </c>
    </row>
    <row r="994" spans="5:15" ht="15" customHeight="1">
      <c r="E994" s="6" t="str">
        <f t="shared" ref="E994:E1001" si="439" xml:space="preserve"> E922</f>
        <v>Project cashflows before tax</v>
      </c>
      <c r="G994" s="121" t="s">
        <v>29</v>
      </c>
      <c r="H994" s="121" cm="1">
        <f t="array" ref="H994" xml:space="preserve"> SUMPRODUCT(L922:AV922,--(L$937:AV$937 &gt; 0))</f>
        <v>7602.4719981898188</v>
      </c>
      <c r="I994" s="121"/>
      <c r="L994" s="6">
        <f t="shared" ref="L994:L1001" si="440" xml:space="preserve"> SUMPRODUCT(L922:AU922)</f>
        <v>7602.4719981898188</v>
      </c>
      <c r="M994" s="6" cm="1">
        <f t="array" ref="M994" xml:space="preserve"> SUMPRODUCT(L922:AV922,--(L$937:AV$937 &gt; 0))</f>
        <v>7602.4719981898188</v>
      </c>
      <c r="N994" s="6" cm="1">
        <f t="array" ref="N994" xml:space="preserve"> SUMPRODUCT(L922:AV922,--(L$938:AV$938 &gt; 0))</f>
        <v>8545.5357442603927</v>
      </c>
      <c r="O994" s="6" cm="1">
        <f t="array" ref="O994" xml:space="preserve"> SUMPRODUCT(L922:AV922,--(L$939:AV$939 &gt; 0))</f>
        <v>4434.1797539307463</v>
      </c>
    </row>
    <row r="995" spans="5:15" ht="15" customHeight="1">
      <c r="E995" s="6" t="str">
        <f t="shared" si="439"/>
        <v>Government revenues excl. Gecamines participation</v>
      </c>
      <c r="G995" s="121" t="s">
        <v>29</v>
      </c>
      <c r="H995" s="121" cm="1">
        <f t="array" ref="H995" xml:space="preserve"> SUMPRODUCT(L923:AV923,--(L$937:AV$937 &gt; 0))</f>
        <v>3201.1779972370141</v>
      </c>
      <c r="I995" s="121"/>
      <c r="L995" s="6">
        <f t="shared" si="440"/>
        <v>3201.1779972370141</v>
      </c>
      <c r="M995" s="6" cm="1">
        <f t="array" ref="M995" xml:space="preserve"> SUMPRODUCT(L923:AV923,--(L$937:AV$937 &gt; 0))</f>
        <v>3201.1779972370141</v>
      </c>
      <c r="N995" s="6" cm="1">
        <f t="array" ref="N995" xml:space="preserve"> SUMPRODUCT(L923:AV923,--(L$938:AV$938 &gt; 0))</f>
        <v>3177.3869457796218</v>
      </c>
      <c r="O995" s="6" cm="1">
        <f t="array" ref="O995" xml:space="preserve"> SUMPRODUCT(L923:AV923,--(L$939:AV$939 &gt; 0))</f>
        <v>1771.4279690787264</v>
      </c>
    </row>
    <row r="996" spans="5:15" ht="15" customHeight="1">
      <c r="E996" s="6" t="str">
        <f t="shared" si="439"/>
        <v>Gecamines share of net cashflows after tax</v>
      </c>
      <c r="G996" s="121" t="s">
        <v>29</v>
      </c>
      <c r="H996" s="121" cm="1">
        <f t="array" ref="H996" xml:space="preserve"> SUMPRODUCT(L924:AV924,--(L$937:AV$937 &gt; 0))</f>
        <v>421.58818581567391</v>
      </c>
      <c r="I996" s="121"/>
      <c r="L996" s="6">
        <f t="shared" si="440"/>
        <v>421.58818581567391</v>
      </c>
      <c r="M996" s="6" cm="1">
        <f t="array" ref="M996" xml:space="preserve"> SUMPRODUCT(L924:AV924,--(L$937:AV$937 &gt; 0))</f>
        <v>421.58818581567391</v>
      </c>
      <c r="N996" s="6" cm="1">
        <f t="array" ref="N996" xml:space="preserve"> SUMPRODUCT(L924:AV924,--(L$938:AV$938 &gt; 0))</f>
        <v>421.58818581567391</v>
      </c>
      <c r="O996" s="6" cm="1">
        <f t="array" ref="O996" xml:space="preserve"> SUMPRODUCT(L924:AV924,--(L$939:AV$939 &gt; 0))</f>
        <v>110.44120586861044</v>
      </c>
    </row>
    <row r="997" spans="5:15" ht="15" customHeight="1">
      <c r="E997" s="6" t="str">
        <f t="shared" si="439"/>
        <v>Government including Gecamines</v>
      </c>
      <c r="G997" s="121" t="s">
        <v>29</v>
      </c>
      <c r="H997" s="121" cm="1">
        <f t="array" ref="H997" xml:space="preserve"> SUMPRODUCT(L925:AV925,--(L$937:AV$937 &gt; 0))</f>
        <v>3622.7661830526886</v>
      </c>
      <c r="I997" s="121"/>
      <c r="L997" s="6">
        <f t="shared" si="440"/>
        <v>3622.7661830526886</v>
      </c>
      <c r="M997" s="6" cm="1">
        <f t="array" ref="M997" xml:space="preserve"> SUMPRODUCT(L925:AV925,--(L$937:AV$937 &gt; 0))</f>
        <v>3622.7661830526886</v>
      </c>
      <c r="N997" s="6" cm="1">
        <f t="array" ref="N997" xml:space="preserve"> SUMPRODUCT(L925:AV925,--(L$938:AV$938 &gt; 0))</f>
        <v>3598.9751315952963</v>
      </c>
      <c r="O997" s="6" cm="1">
        <f t="array" ref="O997" xml:space="preserve"> SUMPRODUCT(L925:AV925,--(L$939:AV$939 &gt; 0))</f>
        <v>1881.8691749473371</v>
      </c>
    </row>
    <row r="998" spans="5:15" ht="15" customHeight="1">
      <c r="E998" s="6" t="str">
        <f t="shared" si="439"/>
        <v>Parent company net cashflows</v>
      </c>
      <c r="G998" s="121" t="s">
        <v>29</v>
      </c>
      <c r="H998" s="121" cm="1">
        <f t="array" ref="H998" xml:space="preserve"> SUMPRODUCT(L926:AV926,--(L$937:AV$937 &gt; 0))</f>
        <v>3834.0025882296322</v>
      </c>
      <c r="I998" s="121"/>
      <c r="L998" s="6">
        <f t="shared" si="440"/>
        <v>3834.0025882296322</v>
      </c>
      <c r="M998" s="6" cm="1">
        <f t="array" ref="M998" xml:space="preserve"> SUMPRODUCT(L926:AV926,--(L$937:AV$937 &gt; 0))</f>
        <v>3834.0025882296322</v>
      </c>
      <c r="N998" s="6" cm="1">
        <f t="array" ref="N998" xml:space="preserve"> SUMPRODUCT(L926:AV926,--(L$938:AV$938 &gt; 0))</f>
        <v>4780.9602370281118</v>
      </c>
      <c r="O998" s="6" cm="1">
        <f t="array" ref="O998" xml:space="preserve"> SUMPRODUCT(L926:AV926,--(L$939:AV$939 &gt; 0))</f>
        <v>2465.8579495956801</v>
      </c>
    </row>
    <row r="999" spans="5:15" ht="15" customHeight="1">
      <c r="E999" s="6" t="str">
        <f t="shared" si="439"/>
        <v>Cu + Co private royalty (treat as distribution of profit)</v>
      </c>
      <c r="G999" s="121" t="s">
        <v>29</v>
      </c>
      <c r="H999" s="121" cm="1">
        <f t="array" ref="H999" xml:space="preserve"> SUMPRODUCT(L927:AV927,--(L$937:AV$937 &gt; 0))</f>
        <v>475.29805246011557</v>
      </c>
      <c r="I999" s="121"/>
      <c r="L999" s="6">
        <f t="shared" si="440"/>
        <v>475.29805246011557</v>
      </c>
      <c r="M999" s="6" cm="1">
        <f t="array" ref="M999" xml:space="preserve"> SUMPRODUCT(L927:AV927,--(L$937:AV$937 &gt; 0))</f>
        <v>475.29805246011557</v>
      </c>
      <c r="N999" s="6" cm="1">
        <f t="array" ref="N999" xml:space="preserve"> SUMPRODUCT(L927:AV927,--(L$938:AV$938 &gt; 0))</f>
        <v>473.61964611187994</v>
      </c>
      <c r="O999" s="6" cm="1">
        <f t="array" ref="O999" xml:space="preserve"> SUMPRODUCT(L927:AV927,--(L$939:AV$939 &gt; 0))</f>
        <v>284.18459848126213</v>
      </c>
    </row>
    <row r="1000" spans="5:15" ht="15" customHeight="1">
      <c r="E1000" s="6" t="str">
        <f t="shared" si="439"/>
        <v>[Net debt cashflows (3rd party lender)]</v>
      </c>
      <c r="G1000" s="121" t="s">
        <v>29</v>
      </c>
      <c r="H1000" s="121" cm="1">
        <f t="array" ref="H1000" xml:space="preserve"> SUMPRODUCT(L928:AV928,--(L$937:AV$937 &gt; 0))</f>
        <v>0</v>
      </c>
      <c r="I1000" s="121"/>
      <c r="L1000" s="6">
        <f t="shared" si="440"/>
        <v>0</v>
      </c>
      <c r="M1000" s="6" cm="1">
        <f t="array" ref="M1000" xml:space="preserve"> SUMPRODUCT(L928:AV928,--(L$937:AV$937 &gt; 0))</f>
        <v>0</v>
      </c>
      <c r="N1000" s="6" cm="1">
        <f t="array" ref="N1000" xml:space="preserve"> SUMPRODUCT(L928:AV928,--(L$938:AV$938 &gt; 0))</f>
        <v>0</v>
      </c>
      <c r="O1000" s="6" cm="1">
        <f t="array" ref="O1000" xml:space="preserve"> SUMPRODUCT(L928:AV928,--(L$939:AV$939 &gt; 0))</f>
        <v>0</v>
      </c>
    </row>
    <row r="1001" spans="5:15" ht="15" customHeight="1">
      <c r="E1001" s="6" t="str">
        <f t="shared" si="439"/>
        <v>Additional govt revenues incl. in project costs</v>
      </c>
      <c r="G1001" s="121" t="s">
        <v>29</v>
      </c>
      <c r="H1001" s="121" cm="1">
        <f t="array" ref="H1001" xml:space="preserve"> SUMPRODUCT(L929:AV929,--(L$937:AV$937 &gt; 0))</f>
        <v>329.59482555261462</v>
      </c>
      <c r="I1001" s="121"/>
      <c r="L1001" s="6">
        <f t="shared" si="440"/>
        <v>329.59482555261462</v>
      </c>
      <c r="M1001" s="6" cm="1">
        <f t="array" ref="M1001" xml:space="preserve"> SUMPRODUCT(L929:AV929,--(L$937:AV$937 &gt; 0))</f>
        <v>329.59482555261462</v>
      </c>
      <c r="N1001" s="6" cm="1">
        <f t="array" ref="N1001" xml:space="preserve"> SUMPRODUCT(L929:AV929,--(L$938:AV$938 &gt; 0))</f>
        <v>308.01927047489301</v>
      </c>
      <c r="O1001" s="6" cm="1">
        <f t="array" ref="O1001" xml:space="preserve"> SUMPRODUCT(L929:AV929,--(L$939:AV$939 &gt; 0))</f>
        <v>197.73196909353254</v>
      </c>
    </row>
    <row r="1002" spans="5:15" ht="15" customHeight="1">
      <c r="E1002" s="6" t="s">
        <v>801</v>
      </c>
      <c r="F1002" s="305">
        <f xml:space="preserve"> SUM(L1002:O1002)</f>
        <v>0</v>
      </c>
      <c r="G1002" s="121" t="s">
        <v>113</v>
      </c>
      <c r="I1002" s="121"/>
      <c r="L1002" s="305">
        <f xml:space="preserve"> IF( ABS(L994 - L995 - L996 - L998 - L999 - L1000 + L1001) &gt; CHK_TOL, 1, 0)</f>
        <v>0</v>
      </c>
      <c r="M1002" s="305">
        <f xml:space="preserve"> IF( ABS(M994 - M995 - M996 - M998 - M999 - M1000 + M1001) &gt; CHK_TOL, 1, 0)</f>
        <v>0</v>
      </c>
      <c r="N1002" s="305">
        <f xml:space="preserve"> IF( ABS(N994 - N995 - N996 - N998 - N999 - N1000 + N1001) &gt; CHK_TOL, 1, 0)</f>
        <v>0</v>
      </c>
      <c r="O1002" s="305">
        <f xml:space="preserve"> IF( ABS(O994 - O995 - O996 - O998 - O999 - O1000 + O1001) &gt; CHK_TOL, 1, 0)</f>
        <v>0</v>
      </c>
    </row>
    <row r="1003" spans="5:15" ht="5.0999999999999996" customHeight="1">
      <c r="I1003" s="121"/>
    </row>
    <row r="1004" spans="5:15" ht="15" customHeight="1">
      <c r="E1004" s="6" t="s">
        <v>1040</v>
      </c>
      <c r="I1004" s="121"/>
      <c r="L1004" s="421">
        <f xml:space="preserve"> (L986 - L980) / L994</f>
        <v>0.39500690503593894</v>
      </c>
      <c r="M1004" s="421">
        <f xml:space="preserve"> (M986 - M980) / M994</f>
        <v>0.39500690503593894</v>
      </c>
      <c r="N1004" s="421">
        <f xml:space="preserve"> (N986 - N980) / N994</f>
        <v>0.34863090768427984</v>
      </c>
      <c r="O1004" s="421">
        <f xml:space="preserve"> (O986 - O980) / O994</f>
        <v>0.3690098530100302</v>
      </c>
    </row>
    <row r="1005" spans="5:15" ht="15" customHeight="1">
      <c r="E1005" s="6" t="s">
        <v>715</v>
      </c>
      <c r="G1005" s="121" t="s">
        <v>717</v>
      </c>
      <c r="H1005" s="421">
        <f xml:space="preserve"> H995 / H994</f>
        <v>0.42107067253904101</v>
      </c>
      <c r="I1005" s="121"/>
      <c r="L1005" s="421">
        <f xml:space="preserve"> L995 / L994</f>
        <v>0.42107067253904101</v>
      </c>
      <c r="M1005" s="421">
        <f xml:space="preserve"> M995 / M994</f>
        <v>0.42107067253904101</v>
      </c>
      <c r="N1005" s="421">
        <f xml:space="preserve"> N995 / N994</f>
        <v>0.37181834362037663</v>
      </c>
      <c r="O1005" s="421">
        <f t="shared" ref="O1005" si="441" xml:space="preserve"> O995 / O994</f>
        <v>0.39949394643020891</v>
      </c>
    </row>
    <row r="1006" spans="5:15" ht="15" customHeight="1">
      <c r="E1006" s="6" t="s">
        <v>716</v>
      </c>
      <c r="G1006" s="121" t="s">
        <v>717</v>
      </c>
      <c r="H1006" s="421">
        <f>(H995 + H996) /H994</f>
        <v>0.47652476509157604</v>
      </c>
      <c r="I1006" s="121"/>
      <c r="L1006" s="421">
        <f t="shared" ref="L1006:M1006" si="442">(L995 + L996) /L994</f>
        <v>0.47652476509157604</v>
      </c>
      <c r="M1006" s="421">
        <f t="shared" si="442"/>
        <v>0.47652476509157604</v>
      </c>
      <c r="N1006" s="421">
        <f t="shared" ref="N1006:O1006" si="443">(N995 + N996) /N994</f>
        <v>0.42115266254810846</v>
      </c>
      <c r="O1006" s="421">
        <f t="shared" si="443"/>
        <v>0.4244007413725448</v>
      </c>
    </row>
    <row r="1007" spans="5:15" ht="5.0999999999999996" customHeight="1">
      <c r="E1007" s="6"/>
      <c r="N1007" s="304"/>
    </row>
    <row r="1008" spans="5:15" ht="15" customHeight="1">
      <c r="E1008" s="6" t="str">
        <f t="shared" ref="E1008:E1015" si="444" xml:space="preserve"> E922</f>
        <v>Project cashflows before tax</v>
      </c>
      <c r="G1008" s="121" t="str">
        <f xml:space="preserve"> $F$945</f>
        <v>$ mn NPV10</v>
      </c>
      <c r="H1008" s="121">
        <f t="shared" ref="H1008:H1015" si="445" xml:space="preserve"> SUMPRODUCT(L922:AV922, L$942:AV$942)</f>
        <v>3243.862663221908</v>
      </c>
      <c r="I1008" s="121"/>
      <c r="L1008" s="393"/>
      <c r="M1008" s="6">
        <f t="shared" ref="M1008:M1015" si="446" xml:space="preserve"> SUMPRODUCT(L922:AV922, L$942:AV$942)</f>
        <v>3243.862663221908</v>
      </c>
      <c r="N1008" s="98">
        <f t="shared" ref="N1008:N1015" si="447" xml:space="preserve"> SUMPRODUCT(L922:AV922, L$943:AV$943)</f>
        <v>4914.1674237658153</v>
      </c>
      <c r="O1008" s="6">
        <f t="shared" ref="O1008:O1015" si="448" xml:space="preserve"> SUMPRODUCT(L922:AV922, L$944:AV$944)</f>
        <v>3106.3809715017569</v>
      </c>
    </row>
    <row r="1009" spans="1:15" ht="15" customHeight="1">
      <c r="E1009" s="6" t="str">
        <f t="shared" si="444"/>
        <v>Government revenues excl. Gecamines participation</v>
      </c>
      <c r="G1009" s="121" t="str">
        <f t="shared" ref="G1009:G1015" si="449" xml:space="preserve"> $F$945</f>
        <v>$ mn NPV10</v>
      </c>
      <c r="H1009" s="121">
        <f t="shared" si="445"/>
        <v>1488.8242403695021</v>
      </c>
      <c r="I1009" s="121"/>
      <c r="L1009" s="393"/>
      <c r="M1009" s="6">
        <f t="shared" si="446"/>
        <v>1488.8242403695021</v>
      </c>
      <c r="N1009" s="98">
        <f t="shared" si="447"/>
        <v>1776.5250655713128</v>
      </c>
      <c r="O1009" s="6">
        <f t="shared" si="448"/>
        <v>1212.9782320588399</v>
      </c>
    </row>
    <row r="1010" spans="1:15" ht="15" customHeight="1">
      <c r="E1010" s="6" t="str">
        <f t="shared" si="444"/>
        <v>Gecamines share of net cashflows after tax</v>
      </c>
      <c r="G1010" s="121" t="str">
        <f t="shared" si="449"/>
        <v>$ mn NPV10</v>
      </c>
      <c r="H1010" s="121">
        <f t="shared" si="445"/>
        <v>246.69810928320712</v>
      </c>
      <c r="I1010" s="121"/>
      <c r="L1010" s="393"/>
      <c r="M1010" s="6">
        <f t="shared" si="446"/>
        <v>246.69810928320712</v>
      </c>
      <c r="N1010" s="98">
        <f t="shared" si="447"/>
        <v>298.50471223268067</v>
      </c>
      <c r="O1010" s="6">
        <f t="shared" si="448"/>
        <v>70.498158917542909</v>
      </c>
    </row>
    <row r="1011" spans="1:15" ht="15" customHeight="1">
      <c r="E1011" s="6" t="str">
        <f t="shared" si="444"/>
        <v>Government including Gecamines</v>
      </c>
      <c r="G1011" s="121" t="str">
        <f t="shared" si="449"/>
        <v>$ mn NPV10</v>
      </c>
      <c r="H1011" s="121">
        <f t="shared" si="445"/>
        <v>1735.5223496527096</v>
      </c>
      <c r="I1011" s="121"/>
      <c r="L1011" s="393"/>
      <c r="M1011" s="6">
        <f t="shared" si="446"/>
        <v>1735.5223496527096</v>
      </c>
      <c r="N1011" s="98">
        <f t="shared" si="447"/>
        <v>2075.029777803994</v>
      </c>
      <c r="O1011" s="6">
        <f t="shared" si="448"/>
        <v>1283.4763909763831</v>
      </c>
    </row>
    <row r="1012" spans="1:15" ht="15" customHeight="1">
      <c r="E1012" s="6" t="str">
        <f t="shared" si="444"/>
        <v>Parent company net cashflows</v>
      </c>
      <c r="G1012" s="121" t="str">
        <f t="shared" si="449"/>
        <v>$ mn NPV10</v>
      </c>
      <c r="H1012" s="121">
        <f t="shared" si="445"/>
        <v>1446.2729832211255</v>
      </c>
      <c r="I1012" s="121"/>
      <c r="L1012" s="393"/>
      <c r="M1012" s="6">
        <f t="shared" si="446"/>
        <v>1446.2729832211255</v>
      </c>
      <c r="N1012" s="98">
        <f t="shared" si="447"/>
        <v>2743.1678705998102</v>
      </c>
      <c r="O1012" s="6">
        <f t="shared" si="448"/>
        <v>1762.1298822740898</v>
      </c>
    </row>
    <row r="1013" spans="1:15" ht="15" customHeight="1">
      <c r="E1013" s="6" t="str">
        <f t="shared" si="444"/>
        <v>Cu + Co private royalty (treat as distribution of profit)</v>
      </c>
      <c r="G1013" s="121" t="str">
        <f t="shared" si="449"/>
        <v>$ mn NPV10</v>
      </c>
      <c r="H1013" s="121">
        <f t="shared" si="445"/>
        <v>210.44902487538516</v>
      </c>
      <c r="I1013" s="121"/>
      <c r="L1013" s="393"/>
      <c r="M1013" s="6">
        <f t="shared" si="446"/>
        <v>210.44902487538516</v>
      </c>
      <c r="N1013" s="98">
        <f t="shared" si="447"/>
        <v>252.88299267036155</v>
      </c>
      <c r="O1013" s="6">
        <f t="shared" si="448"/>
        <v>197.6896279701246</v>
      </c>
    </row>
    <row r="1014" spans="1:15" ht="15" customHeight="1">
      <c r="E1014" s="6" t="str">
        <f t="shared" si="444"/>
        <v>[Net debt cashflows (3rd party lender)]</v>
      </c>
      <c r="G1014" s="121" t="str">
        <f t="shared" si="449"/>
        <v>$ mn NPV10</v>
      </c>
      <c r="H1014" s="121">
        <f t="shared" si="445"/>
        <v>0</v>
      </c>
      <c r="I1014" s="121"/>
      <c r="L1014" s="393"/>
      <c r="M1014" s="6">
        <f t="shared" si="446"/>
        <v>0</v>
      </c>
      <c r="N1014" s="98">
        <f t="shared" si="447"/>
        <v>0</v>
      </c>
      <c r="O1014" s="6">
        <f t="shared" si="448"/>
        <v>0</v>
      </c>
    </row>
    <row r="1015" spans="1:15" ht="15" customHeight="1">
      <c r="E1015" s="6" t="str">
        <f t="shared" si="444"/>
        <v>Additional govt revenues incl. in project costs</v>
      </c>
      <c r="G1015" s="121" t="str">
        <f t="shared" si="449"/>
        <v>$ mn NPV10</v>
      </c>
      <c r="H1015" s="121">
        <f t="shared" si="445"/>
        <v>148.38169452731231</v>
      </c>
      <c r="I1015" s="121"/>
      <c r="L1015" s="393"/>
      <c r="M1015" s="6">
        <f t="shared" si="446"/>
        <v>148.38169452731231</v>
      </c>
      <c r="N1015" s="98">
        <f t="shared" si="447"/>
        <v>156.91321730835099</v>
      </c>
      <c r="O1015" s="6">
        <f t="shared" si="448"/>
        <v>136.91492971884031</v>
      </c>
    </row>
    <row r="1016" spans="1:15" ht="15" customHeight="1">
      <c r="E1016" s="6" t="s">
        <v>802</v>
      </c>
      <c r="F1016" s="305">
        <f xml:space="preserve"> SUM(L1016:O1016)</f>
        <v>0</v>
      </c>
      <c r="G1016" s="121" t="s">
        <v>113</v>
      </c>
      <c r="I1016" s="121"/>
      <c r="L1016" s="393"/>
      <c r="M1016" s="305">
        <f xml:space="preserve"> IF( ABS(M1008 - M1009 - M1010 - M1012 - M1013 - M1014 + M1015) &gt; CHK_TOL, 1, 0)</f>
        <v>0</v>
      </c>
      <c r="N1016" s="305">
        <f xml:space="preserve"> IF( ABS(N1008 - N1009 - N1010 - N1012 - N1013 - N1014 + N1015) &gt; CHK_TOL, 1, 0)</f>
        <v>0</v>
      </c>
      <c r="O1016" s="305">
        <f xml:space="preserve"> IF( ABS(O1008 - O1009 - O1010 - O1012 - O1013 - O1014 + O1015) &gt; CHK_TOL, 1, 0)</f>
        <v>0</v>
      </c>
    </row>
    <row r="1017" spans="1:15" ht="5.0999999999999996" customHeight="1">
      <c r="E1017" s="6"/>
      <c r="N1017" s="304"/>
    </row>
    <row r="1018" spans="1:15" ht="15" customHeight="1">
      <c r="E1018" s="6" t="s">
        <v>715</v>
      </c>
      <c r="G1018" s="121" t="s">
        <v>720</v>
      </c>
      <c r="H1018" s="421">
        <f xml:space="preserve"> H1009 / H1008</f>
        <v>0.45896648376930804</v>
      </c>
      <c r="I1018" s="121"/>
      <c r="L1018" s="393"/>
      <c r="M1018" s="421">
        <f t="shared" ref="M1018" si="450" xml:space="preserve"> M1009 / M1008</f>
        <v>0.45896648376930804</v>
      </c>
      <c r="N1018" s="421">
        <f t="shared" ref="N1018:O1018" si="451" xml:space="preserve"> N1009 / N1008</f>
        <v>0.36151089541225467</v>
      </c>
      <c r="O1018" s="421">
        <f t="shared" si="451"/>
        <v>0.39047954619437247</v>
      </c>
    </row>
    <row r="1019" spans="1:15" ht="15" customHeight="1">
      <c r="E1019" s="6" t="s">
        <v>716</v>
      </c>
      <c r="G1019" s="121" t="s">
        <v>720</v>
      </c>
      <c r="H1019" s="421">
        <f>(H1009 + H1010) /H1008</f>
        <v>0.5350172093688248</v>
      </c>
      <c r="I1019" s="121"/>
      <c r="L1019" s="393"/>
      <c r="M1019" s="421">
        <f t="shared" ref="M1019" si="452">(M1009 + M1010) /M1008</f>
        <v>0.5350172093688248</v>
      </c>
      <c r="N1019" s="421">
        <f t="shared" ref="N1019:O1019" si="453">(N1009 + N1010) /N1008</f>
        <v>0.42225459551271466</v>
      </c>
      <c r="O1019" s="421">
        <f t="shared" si="453"/>
        <v>0.41317417366096459</v>
      </c>
    </row>
    <row r="1020" spans="1:15" ht="15" customHeight="1">
      <c r="E1020" s="455"/>
      <c r="F1020" s="453"/>
      <c r="G1020" s="453"/>
      <c r="H1020" s="455"/>
      <c r="I1020" s="454"/>
      <c r="J1020" s="453"/>
      <c r="K1020" s="453"/>
      <c r="L1020" s="453"/>
      <c r="M1020" s="453"/>
      <c r="N1020" s="453"/>
      <c r="O1020" s="453"/>
    </row>
    <row r="1022" spans="1:15" s="160" customFormat="1" ht="15" customHeight="1">
      <c r="A1022" s="164" t="s">
        <v>804</v>
      </c>
      <c r="B1022" s="162"/>
      <c r="C1022" s="315"/>
      <c r="D1022" s="386"/>
      <c r="E1022" s="162"/>
      <c r="F1022" s="162"/>
      <c r="G1022" s="162"/>
      <c r="H1022" s="162"/>
    </row>
    <row r="1024" spans="1:15" ht="15" customHeight="1">
      <c r="E1024" s="393"/>
      <c r="F1024" s="393"/>
      <c r="G1024" s="393"/>
      <c r="H1024" s="393"/>
      <c r="I1024" s="470"/>
    </row>
    <row r="1025" spans="1:11" customFormat="1" ht="15" customHeight="1">
      <c r="D1025" s="671"/>
      <c r="E1025" s="320" t="str">
        <f xml:space="preserve"> E$438</f>
        <v>Check: Depreciation calculation</v>
      </c>
      <c r="F1025" s="305">
        <f xml:space="preserve"> F$438</f>
        <v>0</v>
      </c>
      <c r="G1025" s="320" t="str">
        <f xml:space="preserve"> G$438</f>
        <v>check</v>
      </c>
    </row>
    <row r="1026" spans="1:11" s="187" customFormat="1" ht="15" customHeight="1">
      <c r="A1026" s="473"/>
      <c r="B1026" s="473"/>
      <c r="C1026" s="474"/>
      <c r="D1026" s="839"/>
      <c r="E1026" s="121" t="str">
        <f xml:space="preserve"> E$552</f>
        <v>Check: net revenue</v>
      </c>
      <c r="F1026" s="305">
        <f t="shared" ref="F1026:G1026" si="454" xml:space="preserve"> F$552</f>
        <v>0</v>
      </c>
      <c r="G1026" s="121" t="str">
        <f t="shared" si="454"/>
        <v>check</v>
      </c>
      <c r="I1026" s="210"/>
      <c r="K1026" s="136"/>
    </row>
    <row r="1027" spans="1:11" s="187" customFormat="1" ht="15" customHeight="1">
      <c r="A1027" s="473"/>
      <c r="B1027" s="473"/>
      <c r="C1027" s="474"/>
      <c r="D1027" s="839"/>
      <c r="E1027" s="121" t="str">
        <f xml:space="preserve"> E$812</f>
        <v>Check: Net participant cashflows reconciliation</v>
      </c>
      <c r="F1027" s="305">
        <f t="shared" ref="F1027:G1027" si="455" xml:space="preserve"> F$812</f>
        <v>0</v>
      </c>
      <c r="G1027" s="121" t="str">
        <f t="shared" si="455"/>
        <v>check</v>
      </c>
      <c r="I1027" s="210"/>
      <c r="K1027" s="136"/>
    </row>
    <row r="1028" spans="1:11" s="187" customFormat="1" ht="15" customHeight="1">
      <c r="A1028" s="473"/>
      <c r="B1028" s="473"/>
      <c r="C1028" s="474"/>
      <c r="D1028" s="839"/>
      <c r="E1028" s="6" t="str">
        <f xml:space="preserve"> E$842</f>
        <v>Check: project cashflows to participant cashflows</v>
      </c>
      <c r="F1028" s="305">
        <f t="shared" ref="F1028:G1028" si="456" xml:space="preserve"> F$842</f>
        <v>0</v>
      </c>
      <c r="G1028" s="6" t="str">
        <f t="shared" si="456"/>
        <v>check</v>
      </c>
      <c r="H1028" s="474"/>
      <c r="I1028" s="210"/>
      <c r="K1028" s="136"/>
    </row>
    <row r="1029" spans="1:11" s="187" customFormat="1" ht="15" customHeight="1">
      <c r="A1029" s="473"/>
      <c r="B1029" s="473"/>
      <c r="C1029" s="474"/>
      <c r="D1029" s="839"/>
      <c r="E1029" s="121" t="str">
        <f xml:space="preserve"> E$892</f>
        <v>Check: government revenues to participant cashflows</v>
      </c>
      <c r="F1029" s="305">
        <f t="shared" ref="F1029:G1029" si="457" xml:space="preserve"> F$892</f>
        <v>0</v>
      </c>
      <c r="G1029" s="121" t="str">
        <f t="shared" si="457"/>
        <v>check</v>
      </c>
      <c r="I1029" s="210"/>
      <c r="K1029" s="136"/>
    </row>
    <row r="1030" spans="1:11" s="187" customFormat="1" ht="15" customHeight="1">
      <c r="A1030" s="473"/>
      <c r="B1030" s="473"/>
      <c r="C1030" s="474"/>
      <c r="D1030" s="839"/>
      <c r="E1030" s="121" t="str">
        <f xml:space="preserve"> E$930</f>
        <v>Check: participant cashflows for NPV</v>
      </c>
      <c r="F1030" s="305">
        <f t="shared" ref="F1030:G1030" si="458" xml:space="preserve"> F$930</f>
        <v>0</v>
      </c>
      <c r="G1030" s="121" t="str">
        <f t="shared" si="458"/>
        <v>check</v>
      </c>
      <c r="I1030" s="210"/>
      <c r="K1030" s="136"/>
    </row>
    <row r="1031" spans="1:11" s="187" customFormat="1" ht="15" customHeight="1">
      <c r="A1031" s="473"/>
      <c r="B1031" s="473"/>
      <c r="C1031" s="474"/>
      <c r="D1031" s="839"/>
      <c r="E1031" s="121" t="str">
        <f xml:space="preserve"> E$990</f>
        <v>Check: government revenues by time period</v>
      </c>
      <c r="F1031" s="305">
        <f t="shared" ref="F1031:G1032" si="459" xml:space="preserve"> F$990</f>
        <v>0</v>
      </c>
      <c r="G1031" s="121" t="str">
        <f t="shared" si="459"/>
        <v>check</v>
      </c>
      <c r="I1031" s="210"/>
      <c r="K1031" s="136"/>
    </row>
    <row r="1032" spans="1:11" s="187" customFormat="1" ht="15" customHeight="1">
      <c r="A1032" s="473"/>
      <c r="B1032" s="473"/>
      <c r="C1032" s="474"/>
      <c r="D1032" s="839"/>
      <c r="E1032" s="121" t="str">
        <f xml:space="preserve"> E$990</f>
        <v>Check: government revenues by time period</v>
      </c>
      <c r="F1032" s="305">
        <f t="shared" si="459"/>
        <v>0</v>
      </c>
      <c r="G1032" s="121" t="str">
        <f t="shared" si="459"/>
        <v>check</v>
      </c>
      <c r="I1032" s="210"/>
      <c r="K1032" s="136"/>
    </row>
    <row r="1033" spans="1:11" s="187" customFormat="1" ht="15" customHeight="1">
      <c r="A1033" s="473"/>
      <c r="B1033" s="473"/>
      <c r="C1033" s="474"/>
      <c r="D1033" s="839"/>
      <c r="E1033" s="121" t="str">
        <f xml:space="preserve"> E$1002</f>
        <v>Check: project cashflows by time period</v>
      </c>
      <c r="F1033" s="305">
        <f t="shared" ref="F1033:G1033" si="460" xml:space="preserve"> F$1002</f>
        <v>0</v>
      </c>
      <c r="G1033" s="121" t="str">
        <f t="shared" si="460"/>
        <v>check</v>
      </c>
      <c r="I1033" s="210"/>
      <c r="K1033" s="136"/>
    </row>
    <row r="1034" spans="1:11" s="187" customFormat="1" ht="15" customHeight="1">
      <c r="A1034" s="473"/>
      <c r="B1034" s="473"/>
      <c r="C1034" s="474"/>
      <c r="D1034" s="839"/>
      <c r="E1034" s="121" t="str">
        <f xml:space="preserve"> E$1016</f>
        <v>Check: NPV cashflows by time period</v>
      </c>
      <c r="F1034" s="305">
        <f t="shared" ref="F1034:G1034" si="461" xml:space="preserve"> F$1016</f>
        <v>0</v>
      </c>
      <c r="G1034" s="121" t="str">
        <f t="shared" si="461"/>
        <v>check</v>
      </c>
      <c r="I1034" s="210"/>
      <c r="K1034" s="136"/>
    </row>
    <row r="1035" spans="1:11" s="187" customFormat="1" ht="15" customHeight="1">
      <c r="A1035" s="473"/>
      <c r="B1035" s="473"/>
      <c r="C1035" s="474"/>
      <c r="D1035" s="839"/>
      <c r="E1035" s="393"/>
      <c r="F1035" s="393"/>
      <c r="G1035" s="393"/>
      <c r="H1035" s="475"/>
      <c r="I1035" s="476"/>
      <c r="K1035" s="136"/>
    </row>
    <row r="1036" spans="1:11" s="187" customFormat="1" ht="15" customHeight="1">
      <c r="A1036" s="473"/>
      <c r="B1036" s="473"/>
      <c r="C1036" s="474"/>
      <c r="D1036" s="839"/>
      <c r="E1036" s="187" t="str">
        <f ca="1">"SheetChecks: " &amp; A1</f>
        <v>SheetChecks: Metalkol_Model1</v>
      </c>
      <c r="F1036" s="546">
        <f xml:space="preserve"> SUM(F1024:F1035)</f>
        <v>0</v>
      </c>
      <c r="G1036" s="187" t="s">
        <v>803</v>
      </c>
      <c r="I1036" s="210"/>
      <c r="K1036" s="136"/>
    </row>
    <row r="1038" spans="1:11" s="381" customFormat="1" ht="15" customHeight="1">
      <c r="A1038" s="380" t="s">
        <v>163</v>
      </c>
      <c r="B1038" s="380"/>
      <c r="C1038" s="232"/>
      <c r="D1038" s="867"/>
      <c r="I1038" s="382"/>
      <c r="K1038" s="383"/>
    </row>
  </sheetData>
  <conditionalFormatting sqref="F2 F1025:F1034">
    <cfRule type="cellIs" dxfId="150" priority="14" stopIfTrue="1" operator="notEqual">
      <formula>0</formula>
    </cfRule>
    <cfRule type="cellIs" dxfId="149" priority="15" stopIfTrue="1" operator="equal">
      <formula>""</formula>
    </cfRule>
  </conditionalFormatting>
  <conditionalFormatting sqref="F3">
    <cfRule type="cellIs" dxfId="148" priority="66" stopIfTrue="1" operator="notEqual">
      <formula>0</formula>
    </cfRule>
    <cfRule type="cellIs" dxfId="147" priority="67" stopIfTrue="1" operator="equal">
      <formula>""</formula>
    </cfRule>
  </conditionalFormatting>
  <conditionalFormatting sqref="F438">
    <cfRule type="cellIs" dxfId="146" priority="12" stopIfTrue="1" operator="notEqual">
      <formula>0</formula>
    </cfRule>
    <cfRule type="cellIs" dxfId="145" priority="13" stopIfTrue="1" operator="equal">
      <formula>""</formula>
    </cfRule>
  </conditionalFormatting>
  <conditionalFormatting sqref="F552">
    <cfRule type="cellIs" dxfId="144" priority="60" stopIfTrue="1" operator="notEqual">
      <formula>0</formula>
    </cfRule>
    <cfRule type="cellIs" dxfId="143" priority="61" stopIfTrue="1" operator="equal">
      <formula>""</formula>
    </cfRule>
  </conditionalFormatting>
  <conditionalFormatting sqref="F683">
    <cfRule type="cellIs" dxfId="142" priority="1" stopIfTrue="1" operator="notEqual">
      <formula>0</formula>
    </cfRule>
    <cfRule type="cellIs" dxfId="141" priority="2" stopIfTrue="1" operator="equal">
      <formula>""</formula>
    </cfRule>
  </conditionalFormatting>
  <conditionalFormatting sqref="F698">
    <cfRule type="cellIs" dxfId="140" priority="45" stopIfTrue="1" operator="equal">
      <formula>""</formula>
    </cfRule>
    <cfRule type="cellIs" dxfId="139" priority="44" stopIfTrue="1" operator="notEqual">
      <formula>0</formula>
    </cfRule>
  </conditionalFormatting>
  <conditionalFormatting sqref="F812">
    <cfRule type="cellIs" dxfId="138" priority="48" stopIfTrue="1" operator="equal">
      <formula>""</formula>
    </cfRule>
    <cfRule type="cellIs" dxfId="137" priority="47" stopIfTrue="1" operator="notEqual">
      <formula>0</formula>
    </cfRule>
  </conditionalFormatting>
  <conditionalFormatting sqref="F842">
    <cfRule type="cellIs" dxfId="136" priority="30" stopIfTrue="1" operator="notEqual">
      <formula>0</formula>
    </cfRule>
    <cfRule type="cellIs" dxfId="135" priority="31" stopIfTrue="1" operator="equal">
      <formula>""</formula>
    </cfRule>
  </conditionalFormatting>
  <conditionalFormatting sqref="F892">
    <cfRule type="cellIs" dxfId="134" priority="26" stopIfTrue="1" operator="notEqual">
      <formula>0</formula>
    </cfRule>
    <cfRule type="cellIs" dxfId="133" priority="27" stopIfTrue="1" operator="equal">
      <formula>""</formula>
    </cfRule>
  </conditionalFormatting>
  <conditionalFormatting sqref="F930">
    <cfRule type="cellIs" dxfId="132" priority="39" stopIfTrue="1" operator="equal">
      <formula>""</formula>
    </cfRule>
    <cfRule type="cellIs" dxfId="131" priority="38" stopIfTrue="1" operator="notEqual">
      <formula>0</formula>
    </cfRule>
  </conditionalFormatting>
  <conditionalFormatting sqref="F990">
    <cfRule type="cellIs" dxfId="130" priority="23" stopIfTrue="1" operator="equal">
      <formula>""</formula>
    </cfRule>
    <cfRule type="cellIs" dxfId="129" priority="22" stopIfTrue="1" operator="notEqual">
      <formula>0</formula>
    </cfRule>
  </conditionalFormatting>
  <conditionalFormatting sqref="F1002">
    <cfRule type="cellIs" dxfId="128" priority="20" stopIfTrue="1" operator="notEqual">
      <formula>0</formula>
    </cfRule>
    <cfRule type="cellIs" dxfId="127" priority="21" stopIfTrue="1" operator="equal">
      <formula>""</formula>
    </cfRule>
  </conditionalFormatting>
  <conditionalFormatting sqref="F1016">
    <cfRule type="cellIs" dxfId="126" priority="18" stopIfTrue="1" operator="notEqual">
      <formula>0</formula>
    </cfRule>
    <cfRule type="cellIs" dxfId="125" priority="19" stopIfTrue="1" operator="equal">
      <formula>""</formula>
    </cfRule>
  </conditionalFormatting>
  <conditionalFormatting sqref="F1036">
    <cfRule type="cellIs" dxfId="124" priority="17" stopIfTrue="1" operator="equal">
      <formula>""</formula>
    </cfRule>
    <cfRule type="cellIs" dxfId="123" priority="16" stopIfTrue="1" operator="notEqual">
      <formula>0</formula>
    </cfRule>
  </conditionalFormatting>
  <conditionalFormatting sqref="L990:O990">
    <cfRule type="cellIs" dxfId="122" priority="24" stopIfTrue="1" operator="notEqual">
      <formula>0</formula>
    </cfRule>
    <cfRule type="cellIs" dxfId="121" priority="25" stopIfTrue="1" operator="equal">
      <formula>""</formula>
    </cfRule>
  </conditionalFormatting>
  <conditionalFormatting sqref="L1002:O1002">
    <cfRule type="cellIs" dxfId="120" priority="37" stopIfTrue="1" operator="equal">
      <formula>""</formula>
    </cfRule>
    <cfRule type="cellIs" dxfId="119" priority="36" stopIfTrue="1" operator="notEqual">
      <formula>0</formula>
    </cfRule>
  </conditionalFormatting>
  <conditionalFormatting sqref="L3:AV3">
    <cfRule type="cellIs" dxfId="118" priority="68" stopIfTrue="1" operator="equal">
      <formula>#REF!</formula>
    </cfRule>
    <cfRule type="cellIs" dxfId="117" priority="69" stopIfTrue="1" operator="equal">
      <formula>#REF!</formula>
    </cfRule>
    <cfRule type="cellIs" dxfId="116" priority="70" operator="equal">
      <formula>#REF!</formula>
    </cfRule>
    <cfRule type="cellIs" dxfId="115" priority="71" operator="equal">
      <formula>#REF!</formula>
    </cfRule>
  </conditionalFormatting>
  <conditionalFormatting sqref="L30:AV30">
    <cfRule type="colorScale" priority="55">
      <colorScale>
        <cfvo type="min"/>
        <cfvo type="max"/>
        <color rgb="FFFFEF9C"/>
        <color rgb="FF63BE7B"/>
      </colorScale>
    </cfRule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65:AV65">
    <cfRule type="colorScale" priority="53">
      <colorScale>
        <cfvo type="min"/>
        <cfvo type="max"/>
        <color rgb="FFFFEF9C"/>
        <color rgb="FF63BE7B"/>
      </colorScale>
    </cfRule>
  </conditionalFormatting>
  <conditionalFormatting sqref="L119:AV119">
    <cfRule type="colorScale" priority="52">
      <colorScale>
        <cfvo type="min"/>
        <cfvo type="max"/>
        <color rgb="FFFFEF9C"/>
        <color rgb="FF63BE7B"/>
      </colorScale>
    </cfRule>
  </conditionalFormatting>
  <conditionalFormatting sqref="L126:AV126">
    <cfRule type="colorScale" priority="46">
      <colorScale>
        <cfvo type="min"/>
        <cfvo type="max"/>
        <color rgb="FFFFEF9C"/>
        <color rgb="FF63BE7B"/>
      </colorScale>
    </cfRule>
  </conditionalFormatting>
  <conditionalFormatting sqref="L148:AV148">
    <cfRule type="colorScale" priority="51">
      <colorScale>
        <cfvo type="min"/>
        <cfvo type="max"/>
        <color rgb="FFFFEF9C"/>
        <color rgb="FF63BE7B"/>
      </colorScale>
    </cfRule>
  </conditionalFormatting>
  <conditionalFormatting sqref="L503:AV504">
    <cfRule type="cellIs" dxfId="114" priority="11" operator="greaterThan">
      <formula>$F$506</formula>
    </cfRule>
  </conditionalFormatting>
  <conditionalFormatting sqref="L552:AV552">
    <cfRule type="cellIs" dxfId="113" priority="62" stopIfTrue="1" operator="notEqual">
      <formula>0</formula>
    </cfRule>
    <cfRule type="cellIs" dxfId="112" priority="63" stopIfTrue="1" operator="equal">
      <formula>""</formula>
    </cfRule>
  </conditionalFormatting>
  <conditionalFormatting sqref="L812:AV812">
    <cfRule type="cellIs" dxfId="111" priority="49" stopIfTrue="1" operator="notEqual">
      <formula>0</formula>
    </cfRule>
    <cfRule type="cellIs" dxfId="110" priority="50" stopIfTrue="1" operator="equal">
      <formula>""</formula>
    </cfRule>
  </conditionalFormatting>
  <conditionalFormatting sqref="L842:AV842">
    <cfRule type="cellIs" dxfId="109" priority="33" stopIfTrue="1" operator="equal">
      <formula>""</formula>
    </cfRule>
    <cfRule type="cellIs" dxfId="108" priority="32" stopIfTrue="1" operator="notEqual">
      <formula>0</formula>
    </cfRule>
  </conditionalFormatting>
  <conditionalFormatting sqref="L892:AV892">
    <cfRule type="cellIs" dxfId="107" priority="29" stopIfTrue="1" operator="equal">
      <formula>""</formula>
    </cfRule>
    <cfRule type="cellIs" dxfId="106" priority="28" stopIfTrue="1" operator="notEqual">
      <formula>0</formula>
    </cfRule>
  </conditionalFormatting>
  <conditionalFormatting sqref="L930:AV930">
    <cfRule type="cellIs" dxfId="105" priority="41" stopIfTrue="1" operator="equal">
      <formula>""</formula>
    </cfRule>
    <cfRule type="cellIs" dxfId="104" priority="40" stopIfTrue="1" operator="notEqual">
      <formula>0</formula>
    </cfRule>
  </conditionalFormatting>
  <conditionalFormatting sqref="M1016:O1016">
    <cfRule type="cellIs" dxfId="103" priority="35" stopIfTrue="1" operator="equal">
      <formula>""</formula>
    </cfRule>
    <cfRule type="cellIs" dxfId="102" priority="34" stopIfTrue="1" operator="notEqual">
      <formula>0</formula>
    </cfRule>
  </conditionalFormatting>
  <conditionalFormatting sqref="M3:AV3">
    <cfRule type="cellIs" dxfId="101" priority="72" stopIfTrue="1" operator="equal">
      <formula>#REF!</formula>
    </cfRule>
    <cfRule type="cellIs" dxfId="100" priority="73" stopIfTrue="1" operator="equal">
      <formula>#REF!</formula>
    </cfRule>
  </conditionalFormatting>
  <dataValidations disablePrompts="1" count="4">
    <dataValidation type="list" allowBlank="1" showInputMessage="1" showErrorMessage="1" sqref="F537 F543">
      <formula1>$F$538:$F$539</formula1>
    </dataValidation>
    <dataValidation type="list" allowBlank="1" showInputMessage="1" showErrorMessage="1" sqref="G68 H75:H76">
      <formula1>$F$71:$F$72</formula1>
    </dataValidation>
    <dataValidation type="list" allowBlank="1" showInputMessage="1" showErrorMessage="1" sqref="G221:G222 G228">
      <formula1>$F$225:$F$226</formula1>
    </dataValidation>
    <dataValidation type="list" allowBlank="1" showInputMessage="1" showErrorMessage="1" sqref="F711">
      <formula1>$F$807:$F$808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InputsTS!$F$200:$F$206</xm:f>
          </x14:formula1>
          <xm:sqref>F39</xm:sqref>
        </x14:dataValidation>
      </x14:dataValidation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Metalkol_Model1!L126:AV126</xm:f>
              <xm:sqref>H126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Metalkol_Model1!L365:AV365</xm:f>
              <xm:sqref>H365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Metalkol_Model1!L65:AV65</xm:f>
              <xm:sqref>H65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Metalkol_Model1!L189:AV189</xm:f>
              <xm:sqref>H189</xm:sqref>
            </x14:sparkline>
            <x14:sparkline>
              <xm:f>Metalkol_Model1!L190:AV190</xm:f>
              <xm:sqref>H190</xm:sqref>
            </x14:sparkline>
            <x14:sparkline>
              <xm:f>Metalkol_Model1!L191:AV191</xm:f>
              <xm:sqref>H191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Metalkol_Model1!L119:AV119</xm:f>
              <xm:sqref>H119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Metalkol_Model1!L174:AV174</xm:f>
              <xm:sqref>H174</xm:sqref>
            </x14:sparkline>
          </x14:sparklines>
        </x14:sparklineGroup>
      </x14:sparklineGroup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G126"/>
  <sheetViews>
    <sheetView zoomScale="80" zoomScaleNormal="80" workbookViewId="0">
      <pane xSplit="11" ySplit="4" topLeftCell="L5" activePane="bottomRight" state="frozen"/>
      <selection pane="topRight" activeCell="K1" sqref="K1"/>
      <selection pane="bottomLeft" activeCell="A5" sqref="A5"/>
      <selection pane="bottomRight" activeCell="S17" sqref="S17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18" customWidth="1"/>
    <col min="6" max="6" width="12.69921875" style="18" customWidth="1"/>
    <col min="7" max="7" width="20.69921875" style="18" customWidth="1"/>
    <col min="8" max="8" width="20.69921875" style="18" hidden="1" customWidth="1"/>
    <col min="9" max="9" width="25.09765625" style="20" hidden="1" customWidth="1"/>
    <col min="10" max="10" width="12.69921875" style="18" customWidth="1" collapsed="1"/>
    <col min="11" max="11" width="1.59765625" style="46" customWidth="1"/>
    <col min="12" max="48" width="10.69921875" style="18" customWidth="1"/>
    <col min="49" max="57" width="11.69921875" style="18" hidden="1" customWidth="1"/>
    <col min="58" max="59" width="0" style="18" hidden="1" customWidth="1"/>
    <col min="60" max="16384" width="14.59765625" style="18" hidden="1"/>
  </cols>
  <sheetData>
    <row r="1" spans="1:48" ht="26.25" customHeight="1">
      <c r="A1" s="101" t="str">
        <f ca="1" xml:space="preserve"> RIGHT(CELL("filename", $A$3), LEN(CELL("filename", $A$3)) - SEARCH("]", CELL("filename", $A$3)))</f>
        <v>EITI_Rev</v>
      </c>
      <c r="F1" s="19"/>
    </row>
    <row r="2" spans="1:48" ht="15" customHeight="1">
      <c r="F2" s="482">
        <f xml:space="preserve"> Track!$F$85</f>
        <v>0</v>
      </c>
      <c r="G2" s="22" t="s">
        <v>1</v>
      </c>
      <c r="H2" s="22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23" t="s">
        <v>2</v>
      </c>
      <c r="H3" s="23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25" t="s">
        <v>5</v>
      </c>
      <c r="G4" s="16" t="s">
        <v>6</v>
      </c>
      <c r="H4" s="16" t="s">
        <v>7</v>
      </c>
      <c r="I4" s="26" t="s">
        <v>8</v>
      </c>
      <c r="J4" s="27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25"/>
      <c r="G5" s="16"/>
      <c r="H5" s="16"/>
      <c r="I5" s="26"/>
      <c r="J5" s="27"/>
      <c r="K5" s="97"/>
    </row>
    <row r="6" spans="1:48" s="31" customFormat="1" ht="15" customHeight="1" collapsed="1">
      <c r="A6" s="34" t="s">
        <v>730</v>
      </c>
      <c r="B6" s="28"/>
      <c r="C6" s="29"/>
      <c r="D6" s="30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8" spans="1:48" ht="15" customHeight="1">
      <c r="E8" s="18" t="s">
        <v>1278</v>
      </c>
      <c r="F8" s="593" t="s">
        <v>654</v>
      </c>
      <c r="G8" s="18" t="s">
        <v>29</v>
      </c>
      <c r="J8" s="18">
        <f t="shared" ref="J8:J17" si="0" xml:space="preserve"> SUM(L8:T8)</f>
        <v>18.006449782081646</v>
      </c>
      <c r="L8" s="977">
        <v>0</v>
      </c>
      <c r="M8" s="977">
        <v>0</v>
      </c>
      <c r="N8" s="977">
        <v>0</v>
      </c>
      <c r="O8" s="977">
        <v>0</v>
      </c>
      <c r="P8" s="977">
        <v>0.97822213938892422</v>
      </c>
      <c r="Q8" s="977">
        <v>0.65081968784772171</v>
      </c>
      <c r="R8" s="977">
        <v>0</v>
      </c>
      <c r="S8" s="977">
        <v>5.5773889548450004</v>
      </c>
      <c r="T8" s="977">
        <v>10.800019000000001</v>
      </c>
    </row>
    <row r="9" spans="1:48" ht="15" customHeight="1">
      <c r="E9" s="18" t="s">
        <v>1279</v>
      </c>
      <c r="F9" s="593" t="s">
        <v>654</v>
      </c>
      <c r="G9" s="18" t="s">
        <v>29</v>
      </c>
      <c r="J9" s="18">
        <f t="shared" si="0"/>
        <v>4.6976665677788612</v>
      </c>
      <c r="L9" s="977">
        <v>0</v>
      </c>
      <c r="M9" s="977">
        <v>0</v>
      </c>
      <c r="N9" s="977">
        <v>0</v>
      </c>
      <c r="O9" s="977">
        <v>1.2227719999999999E-2</v>
      </c>
      <c r="P9" s="977">
        <v>0.54681775493316365</v>
      </c>
      <c r="Q9" s="977">
        <v>0.15370923980815349</v>
      </c>
      <c r="R9" s="977">
        <v>0.14681710603754441</v>
      </c>
      <c r="S9" s="977">
        <v>1.4664537469999999</v>
      </c>
      <c r="T9" s="977">
        <v>2.3716409999999999</v>
      </c>
    </row>
    <row r="10" spans="1:48" ht="15" customHeight="1">
      <c r="E10" s="18" t="s">
        <v>1280</v>
      </c>
      <c r="G10" s="18" t="s">
        <v>29</v>
      </c>
      <c r="J10" s="18">
        <f t="shared" si="0"/>
        <v>0</v>
      </c>
      <c r="L10" s="977">
        <v>0</v>
      </c>
      <c r="M10" s="977">
        <v>0</v>
      </c>
      <c r="N10" s="977">
        <v>0</v>
      </c>
      <c r="O10" s="977">
        <v>0</v>
      </c>
      <c r="P10" s="977">
        <v>0</v>
      </c>
      <c r="Q10" s="977">
        <v>0</v>
      </c>
      <c r="R10" s="977">
        <v>0</v>
      </c>
      <c r="S10" s="977">
        <v>0</v>
      </c>
      <c r="T10" s="977">
        <v>0</v>
      </c>
    </row>
    <row r="11" spans="1:48" s="103" customFormat="1" ht="15" customHeight="1">
      <c r="A11" s="246"/>
      <c r="B11" s="246"/>
      <c r="C11" s="247"/>
      <c r="E11" s="103" t="s">
        <v>733</v>
      </c>
      <c r="F11" s="901" t="s">
        <v>654</v>
      </c>
      <c r="G11" s="103" t="s">
        <v>29</v>
      </c>
      <c r="I11" s="210"/>
      <c r="J11" s="103">
        <f xml:space="preserve"> SUM(L11:AV11)</f>
        <v>0</v>
      </c>
      <c r="K11" s="253"/>
      <c r="L11" s="792"/>
      <c r="M11" s="792"/>
      <c r="N11" s="792"/>
      <c r="O11" s="792"/>
      <c r="P11" s="792"/>
      <c r="Q11" s="792"/>
      <c r="R11" s="792"/>
      <c r="S11" s="792"/>
      <c r="T11" s="792"/>
    </row>
    <row r="12" spans="1:48" ht="15" customHeight="1">
      <c r="E12" s="18" t="s">
        <v>1281</v>
      </c>
      <c r="F12" s="593" t="s">
        <v>654</v>
      </c>
      <c r="G12" s="18" t="s">
        <v>29</v>
      </c>
      <c r="J12" s="18">
        <f t="shared" si="0"/>
        <v>15.019173439999999</v>
      </c>
      <c r="L12" s="977">
        <v>0</v>
      </c>
      <c r="M12" s="977">
        <v>0</v>
      </c>
      <c r="N12" s="977">
        <v>0</v>
      </c>
      <c r="O12" s="977">
        <v>0</v>
      </c>
      <c r="P12" s="977">
        <v>0</v>
      </c>
      <c r="Q12" s="977">
        <v>0</v>
      </c>
      <c r="R12" s="977">
        <v>0</v>
      </c>
      <c r="S12" s="977">
        <v>10.99545444</v>
      </c>
      <c r="T12" s="977">
        <v>4.0237189999999998</v>
      </c>
    </row>
    <row r="13" spans="1:48" ht="15" customHeight="1">
      <c r="E13" s="18" t="s">
        <v>1282</v>
      </c>
      <c r="F13" s="593" t="s">
        <v>654</v>
      </c>
      <c r="G13" s="18" t="s">
        <v>29</v>
      </c>
      <c r="J13" s="18">
        <f t="shared" si="0"/>
        <v>374.28560475799361</v>
      </c>
      <c r="L13" s="977">
        <v>2.1599999999999999E-4</v>
      </c>
      <c r="M13" s="977">
        <v>2.3063496801857E-2</v>
      </c>
      <c r="N13" s="977">
        <v>4.0274999999999998E-3</v>
      </c>
      <c r="O13" s="977">
        <v>1.7259200000000001E-3</v>
      </c>
      <c r="P13" s="977">
        <v>1.5913430935709739E-3</v>
      </c>
      <c r="Q13" s="977">
        <v>0.23372963240407674</v>
      </c>
      <c r="R13" s="977">
        <v>4.6025641071790968</v>
      </c>
      <c r="S13" s="977">
        <v>61.926910758515</v>
      </c>
      <c r="T13" s="977">
        <v>307.49177600000002</v>
      </c>
    </row>
    <row r="14" spans="1:48" ht="15" customHeight="1">
      <c r="E14" s="18" t="s">
        <v>1283</v>
      </c>
      <c r="G14" s="18" t="s">
        <v>29</v>
      </c>
      <c r="J14" s="18">
        <f t="shared" si="0"/>
        <v>1.9786117803573697</v>
      </c>
      <c r="L14" s="977">
        <v>0</v>
      </c>
      <c r="M14" s="977">
        <v>0</v>
      </c>
      <c r="N14" s="977">
        <v>2.2484839999999999E-2</v>
      </c>
      <c r="O14" s="977">
        <v>1.8314709999999998E-2</v>
      </c>
      <c r="P14" s="977">
        <v>0</v>
      </c>
      <c r="Q14" s="977">
        <v>0</v>
      </c>
      <c r="R14" s="977">
        <v>1.6692572384023698</v>
      </c>
      <c r="S14" s="977">
        <v>0.26855499195499999</v>
      </c>
      <c r="T14" s="977">
        <v>0</v>
      </c>
    </row>
    <row r="15" spans="1:48" ht="15" customHeight="1">
      <c r="E15" s="18" t="s">
        <v>1284</v>
      </c>
      <c r="G15" s="18" t="s">
        <v>29</v>
      </c>
      <c r="J15" s="18">
        <f t="shared" si="0"/>
        <v>21.252826924397233</v>
      </c>
      <c r="L15" s="977">
        <v>0</v>
      </c>
      <c r="M15" s="977">
        <v>0</v>
      </c>
      <c r="N15" s="977">
        <v>0</v>
      </c>
      <c r="O15" s="977">
        <v>0</v>
      </c>
      <c r="P15" s="977">
        <v>0</v>
      </c>
      <c r="Q15" s="977">
        <v>0.68901374895683454</v>
      </c>
      <c r="R15" s="977">
        <v>5.6712874601653978</v>
      </c>
      <c r="S15" s="977">
        <v>4.8894187152750002</v>
      </c>
      <c r="T15" s="977">
        <v>10.003107</v>
      </c>
    </row>
    <row r="16" spans="1:48" ht="15" customHeight="1">
      <c r="E16" s="18" t="s">
        <v>1285</v>
      </c>
      <c r="F16" s="593" t="s">
        <v>654</v>
      </c>
      <c r="G16" s="18" t="s">
        <v>29</v>
      </c>
      <c r="J16" s="18">
        <f t="shared" si="0"/>
        <v>47.162497752632241</v>
      </c>
      <c r="L16" s="977">
        <v>0.52249999999999996</v>
      </c>
      <c r="M16" s="977">
        <v>0</v>
      </c>
      <c r="N16" s="977">
        <v>0</v>
      </c>
      <c r="O16" s="977">
        <v>0</v>
      </c>
      <c r="P16" s="977">
        <v>4.474662303825589</v>
      </c>
      <c r="Q16" s="977">
        <v>7.115985987170264</v>
      </c>
      <c r="R16" s="977">
        <v>7.1538398266514456</v>
      </c>
      <c r="S16" s="977">
        <v>16.863558634984948</v>
      </c>
      <c r="T16" s="977">
        <v>11.031950999999999</v>
      </c>
    </row>
    <row r="17" spans="1:48" ht="15" customHeight="1">
      <c r="E17" s="18" t="s">
        <v>1286</v>
      </c>
      <c r="G17" s="18" t="s">
        <v>29</v>
      </c>
      <c r="J17" s="18">
        <f t="shared" si="0"/>
        <v>19.86023795987251</v>
      </c>
      <c r="L17" s="977">
        <v>7.7191999999999997E-2</v>
      </c>
      <c r="M17" s="977">
        <v>7.1484759999999994E-2</v>
      </c>
      <c r="N17" s="977">
        <v>0.11461366000000001</v>
      </c>
      <c r="O17" s="977">
        <v>0.13885522999999997</v>
      </c>
      <c r="P17" s="977">
        <v>2.7560934531063004</v>
      </c>
      <c r="Q17" s="977">
        <v>11.228598620632269</v>
      </c>
      <c r="R17" s="977">
        <v>1.8446614961339423</v>
      </c>
      <c r="S17" s="977">
        <v>3.2846807399999989</v>
      </c>
      <c r="T17" s="977">
        <v>0.34405799999999997</v>
      </c>
    </row>
    <row r="18" spans="1:48" ht="15" customHeight="1">
      <c r="E18" s="18" t="s">
        <v>48</v>
      </c>
      <c r="F18" s="593" t="s">
        <v>654</v>
      </c>
      <c r="G18" s="18" t="s">
        <v>29</v>
      </c>
      <c r="J18" s="18">
        <f xml:space="preserve"> SUM(L18:T18)</f>
        <v>274.10509893999978</v>
      </c>
      <c r="L18" s="977">
        <v>0</v>
      </c>
      <c r="M18" s="977">
        <v>0</v>
      </c>
      <c r="N18" s="977">
        <v>0</v>
      </c>
      <c r="O18" s="977">
        <v>0</v>
      </c>
      <c r="P18" s="977">
        <v>0.86998032000000003</v>
      </c>
      <c r="Q18" s="977">
        <v>16.832545049999901</v>
      </c>
      <c r="R18" s="977">
        <v>42.209783810000005</v>
      </c>
      <c r="S18" s="977">
        <v>96.15822575999988</v>
      </c>
      <c r="T18" s="977">
        <v>118.034564</v>
      </c>
    </row>
    <row r="19" spans="1:48" ht="15" customHeight="1">
      <c r="E19" s="18" t="s">
        <v>1287</v>
      </c>
      <c r="G19" s="18" t="s">
        <v>29</v>
      </c>
      <c r="J19" s="18">
        <f t="shared" ref="J19:J22" si="1" xml:space="preserve"> SUM(L19:T19)</f>
        <v>0</v>
      </c>
      <c r="L19" s="977">
        <v>0</v>
      </c>
      <c r="M19" s="977">
        <v>0</v>
      </c>
      <c r="N19" s="977">
        <v>0</v>
      </c>
      <c r="O19" s="977">
        <v>0</v>
      </c>
      <c r="P19" s="977">
        <v>0</v>
      </c>
      <c r="Q19" s="977">
        <v>0</v>
      </c>
      <c r="R19" s="977">
        <v>0</v>
      </c>
      <c r="S19" s="977">
        <v>0</v>
      </c>
      <c r="T19" s="977">
        <v>0</v>
      </c>
    </row>
    <row r="20" spans="1:48" ht="15" customHeight="1">
      <c r="E20" s="18" t="s">
        <v>1288</v>
      </c>
      <c r="G20" s="18" t="s">
        <v>29</v>
      </c>
      <c r="J20" s="18">
        <f t="shared" si="1"/>
        <v>0</v>
      </c>
      <c r="L20" s="977">
        <v>0</v>
      </c>
      <c r="M20" s="977">
        <v>0</v>
      </c>
      <c r="N20" s="977">
        <v>0</v>
      </c>
      <c r="O20" s="977">
        <v>0</v>
      </c>
      <c r="P20" s="977">
        <v>0</v>
      </c>
      <c r="Q20" s="977">
        <v>0</v>
      </c>
      <c r="R20" s="977">
        <v>0</v>
      </c>
      <c r="S20" s="977">
        <v>0</v>
      </c>
      <c r="T20" s="977">
        <v>0</v>
      </c>
    </row>
    <row r="21" spans="1:48" ht="15" customHeight="1">
      <c r="E21" s="18" t="s">
        <v>1289</v>
      </c>
      <c r="G21" s="18" t="s">
        <v>29</v>
      </c>
      <c r="J21" s="18">
        <f t="shared" si="1"/>
        <v>26.694832699999999</v>
      </c>
      <c r="L21" s="977">
        <v>0</v>
      </c>
      <c r="M21" s="977">
        <v>3.3600000000000004E-5</v>
      </c>
      <c r="N21" s="977">
        <v>1.7640000000000001E-5</v>
      </c>
      <c r="O21" s="977">
        <v>2.7945999999999998E-4</v>
      </c>
      <c r="P21" s="977">
        <v>0</v>
      </c>
      <c r="Q21" s="977">
        <v>0</v>
      </c>
      <c r="R21" s="977">
        <v>0</v>
      </c>
      <c r="S21" s="977">
        <v>0</v>
      </c>
      <c r="T21" s="977">
        <v>26.694502</v>
      </c>
    </row>
    <row r="22" spans="1:48" ht="15" customHeight="1">
      <c r="E22" s="18" t="s">
        <v>1290</v>
      </c>
      <c r="F22" s="593" t="s">
        <v>654</v>
      </c>
      <c r="G22" s="18" t="s">
        <v>29</v>
      </c>
      <c r="J22" s="18">
        <f t="shared" si="1"/>
        <v>28.047894512615272</v>
      </c>
      <c r="L22" s="977">
        <v>1.721E-2</v>
      </c>
      <c r="M22" s="977">
        <v>0</v>
      </c>
      <c r="N22" s="977">
        <v>0</v>
      </c>
      <c r="O22" s="977">
        <v>0</v>
      </c>
      <c r="P22" s="977">
        <v>1.8578525117759388</v>
      </c>
      <c r="Q22" s="977">
        <v>14.703829000839331</v>
      </c>
      <c r="R22" s="977">
        <v>0</v>
      </c>
      <c r="S22" s="977">
        <v>0</v>
      </c>
      <c r="T22" s="977">
        <v>11.469003000000001</v>
      </c>
    </row>
    <row r="23" spans="1:48" s="430" customFormat="1" ht="15" customHeight="1">
      <c r="A23" s="16"/>
      <c r="B23" s="428"/>
      <c r="C23" s="429"/>
      <c r="E23" s="238" t="s">
        <v>732</v>
      </c>
      <c r="F23" s="430">
        <f xml:space="preserve"> SUMIF(F8:F22, "yes", J8:J22)</f>
        <v>761.32438575310141</v>
      </c>
      <c r="G23" s="430" t="s">
        <v>29</v>
      </c>
      <c r="I23" s="158"/>
      <c r="J23" s="430">
        <f xml:space="preserve"> SUM(L23:AV23)</f>
        <v>831.11089511772843</v>
      </c>
      <c r="K23" s="431"/>
      <c r="L23" s="976">
        <f t="shared" ref="L23:AV23" si="2">SUM(L8:L22)</f>
        <v>0.61711799999999994</v>
      </c>
      <c r="M23" s="976">
        <f t="shared" si="2"/>
        <v>9.4581856801856989E-2</v>
      </c>
      <c r="N23" s="976">
        <f t="shared" si="2"/>
        <v>0.14114364000000001</v>
      </c>
      <c r="O23" s="976">
        <f t="shared" si="2"/>
        <v>0.17140303999999998</v>
      </c>
      <c r="P23" s="976">
        <f t="shared" si="2"/>
        <v>11.485219826123487</v>
      </c>
      <c r="Q23" s="976">
        <f t="shared" si="2"/>
        <v>51.608230967658557</v>
      </c>
      <c r="R23" s="976">
        <f t="shared" si="2"/>
        <v>63.298211044569797</v>
      </c>
      <c r="S23" s="976">
        <f t="shared" si="2"/>
        <v>201.43064674257482</v>
      </c>
      <c r="T23" s="976">
        <f t="shared" si="2"/>
        <v>502.26434</v>
      </c>
      <c r="U23" s="238">
        <f t="shared" si="2"/>
        <v>0</v>
      </c>
      <c r="V23" s="238">
        <f t="shared" si="2"/>
        <v>0</v>
      </c>
      <c r="W23" s="238">
        <f t="shared" si="2"/>
        <v>0</v>
      </c>
      <c r="X23" s="238">
        <f t="shared" si="2"/>
        <v>0</v>
      </c>
      <c r="Y23" s="238">
        <f t="shared" si="2"/>
        <v>0</v>
      </c>
      <c r="Z23" s="238">
        <f t="shared" si="2"/>
        <v>0</v>
      </c>
      <c r="AA23" s="238">
        <f t="shared" si="2"/>
        <v>0</v>
      </c>
      <c r="AB23" s="238">
        <f t="shared" si="2"/>
        <v>0</v>
      </c>
      <c r="AC23" s="238">
        <f t="shared" si="2"/>
        <v>0</v>
      </c>
      <c r="AD23" s="238">
        <f t="shared" si="2"/>
        <v>0</v>
      </c>
      <c r="AE23" s="238">
        <f t="shared" si="2"/>
        <v>0</v>
      </c>
      <c r="AF23" s="238">
        <f t="shared" si="2"/>
        <v>0</v>
      </c>
      <c r="AG23" s="238">
        <f t="shared" si="2"/>
        <v>0</v>
      </c>
      <c r="AH23" s="238">
        <f t="shared" si="2"/>
        <v>0</v>
      </c>
      <c r="AI23" s="238">
        <f t="shared" si="2"/>
        <v>0</v>
      </c>
      <c r="AJ23" s="238">
        <f t="shared" si="2"/>
        <v>0</v>
      </c>
      <c r="AK23" s="238">
        <f t="shared" si="2"/>
        <v>0</v>
      </c>
      <c r="AL23" s="238">
        <f t="shared" si="2"/>
        <v>0</v>
      </c>
      <c r="AM23" s="238">
        <f t="shared" si="2"/>
        <v>0</v>
      </c>
      <c r="AN23" s="238">
        <f t="shared" si="2"/>
        <v>0</v>
      </c>
      <c r="AO23" s="238">
        <f t="shared" si="2"/>
        <v>0</v>
      </c>
      <c r="AP23" s="238">
        <f t="shared" si="2"/>
        <v>0</v>
      </c>
      <c r="AQ23" s="238">
        <f t="shared" si="2"/>
        <v>0</v>
      </c>
      <c r="AR23" s="238">
        <f t="shared" si="2"/>
        <v>0</v>
      </c>
      <c r="AS23" s="238">
        <f t="shared" si="2"/>
        <v>0</v>
      </c>
      <c r="AT23" s="238">
        <f t="shared" si="2"/>
        <v>0</v>
      </c>
      <c r="AU23" s="238">
        <f t="shared" si="2"/>
        <v>0</v>
      </c>
      <c r="AV23" s="238">
        <f t="shared" si="2"/>
        <v>0</v>
      </c>
    </row>
    <row r="24" spans="1:48" ht="15" customHeight="1">
      <c r="E24" s="18" t="s">
        <v>917</v>
      </c>
      <c r="F24" s="78">
        <f xml:space="preserve"> F23 / J23</f>
        <v>0.91603225300669222</v>
      </c>
    </row>
    <row r="25" spans="1:48" ht="15" customHeight="1">
      <c r="F25" s="78"/>
    </row>
    <row r="26" spans="1:48" s="898" customFormat="1" ht="15" customHeight="1">
      <c r="A26" s="896"/>
      <c r="B26" s="896"/>
      <c r="C26" s="897"/>
      <c r="E26" s="899" t="s">
        <v>1341</v>
      </c>
      <c r="G26" s="103" t="s">
        <v>29</v>
      </c>
      <c r="I26" s="806"/>
      <c r="J26" s="898">
        <f xml:space="preserve"> SUM(L26:T26)</f>
        <v>175.26593310000001</v>
      </c>
      <c r="K26" s="900"/>
      <c r="L26" s="792"/>
      <c r="M26" s="792"/>
      <c r="N26" s="792"/>
      <c r="O26" s="792"/>
      <c r="P26" s="979">
        <v>0.50907771999999996</v>
      </c>
      <c r="Q26" s="903">
        <v>10.722683419999999</v>
      </c>
      <c r="R26" s="903">
        <v>28.052630190000002</v>
      </c>
      <c r="S26" s="903">
        <v>60.504580770000004</v>
      </c>
      <c r="T26" s="980">
        <v>75.476961000000003</v>
      </c>
    </row>
    <row r="27" spans="1:48" s="898" customFormat="1" ht="15" customHeight="1">
      <c r="A27" s="896"/>
      <c r="B27" s="896"/>
      <c r="C27" s="897"/>
      <c r="E27" s="899" t="s">
        <v>1315</v>
      </c>
      <c r="G27" s="103" t="s">
        <v>29</v>
      </c>
      <c r="I27" s="806"/>
      <c r="J27" s="898">
        <f t="shared" ref="J27:J30" si="3" xml:space="preserve"> SUM(L27:T27)</f>
        <v>48.390118170000001</v>
      </c>
      <c r="K27" s="900"/>
      <c r="L27" s="792"/>
      <c r="M27" s="792"/>
      <c r="N27" s="792"/>
      <c r="O27" s="792"/>
      <c r="P27" s="903">
        <v>0.20298007000000001</v>
      </c>
      <c r="Q27" s="903">
        <v>3.6042063399999997</v>
      </c>
      <c r="R27" s="903">
        <v>7.1893623499999997</v>
      </c>
      <c r="S27" s="903">
        <v>29.774013409999998</v>
      </c>
      <c r="T27" s="980">
        <v>7.6195560000000002</v>
      </c>
    </row>
    <row r="28" spans="1:48" s="898" customFormat="1" ht="15" customHeight="1">
      <c r="A28" s="896"/>
      <c r="B28" s="896"/>
      <c r="C28" s="897"/>
      <c r="E28" s="899" t="s">
        <v>1316</v>
      </c>
      <c r="G28" s="103" t="s">
        <v>29</v>
      </c>
      <c r="I28" s="806"/>
      <c r="J28" s="898">
        <f t="shared" si="3"/>
        <v>24.67376767</v>
      </c>
      <c r="K28" s="900"/>
      <c r="L28" s="792"/>
      <c r="M28" s="792"/>
      <c r="N28" s="792"/>
      <c r="O28" s="792"/>
      <c r="P28" s="903">
        <v>0.15792253000000001</v>
      </c>
      <c r="Q28" s="903">
        <v>2.50565529</v>
      </c>
      <c r="R28" s="903">
        <v>6.9677912699999993</v>
      </c>
      <c r="S28" s="903">
        <v>5.8796315799999999</v>
      </c>
      <c r="T28" s="903">
        <v>9.1627670000000006</v>
      </c>
    </row>
    <row r="29" spans="1:48" s="103" customFormat="1" ht="15" customHeight="1">
      <c r="A29" s="246"/>
      <c r="B29" s="246"/>
      <c r="C29" s="247"/>
      <c r="E29" s="103" t="s">
        <v>1317</v>
      </c>
      <c r="G29" s="103" t="s">
        <v>29</v>
      </c>
      <c r="I29" s="210"/>
      <c r="J29" s="898">
        <f t="shared" si="3"/>
        <v>25.775279999999999</v>
      </c>
      <c r="K29" s="253"/>
      <c r="L29" s="792"/>
      <c r="M29" s="792"/>
      <c r="N29" s="792"/>
      <c r="O29" s="792"/>
      <c r="P29" s="792"/>
      <c r="Q29" s="792"/>
      <c r="R29" s="792"/>
      <c r="S29" s="792"/>
      <c r="T29" s="903">
        <v>25.775279999999999</v>
      </c>
    </row>
    <row r="30" spans="1:48" ht="15" customHeight="1">
      <c r="E30" s="893" t="s">
        <v>1318</v>
      </c>
      <c r="F30" s="893"/>
      <c r="G30" s="893" t="s">
        <v>681</v>
      </c>
      <c r="H30" s="893"/>
      <c r="I30" s="894"/>
      <c r="J30" s="893">
        <f t="shared" si="3"/>
        <v>274.10509894</v>
      </c>
      <c r="K30" s="895"/>
      <c r="L30" s="978"/>
      <c r="M30" s="978"/>
      <c r="N30" s="978"/>
      <c r="O30" s="978"/>
      <c r="P30" s="978">
        <f t="shared" ref="P30:T30" si="4">SUM(P26:P29)</f>
        <v>0.86998032000000003</v>
      </c>
      <c r="Q30" s="978">
        <f t="shared" si="4"/>
        <v>16.83254505</v>
      </c>
      <c r="R30" s="978">
        <f t="shared" si="4"/>
        <v>42.209783809999998</v>
      </c>
      <c r="S30" s="978">
        <f t="shared" si="4"/>
        <v>96.158225759999993</v>
      </c>
      <c r="T30" s="978">
        <f t="shared" si="4"/>
        <v>118.034564</v>
      </c>
    </row>
    <row r="32" spans="1:48" s="31" customFormat="1" ht="15" customHeight="1" collapsed="1">
      <c r="A32" s="34" t="s">
        <v>907</v>
      </c>
      <c r="B32" s="28"/>
      <c r="C32" s="29"/>
      <c r="D32" s="30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</row>
    <row r="33" spans="1:48" s="3" customFormat="1" ht="15" customHeight="1"/>
    <row r="34" spans="1:48" s="3" customFormat="1" ht="15" customHeight="1">
      <c r="B34" s="241" t="s">
        <v>48</v>
      </c>
    </row>
    <row r="35" spans="1:48" s="3" customFormat="1" ht="15" customHeight="1">
      <c r="B35" s="241"/>
      <c r="E35" s="108" t="str">
        <f xml:space="preserve"> 'T&amp;E'!E$9</f>
        <v>Model calendar year</v>
      </c>
      <c r="F35" s="108">
        <f xml:space="preserve"> 'T&amp;E'!F$9</f>
        <v>0</v>
      </c>
      <c r="G35" s="108" t="str">
        <f xml:space="preserve"> 'T&amp;E'!G$9</f>
        <v>year</v>
      </c>
      <c r="H35" s="108">
        <f xml:space="preserve"> 'T&amp;E'!H$9</f>
        <v>0</v>
      </c>
      <c r="I35" s="108">
        <f xml:space="preserve"> 'T&amp;E'!I$9</f>
        <v>0</v>
      </c>
      <c r="J35" s="108">
        <f xml:space="preserve"> 'T&amp;E'!J$9</f>
        <v>0</v>
      </c>
      <c r="K35" s="108">
        <f xml:space="preserve"> 'T&amp;E'!K$9</f>
        <v>0</v>
      </c>
      <c r="L35" s="108">
        <f xml:space="preserve"> 'T&amp;E'!L$9</f>
        <v>2014</v>
      </c>
      <c r="M35" s="108">
        <f xml:space="preserve"> 'T&amp;E'!M$9</f>
        <v>2015</v>
      </c>
      <c r="N35" s="108">
        <f xml:space="preserve"> 'T&amp;E'!N$9</f>
        <v>2016</v>
      </c>
      <c r="O35" s="108">
        <f xml:space="preserve"> 'T&amp;E'!O$9</f>
        <v>2017</v>
      </c>
      <c r="P35" s="108">
        <f xml:space="preserve"> 'T&amp;E'!P$9</f>
        <v>2018</v>
      </c>
      <c r="Q35" s="108">
        <f xml:space="preserve"> 'T&amp;E'!Q$9</f>
        <v>2019</v>
      </c>
      <c r="R35" s="108">
        <f xml:space="preserve"> 'T&amp;E'!R$9</f>
        <v>2020</v>
      </c>
      <c r="S35" s="108">
        <f xml:space="preserve"> 'T&amp;E'!S$9</f>
        <v>2021</v>
      </c>
      <c r="T35" s="108">
        <f xml:space="preserve"> 'T&amp;E'!T$9</f>
        <v>2022</v>
      </c>
      <c r="U35" s="108">
        <f xml:space="preserve"> 'T&amp;E'!U$9</f>
        <v>2023</v>
      </c>
      <c r="V35" s="108">
        <f xml:space="preserve"> 'T&amp;E'!V$9</f>
        <v>2024</v>
      </c>
      <c r="W35" s="108">
        <f xml:space="preserve"> 'T&amp;E'!W$9</f>
        <v>2025</v>
      </c>
      <c r="X35" s="108">
        <f xml:space="preserve"> 'T&amp;E'!X$9</f>
        <v>2026</v>
      </c>
      <c r="Y35" s="108">
        <f xml:space="preserve"> 'T&amp;E'!Y$9</f>
        <v>2027</v>
      </c>
      <c r="Z35" s="108">
        <f xml:space="preserve"> 'T&amp;E'!Z$9</f>
        <v>2028</v>
      </c>
      <c r="AA35" s="108">
        <f xml:space="preserve"> 'T&amp;E'!AA$9</f>
        <v>2029</v>
      </c>
      <c r="AB35" s="108">
        <f xml:space="preserve"> 'T&amp;E'!AB$9</f>
        <v>2030</v>
      </c>
      <c r="AC35" s="108">
        <f xml:space="preserve"> 'T&amp;E'!AC$9</f>
        <v>2031</v>
      </c>
      <c r="AD35" s="108">
        <f xml:space="preserve"> 'T&amp;E'!AD$9</f>
        <v>2032</v>
      </c>
      <c r="AE35" s="108">
        <f xml:space="preserve"> 'T&amp;E'!AE$9</f>
        <v>2033</v>
      </c>
      <c r="AF35" s="108">
        <f xml:space="preserve"> 'T&amp;E'!AF$9</f>
        <v>2034</v>
      </c>
      <c r="AG35" s="108">
        <f xml:space="preserve"> 'T&amp;E'!AG$9</f>
        <v>2035</v>
      </c>
      <c r="AH35" s="108">
        <f xml:space="preserve"> 'T&amp;E'!AH$9</f>
        <v>2036</v>
      </c>
      <c r="AI35" s="108">
        <f xml:space="preserve"> 'T&amp;E'!AI$9</f>
        <v>2037</v>
      </c>
      <c r="AJ35" s="108">
        <f xml:space="preserve"> 'T&amp;E'!AJ$9</f>
        <v>2038</v>
      </c>
      <c r="AK35" s="108">
        <f xml:space="preserve"> 'T&amp;E'!AK$9</f>
        <v>2039</v>
      </c>
      <c r="AL35" s="108">
        <f xml:space="preserve"> 'T&amp;E'!AL$9</f>
        <v>2040</v>
      </c>
      <c r="AM35" s="108">
        <f xml:space="preserve"> 'T&amp;E'!AM$9</f>
        <v>2041</v>
      </c>
      <c r="AN35" s="108">
        <f xml:space="preserve"> 'T&amp;E'!AN$9</f>
        <v>2042</v>
      </c>
      <c r="AO35" s="108">
        <f xml:space="preserve"> 'T&amp;E'!AO$9</f>
        <v>2043</v>
      </c>
      <c r="AP35" s="108">
        <f xml:space="preserve"> 'T&amp;E'!AP$9</f>
        <v>2044</v>
      </c>
      <c r="AQ35" s="108">
        <f xml:space="preserve"> 'T&amp;E'!AQ$9</f>
        <v>2045</v>
      </c>
      <c r="AR35" s="108">
        <f xml:space="preserve"> 'T&amp;E'!AR$9</f>
        <v>2046</v>
      </c>
      <c r="AS35" s="108">
        <f xml:space="preserve"> 'T&amp;E'!AS$9</f>
        <v>2047</v>
      </c>
      <c r="AT35" s="108">
        <f xml:space="preserve"> 'T&amp;E'!AT$9</f>
        <v>2048</v>
      </c>
      <c r="AU35" s="108">
        <f xml:space="preserve"> 'T&amp;E'!AU$9</f>
        <v>2049</v>
      </c>
      <c r="AV35" s="108">
        <f xml:space="preserve"> 'T&amp;E'!AV$9</f>
        <v>2050</v>
      </c>
    </row>
    <row r="36" spans="1:48" s="93" customFormat="1" ht="15" customHeight="1">
      <c r="E36" s="93" t="str">
        <f t="shared" ref="E36:AV36" si="5" xml:space="preserve"> E$18</f>
        <v>Royalties</v>
      </c>
      <c r="F36" s="93" t="str">
        <f t="shared" si="5"/>
        <v>yes</v>
      </c>
      <c r="G36" s="93" t="str">
        <f t="shared" si="5"/>
        <v>$ mn</v>
      </c>
      <c r="H36" s="93">
        <f t="shared" si="5"/>
        <v>0</v>
      </c>
      <c r="I36" s="93">
        <f t="shared" si="5"/>
        <v>0</v>
      </c>
      <c r="J36" s="93">
        <f t="shared" si="5"/>
        <v>274.10509893999978</v>
      </c>
      <c r="K36" s="93">
        <f t="shared" si="5"/>
        <v>0</v>
      </c>
      <c r="L36" s="93">
        <f t="shared" si="5"/>
        <v>0</v>
      </c>
      <c r="M36" s="93">
        <f t="shared" si="5"/>
        <v>0</v>
      </c>
      <c r="N36" s="93">
        <f t="shared" si="5"/>
        <v>0</v>
      </c>
      <c r="O36" s="93">
        <f t="shared" si="5"/>
        <v>0</v>
      </c>
      <c r="P36" s="93">
        <f t="shared" si="5"/>
        <v>0.86998032000000003</v>
      </c>
      <c r="Q36" s="93">
        <f t="shared" si="5"/>
        <v>16.832545049999901</v>
      </c>
      <c r="R36" s="93">
        <f t="shared" si="5"/>
        <v>42.209783810000005</v>
      </c>
      <c r="S36" s="93">
        <f t="shared" si="5"/>
        <v>96.15822575999988</v>
      </c>
      <c r="T36" s="93">
        <f t="shared" si="5"/>
        <v>118.034564</v>
      </c>
      <c r="U36" s="93">
        <f t="shared" si="5"/>
        <v>0</v>
      </c>
      <c r="V36" s="93">
        <f t="shared" si="5"/>
        <v>0</v>
      </c>
      <c r="W36" s="93">
        <f t="shared" si="5"/>
        <v>0</v>
      </c>
      <c r="X36" s="93">
        <f t="shared" si="5"/>
        <v>0</v>
      </c>
      <c r="Y36" s="93">
        <f t="shared" si="5"/>
        <v>0</v>
      </c>
      <c r="Z36" s="93">
        <f t="shared" si="5"/>
        <v>0</v>
      </c>
      <c r="AA36" s="93">
        <f t="shared" si="5"/>
        <v>0</v>
      </c>
      <c r="AB36" s="93">
        <f t="shared" si="5"/>
        <v>0</v>
      </c>
      <c r="AC36" s="93">
        <f t="shared" si="5"/>
        <v>0</v>
      </c>
      <c r="AD36" s="93">
        <f t="shared" si="5"/>
        <v>0</v>
      </c>
      <c r="AE36" s="93">
        <f t="shared" si="5"/>
        <v>0</v>
      </c>
      <c r="AF36" s="93">
        <f t="shared" si="5"/>
        <v>0</v>
      </c>
      <c r="AG36" s="93">
        <f t="shared" si="5"/>
        <v>0</v>
      </c>
      <c r="AH36" s="93">
        <f t="shared" si="5"/>
        <v>0</v>
      </c>
      <c r="AI36" s="93">
        <f t="shared" si="5"/>
        <v>0</v>
      </c>
      <c r="AJ36" s="93">
        <f t="shared" si="5"/>
        <v>0</v>
      </c>
      <c r="AK36" s="93">
        <f t="shared" si="5"/>
        <v>0</v>
      </c>
      <c r="AL36" s="93">
        <f t="shared" si="5"/>
        <v>0</v>
      </c>
      <c r="AM36" s="93">
        <f t="shared" si="5"/>
        <v>0</v>
      </c>
      <c r="AN36" s="93">
        <f t="shared" si="5"/>
        <v>0</v>
      </c>
      <c r="AO36" s="93">
        <f t="shared" si="5"/>
        <v>0</v>
      </c>
      <c r="AP36" s="93">
        <f t="shared" si="5"/>
        <v>0</v>
      </c>
      <c r="AQ36" s="93">
        <f t="shared" si="5"/>
        <v>0</v>
      </c>
      <c r="AR36" s="93">
        <f t="shared" si="5"/>
        <v>0</v>
      </c>
      <c r="AS36" s="93">
        <f t="shared" si="5"/>
        <v>0</v>
      </c>
      <c r="AT36" s="93">
        <f t="shared" si="5"/>
        <v>0</v>
      </c>
      <c r="AU36" s="93">
        <f t="shared" si="5"/>
        <v>0</v>
      </c>
      <c r="AV36" s="93">
        <f t="shared" si="5"/>
        <v>0</v>
      </c>
    </row>
    <row r="37" spans="1:48" s="3" customFormat="1" ht="15" customHeight="1">
      <c r="A37" s="95"/>
      <c r="B37" s="95"/>
      <c r="C37" s="96"/>
      <c r="E37" s="70" t="str">
        <f xml:space="preserve"> Metalkol_Model1!E783</f>
        <v>Cu + Co government royalty</v>
      </c>
      <c r="F37" s="70">
        <f xml:space="preserve"> Metalkol_Model1!F783</f>
        <v>0</v>
      </c>
      <c r="G37" s="70" t="str">
        <f xml:space="preserve"> Metalkol_Model1!G783</f>
        <v>$ mn</v>
      </c>
      <c r="H37" s="70">
        <f xml:space="preserve"> Metalkol_Model1!H783</f>
        <v>0</v>
      </c>
      <c r="I37" s="70">
        <f xml:space="preserve"> Metalkol_Model1!I783</f>
        <v>0</v>
      </c>
      <c r="J37" s="70">
        <f xml:space="preserve"> Metalkol_Model1!J783</f>
        <v>1154.1185307309543</v>
      </c>
      <c r="K37" s="70">
        <f xml:space="preserve"> Metalkol_Model1!K783</f>
        <v>0</v>
      </c>
      <c r="L37" s="70">
        <f xml:space="preserve"> Metalkol_Model1!L783</f>
        <v>0</v>
      </c>
      <c r="M37" s="70">
        <f xml:space="preserve"> Metalkol_Model1!M783</f>
        <v>0</v>
      </c>
      <c r="N37" s="70">
        <f xml:space="preserve"> Metalkol_Model1!N783</f>
        <v>0</v>
      </c>
      <c r="O37" s="70">
        <f xml:space="preserve"> Metalkol_Model1!O783</f>
        <v>0</v>
      </c>
      <c r="P37" s="70">
        <f xml:space="preserve"> Metalkol_Model1!P783</f>
        <v>1.3427250785885494</v>
      </c>
      <c r="Q37" s="70">
        <f xml:space="preserve"> Metalkol_Model1!Q783</f>
        <v>59.696032281620234</v>
      </c>
      <c r="R37" s="70">
        <f xml:space="preserve"> Metalkol_Model1!R783</f>
        <v>49.751271941506673</v>
      </c>
      <c r="S37" s="70">
        <f xml:space="preserve"> Metalkol_Model1!S783</f>
        <v>100.44151821818988</v>
      </c>
      <c r="T37" s="70">
        <f xml:space="preserve"> Metalkol_Model1!T783</f>
        <v>125.24236751817006</v>
      </c>
      <c r="U37" s="70">
        <f xml:space="preserve"> Metalkol_Model1!U783</f>
        <v>74.909657127852839</v>
      </c>
      <c r="V37" s="70">
        <f xml:space="preserve"> Metalkol_Model1!V783</f>
        <v>64.166519191185927</v>
      </c>
      <c r="W37" s="70">
        <f xml:space="preserve"> Metalkol_Model1!W783</f>
        <v>83.797779767771601</v>
      </c>
      <c r="X37" s="70">
        <f xml:space="preserve"> Metalkol_Model1!X783</f>
        <v>82.486579491115037</v>
      </c>
      <c r="Y37" s="70">
        <f xml:space="preserve"> Metalkol_Model1!Y783</f>
        <v>79.838713164114836</v>
      </c>
      <c r="Z37" s="70">
        <f xml:space="preserve"> Metalkol_Model1!Z783</f>
        <v>83.346107494918243</v>
      </c>
      <c r="AA37" s="70">
        <f xml:space="preserve"> Metalkol_Model1!AA783</f>
        <v>83.122063374167709</v>
      </c>
      <c r="AB37" s="70">
        <f xml:space="preserve"> Metalkol_Model1!AB783</f>
        <v>82.215048780097291</v>
      </c>
      <c r="AC37" s="70">
        <f xml:space="preserve"> Metalkol_Model1!AC783</f>
        <v>90.275004523844174</v>
      </c>
      <c r="AD37" s="70">
        <f xml:space="preserve"> Metalkol_Model1!AD783</f>
        <v>93.487142777811286</v>
      </c>
      <c r="AE37" s="70">
        <f xml:space="preserve"> Metalkol_Model1!AE783</f>
        <v>0</v>
      </c>
      <c r="AF37" s="70">
        <f xml:space="preserve"> Metalkol_Model1!AF783</f>
        <v>0</v>
      </c>
      <c r="AG37" s="70">
        <f xml:space="preserve"> Metalkol_Model1!AG783</f>
        <v>0</v>
      </c>
      <c r="AH37" s="70">
        <f xml:space="preserve"> Metalkol_Model1!AH783</f>
        <v>0</v>
      </c>
      <c r="AI37" s="70">
        <f xml:space="preserve"> Metalkol_Model1!AI783</f>
        <v>0</v>
      </c>
      <c r="AJ37" s="70">
        <f xml:space="preserve"> Metalkol_Model1!AJ783</f>
        <v>0</v>
      </c>
      <c r="AK37" s="70">
        <f xml:space="preserve"> Metalkol_Model1!AK783</f>
        <v>0</v>
      </c>
      <c r="AL37" s="70">
        <f xml:space="preserve"> Metalkol_Model1!AL783</f>
        <v>0</v>
      </c>
      <c r="AM37" s="70">
        <f xml:space="preserve"> Metalkol_Model1!AM783</f>
        <v>0</v>
      </c>
      <c r="AN37" s="70">
        <f xml:space="preserve"> Metalkol_Model1!AN783</f>
        <v>0</v>
      </c>
      <c r="AO37" s="70">
        <f xml:space="preserve"> Metalkol_Model1!AO783</f>
        <v>0</v>
      </c>
      <c r="AP37" s="70">
        <f xml:space="preserve"> Metalkol_Model1!AP783</f>
        <v>0</v>
      </c>
      <c r="AQ37" s="70">
        <f xml:space="preserve"> Metalkol_Model1!AQ783</f>
        <v>0</v>
      </c>
      <c r="AR37" s="70">
        <f xml:space="preserve"> Metalkol_Model1!AR783</f>
        <v>0</v>
      </c>
      <c r="AS37" s="70">
        <f xml:space="preserve"> Metalkol_Model1!AS783</f>
        <v>0</v>
      </c>
      <c r="AT37" s="70">
        <f xml:space="preserve"> Metalkol_Model1!AT783</f>
        <v>0</v>
      </c>
      <c r="AU37" s="70">
        <f xml:space="preserve"> Metalkol_Model1!AU783</f>
        <v>0</v>
      </c>
      <c r="AV37" s="70">
        <f xml:space="preserve"> Metalkol_Model1!AV783</f>
        <v>0</v>
      </c>
    </row>
    <row r="38" spans="1:48" ht="15" customHeight="1">
      <c r="E38" s="18" t="s">
        <v>731</v>
      </c>
      <c r="G38" s="18" t="s">
        <v>29</v>
      </c>
      <c r="L38" s="93">
        <f t="shared" ref="L38:AV38" si="6" xml:space="preserve"> IF(L36  &lt;&gt; 0, L36 - L37, 0)</f>
        <v>0</v>
      </c>
      <c r="M38" s="93">
        <f t="shared" si="6"/>
        <v>0</v>
      </c>
      <c r="N38" s="93">
        <f t="shared" si="6"/>
        <v>0</v>
      </c>
      <c r="O38" s="93">
        <f t="shared" si="6"/>
        <v>0</v>
      </c>
      <c r="P38" s="93">
        <f t="shared" si="6"/>
        <v>-0.47274475858854936</v>
      </c>
      <c r="Q38" s="93">
        <f t="shared" si="6"/>
        <v>-42.863487231620333</v>
      </c>
      <c r="R38" s="93">
        <f t="shared" si="6"/>
        <v>-7.541488131506668</v>
      </c>
      <c r="S38" s="93">
        <f t="shared" si="6"/>
        <v>-4.2832924581900045</v>
      </c>
      <c r="T38" s="93">
        <f t="shared" si="6"/>
        <v>-7.2078035181700528</v>
      </c>
      <c r="U38" s="93">
        <f t="shared" si="6"/>
        <v>0</v>
      </c>
      <c r="V38" s="93">
        <f t="shared" si="6"/>
        <v>0</v>
      </c>
      <c r="W38" s="93">
        <f t="shared" si="6"/>
        <v>0</v>
      </c>
      <c r="X38" s="93">
        <f t="shared" si="6"/>
        <v>0</v>
      </c>
      <c r="Y38" s="93">
        <f t="shared" si="6"/>
        <v>0</v>
      </c>
      <c r="Z38" s="93">
        <f t="shared" si="6"/>
        <v>0</v>
      </c>
      <c r="AA38" s="93">
        <f t="shared" si="6"/>
        <v>0</v>
      </c>
      <c r="AB38" s="93">
        <f t="shared" si="6"/>
        <v>0</v>
      </c>
      <c r="AC38" s="93">
        <f t="shared" si="6"/>
        <v>0</v>
      </c>
      <c r="AD38" s="93">
        <f t="shared" si="6"/>
        <v>0</v>
      </c>
      <c r="AE38" s="93">
        <f t="shared" si="6"/>
        <v>0</v>
      </c>
      <c r="AF38" s="93">
        <f t="shared" si="6"/>
        <v>0</v>
      </c>
      <c r="AG38" s="93">
        <f t="shared" si="6"/>
        <v>0</v>
      </c>
      <c r="AH38" s="93">
        <f t="shared" si="6"/>
        <v>0</v>
      </c>
      <c r="AI38" s="93">
        <f t="shared" si="6"/>
        <v>0</v>
      </c>
      <c r="AJ38" s="93">
        <f t="shared" si="6"/>
        <v>0</v>
      </c>
      <c r="AK38" s="93">
        <f t="shared" si="6"/>
        <v>0</v>
      </c>
      <c r="AL38" s="93">
        <f t="shared" si="6"/>
        <v>0</v>
      </c>
      <c r="AM38" s="93">
        <f t="shared" si="6"/>
        <v>0</v>
      </c>
      <c r="AN38" s="93">
        <f t="shared" si="6"/>
        <v>0</v>
      </c>
      <c r="AO38" s="93">
        <f t="shared" si="6"/>
        <v>0</v>
      </c>
      <c r="AP38" s="93">
        <f t="shared" si="6"/>
        <v>0</v>
      </c>
      <c r="AQ38" s="93">
        <f t="shared" si="6"/>
        <v>0</v>
      </c>
      <c r="AR38" s="93">
        <f t="shared" si="6"/>
        <v>0</v>
      </c>
      <c r="AS38" s="93">
        <f t="shared" si="6"/>
        <v>0</v>
      </c>
      <c r="AT38" s="93">
        <f t="shared" si="6"/>
        <v>0</v>
      </c>
      <c r="AU38" s="93">
        <f t="shared" si="6"/>
        <v>0</v>
      </c>
      <c r="AV38" s="93">
        <f t="shared" si="6"/>
        <v>0</v>
      </c>
    </row>
    <row r="40" spans="1:48" ht="15" customHeight="1">
      <c r="E40" s="18" t="s">
        <v>1123</v>
      </c>
      <c r="G40" s="18" t="s">
        <v>1124</v>
      </c>
      <c r="P40" s="66">
        <v>1</v>
      </c>
      <c r="Q40" s="66">
        <v>1</v>
      </c>
      <c r="R40" s="66">
        <v>1</v>
      </c>
      <c r="S40" s="66">
        <v>1</v>
      </c>
      <c r="T40" s="66">
        <v>1</v>
      </c>
    </row>
    <row r="41" spans="1:48" ht="15" customHeight="1">
      <c r="E41" s="18" t="s">
        <v>1123</v>
      </c>
      <c r="F41" s="93">
        <f xml:space="preserve"> SUMPRODUCT(L40:AV40, L38:AV38)</f>
        <v>-62.368816098075605</v>
      </c>
      <c r="G41" s="18" t="s">
        <v>29</v>
      </c>
    </row>
    <row r="43" spans="1:48" ht="15" customHeight="1">
      <c r="B43" s="16" t="s">
        <v>734</v>
      </c>
    </row>
    <row r="44" spans="1:48" s="3" customFormat="1" ht="15" customHeight="1">
      <c r="B44" s="241"/>
      <c r="E44" s="108" t="str">
        <f xml:space="preserve"> 'T&amp;E'!E$9</f>
        <v>Model calendar year</v>
      </c>
      <c r="F44" s="108">
        <f xml:space="preserve"> 'T&amp;E'!F$9</f>
        <v>0</v>
      </c>
      <c r="G44" s="108" t="str">
        <f xml:space="preserve"> 'T&amp;E'!G$9</f>
        <v>year</v>
      </c>
      <c r="H44" s="108">
        <f xml:space="preserve"> 'T&amp;E'!H$9</f>
        <v>0</v>
      </c>
      <c r="I44" s="108">
        <f xml:space="preserve"> 'T&amp;E'!I$9</f>
        <v>0</v>
      </c>
      <c r="J44" s="108">
        <f xml:space="preserve"> 'T&amp;E'!J$9</f>
        <v>0</v>
      </c>
      <c r="K44" s="108">
        <f xml:space="preserve"> 'T&amp;E'!K$9</f>
        <v>0</v>
      </c>
      <c r="L44" s="108">
        <f xml:space="preserve"> 'T&amp;E'!L$9</f>
        <v>2014</v>
      </c>
      <c r="M44" s="108">
        <f xml:space="preserve"> 'T&amp;E'!M$9</f>
        <v>2015</v>
      </c>
      <c r="N44" s="108">
        <f xml:space="preserve"> 'T&amp;E'!N$9</f>
        <v>2016</v>
      </c>
      <c r="O44" s="108">
        <f xml:space="preserve"> 'T&amp;E'!O$9</f>
        <v>2017</v>
      </c>
      <c r="P44" s="108">
        <f xml:space="preserve"> 'T&amp;E'!P$9</f>
        <v>2018</v>
      </c>
      <c r="Q44" s="108">
        <f xml:space="preserve"> 'T&amp;E'!Q$9</f>
        <v>2019</v>
      </c>
      <c r="R44" s="108">
        <f xml:space="preserve"> 'T&amp;E'!R$9</f>
        <v>2020</v>
      </c>
      <c r="S44" s="108">
        <f xml:space="preserve"> 'T&amp;E'!S$9</f>
        <v>2021</v>
      </c>
      <c r="T44" s="108">
        <f xml:space="preserve"> 'T&amp;E'!T$9</f>
        <v>2022</v>
      </c>
      <c r="U44" s="108">
        <f xml:space="preserve"> 'T&amp;E'!U$9</f>
        <v>2023</v>
      </c>
      <c r="V44" s="108">
        <f xml:space="preserve"> 'T&amp;E'!V$9</f>
        <v>2024</v>
      </c>
      <c r="W44" s="108">
        <f xml:space="preserve"> 'T&amp;E'!W$9</f>
        <v>2025</v>
      </c>
      <c r="X44" s="108">
        <f xml:space="preserve"> 'T&amp;E'!X$9</f>
        <v>2026</v>
      </c>
      <c r="Y44" s="108">
        <f xml:space="preserve"> 'T&amp;E'!Y$9</f>
        <v>2027</v>
      </c>
      <c r="Z44" s="108">
        <f xml:space="preserve"> 'T&amp;E'!Z$9</f>
        <v>2028</v>
      </c>
      <c r="AA44" s="108">
        <f xml:space="preserve"> 'T&amp;E'!AA$9</f>
        <v>2029</v>
      </c>
      <c r="AB44" s="108">
        <f xml:space="preserve"> 'T&amp;E'!AB$9</f>
        <v>2030</v>
      </c>
      <c r="AC44" s="108">
        <f xml:space="preserve"> 'T&amp;E'!AC$9</f>
        <v>2031</v>
      </c>
      <c r="AD44" s="108">
        <f xml:space="preserve"> 'T&amp;E'!AD$9</f>
        <v>2032</v>
      </c>
      <c r="AE44" s="108">
        <f xml:space="preserve"> 'T&amp;E'!AE$9</f>
        <v>2033</v>
      </c>
      <c r="AF44" s="108">
        <f xml:space="preserve"> 'T&amp;E'!AF$9</f>
        <v>2034</v>
      </c>
      <c r="AG44" s="108">
        <f xml:space="preserve"> 'T&amp;E'!AG$9</f>
        <v>2035</v>
      </c>
      <c r="AH44" s="108">
        <f xml:space="preserve"> 'T&amp;E'!AH$9</f>
        <v>2036</v>
      </c>
      <c r="AI44" s="108">
        <f xml:space="preserve"> 'T&amp;E'!AI$9</f>
        <v>2037</v>
      </c>
      <c r="AJ44" s="108">
        <f xml:space="preserve"> 'T&amp;E'!AJ$9</f>
        <v>2038</v>
      </c>
      <c r="AK44" s="108">
        <f xml:space="preserve"> 'T&amp;E'!AK$9</f>
        <v>2039</v>
      </c>
      <c r="AL44" s="108">
        <f xml:space="preserve"> 'T&amp;E'!AL$9</f>
        <v>2040</v>
      </c>
      <c r="AM44" s="108">
        <f xml:space="preserve"> 'T&amp;E'!AM$9</f>
        <v>2041</v>
      </c>
      <c r="AN44" s="108">
        <f xml:space="preserve"> 'T&amp;E'!AN$9</f>
        <v>2042</v>
      </c>
      <c r="AO44" s="108">
        <f xml:space="preserve"> 'T&amp;E'!AO$9</f>
        <v>2043</v>
      </c>
      <c r="AP44" s="108">
        <f xml:space="preserve"> 'T&amp;E'!AP$9</f>
        <v>2044</v>
      </c>
      <c r="AQ44" s="108">
        <f xml:space="preserve"> 'T&amp;E'!AQ$9</f>
        <v>2045</v>
      </c>
      <c r="AR44" s="108">
        <f xml:space="preserve"> 'T&amp;E'!AR$9</f>
        <v>2046</v>
      </c>
      <c r="AS44" s="108">
        <f xml:space="preserve"> 'T&amp;E'!AS$9</f>
        <v>2047</v>
      </c>
      <c r="AT44" s="108">
        <f xml:space="preserve"> 'T&amp;E'!AT$9</f>
        <v>2048</v>
      </c>
      <c r="AU44" s="108">
        <f xml:space="preserve"> 'T&amp;E'!AU$9</f>
        <v>2049</v>
      </c>
      <c r="AV44" s="108">
        <f xml:space="preserve"> 'T&amp;E'!AV$9</f>
        <v>2050</v>
      </c>
    </row>
    <row r="45" spans="1:48" s="93" customFormat="1" ht="15" customHeight="1">
      <c r="E45" s="93" t="str">
        <f t="shared" ref="E45:AV45" si="7" xml:space="preserve"> E$13</f>
        <v>IBP / ISF</v>
      </c>
      <c r="F45" s="93" t="str">
        <f t="shared" si="7"/>
        <v>yes</v>
      </c>
      <c r="G45" s="93" t="str">
        <f t="shared" si="7"/>
        <v>$ mn</v>
      </c>
      <c r="H45" s="93">
        <f t="shared" si="7"/>
        <v>0</v>
      </c>
      <c r="I45" s="93">
        <f t="shared" si="7"/>
        <v>0</v>
      </c>
      <c r="J45" s="93">
        <f t="shared" si="7"/>
        <v>374.28560475799361</v>
      </c>
      <c r="K45" s="93">
        <f t="shared" si="7"/>
        <v>0</v>
      </c>
      <c r="L45" s="93">
        <f t="shared" si="7"/>
        <v>2.1599999999999999E-4</v>
      </c>
      <c r="M45" s="93">
        <f t="shared" si="7"/>
        <v>2.3063496801857E-2</v>
      </c>
      <c r="N45" s="93">
        <f t="shared" si="7"/>
        <v>4.0274999999999998E-3</v>
      </c>
      <c r="O45" s="93">
        <f t="shared" si="7"/>
        <v>1.7259200000000001E-3</v>
      </c>
      <c r="P45" s="93">
        <f t="shared" si="7"/>
        <v>1.5913430935709739E-3</v>
      </c>
      <c r="Q45" s="93">
        <f t="shared" si="7"/>
        <v>0.23372963240407674</v>
      </c>
      <c r="R45" s="93">
        <f t="shared" si="7"/>
        <v>4.6025641071790968</v>
      </c>
      <c r="S45" s="93">
        <f t="shared" si="7"/>
        <v>61.926910758515</v>
      </c>
      <c r="T45" s="93">
        <f t="shared" si="7"/>
        <v>307.49177600000002</v>
      </c>
      <c r="U45" s="93">
        <f t="shared" si="7"/>
        <v>0</v>
      </c>
      <c r="V45" s="93">
        <f t="shared" si="7"/>
        <v>0</v>
      </c>
      <c r="W45" s="93">
        <f t="shared" si="7"/>
        <v>0</v>
      </c>
      <c r="X45" s="93">
        <f t="shared" si="7"/>
        <v>0</v>
      </c>
      <c r="Y45" s="93">
        <f t="shared" si="7"/>
        <v>0</v>
      </c>
      <c r="Z45" s="93">
        <f t="shared" si="7"/>
        <v>0</v>
      </c>
      <c r="AA45" s="93">
        <f t="shared" si="7"/>
        <v>0</v>
      </c>
      <c r="AB45" s="93">
        <f t="shared" si="7"/>
        <v>0</v>
      </c>
      <c r="AC45" s="93">
        <f t="shared" si="7"/>
        <v>0</v>
      </c>
      <c r="AD45" s="93">
        <f t="shared" si="7"/>
        <v>0</v>
      </c>
      <c r="AE45" s="93">
        <f t="shared" si="7"/>
        <v>0</v>
      </c>
      <c r="AF45" s="93">
        <f t="shared" si="7"/>
        <v>0</v>
      </c>
      <c r="AG45" s="93">
        <f t="shared" si="7"/>
        <v>0</v>
      </c>
      <c r="AH45" s="93">
        <f t="shared" si="7"/>
        <v>0</v>
      </c>
      <c r="AI45" s="93">
        <f t="shared" si="7"/>
        <v>0</v>
      </c>
      <c r="AJ45" s="93">
        <f t="shared" si="7"/>
        <v>0</v>
      </c>
      <c r="AK45" s="93">
        <f t="shared" si="7"/>
        <v>0</v>
      </c>
      <c r="AL45" s="93">
        <f t="shared" si="7"/>
        <v>0</v>
      </c>
      <c r="AM45" s="93">
        <f t="shared" si="7"/>
        <v>0</v>
      </c>
      <c r="AN45" s="93">
        <f t="shared" si="7"/>
        <v>0</v>
      </c>
      <c r="AO45" s="93">
        <f t="shared" si="7"/>
        <v>0</v>
      </c>
      <c r="AP45" s="93">
        <f t="shared" si="7"/>
        <v>0</v>
      </c>
      <c r="AQ45" s="93">
        <f t="shared" si="7"/>
        <v>0</v>
      </c>
      <c r="AR45" s="93">
        <f t="shared" si="7"/>
        <v>0</v>
      </c>
      <c r="AS45" s="93">
        <f t="shared" si="7"/>
        <v>0</v>
      </c>
      <c r="AT45" s="93">
        <f t="shared" si="7"/>
        <v>0</v>
      </c>
      <c r="AU45" s="93">
        <f t="shared" si="7"/>
        <v>0</v>
      </c>
      <c r="AV45" s="93">
        <f t="shared" si="7"/>
        <v>0</v>
      </c>
    </row>
    <row r="46" spans="1:48" s="93" customFormat="1" ht="15" customHeight="1">
      <c r="E46" s="93" t="str">
        <f t="shared" ref="E46:AV46" si="8" xml:space="preserve"> E8</f>
        <v>AMR-A</v>
      </c>
      <c r="F46" s="93" t="str">
        <f t="shared" si="8"/>
        <v>yes</v>
      </c>
      <c r="G46" s="93" t="str">
        <f t="shared" si="8"/>
        <v>$ mn</v>
      </c>
      <c r="H46" s="93">
        <f t="shared" si="8"/>
        <v>0</v>
      </c>
      <c r="I46" s="93">
        <f t="shared" si="8"/>
        <v>0</v>
      </c>
      <c r="J46" s="93">
        <f t="shared" si="8"/>
        <v>18.006449782081646</v>
      </c>
      <c r="K46" s="93">
        <f t="shared" si="8"/>
        <v>0</v>
      </c>
      <c r="L46" s="93">
        <f t="shared" si="8"/>
        <v>0</v>
      </c>
      <c r="M46" s="93">
        <f t="shared" si="8"/>
        <v>0</v>
      </c>
      <c r="N46" s="93">
        <f t="shared" si="8"/>
        <v>0</v>
      </c>
      <c r="O46" s="93">
        <f t="shared" si="8"/>
        <v>0</v>
      </c>
      <c r="P46" s="93">
        <f t="shared" si="8"/>
        <v>0.97822213938892422</v>
      </c>
      <c r="Q46" s="93">
        <f t="shared" si="8"/>
        <v>0.65081968784772171</v>
      </c>
      <c r="R46" s="93">
        <f t="shared" si="8"/>
        <v>0</v>
      </c>
      <c r="S46" s="93">
        <f t="shared" si="8"/>
        <v>5.5773889548450004</v>
      </c>
      <c r="T46" s="93">
        <f t="shared" si="8"/>
        <v>10.800019000000001</v>
      </c>
      <c r="U46" s="93">
        <f t="shared" si="8"/>
        <v>0</v>
      </c>
      <c r="V46" s="93">
        <f t="shared" si="8"/>
        <v>0</v>
      </c>
      <c r="W46" s="93">
        <f t="shared" si="8"/>
        <v>0</v>
      </c>
      <c r="X46" s="93">
        <f t="shared" si="8"/>
        <v>0</v>
      </c>
      <c r="Y46" s="93">
        <f t="shared" si="8"/>
        <v>0</v>
      </c>
      <c r="Z46" s="93">
        <f t="shared" si="8"/>
        <v>0</v>
      </c>
      <c r="AA46" s="93">
        <f t="shared" si="8"/>
        <v>0</v>
      </c>
      <c r="AB46" s="93">
        <f t="shared" si="8"/>
        <v>0</v>
      </c>
      <c r="AC46" s="93">
        <f t="shared" si="8"/>
        <v>0</v>
      </c>
      <c r="AD46" s="93">
        <f t="shared" si="8"/>
        <v>0</v>
      </c>
      <c r="AE46" s="93">
        <f t="shared" si="8"/>
        <v>0</v>
      </c>
      <c r="AF46" s="93">
        <f t="shared" si="8"/>
        <v>0</v>
      </c>
      <c r="AG46" s="93">
        <f t="shared" si="8"/>
        <v>0</v>
      </c>
      <c r="AH46" s="93">
        <f t="shared" si="8"/>
        <v>0</v>
      </c>
      <c r="AI46" s="93">
        <f t="shared" si="8"/>
        <v>0</v>
      </c>
      <c r="AJ46" s="93">
        <f t="shared" si="8"/>
        <v>0</v>
      </c>
      <c r="AK46" s="93">
        <f t="shared" si="8"/>
        <v>0</v>
      </c>
      <c r="AL46" s="93">
        <f t="shared" si="8"/>
        <v>0</v>
      </c>
      <c r="AM46" s="93">
        <f t="shared" si="8"/>
        <v>0</v>
      </c>
      <c r="AN46" s="93">
        <f t="shared" si="8"/>
        <v>0</v>
      </c>
      <c r="AO46" s="93">
        <f t="shared" si="8"/>
        <v>0</v>
      </c>
      <c r="AP46" s="93">
        <f t="shared" si="8"/>
        <v>0</v>
      </c>
      <c r="AQ46" s="93">
        <f t="shared" si="8"/>
        <v>0</v>
      </c>
      <c r="AR46" s="93">
        <f t="shared" si="8"/>
        <v>0</v>
      </c>
      <c r="AS46" s="93">
        <f t="shared" si="8"/>
        <v>0</v>
      </c>
      <c r="AT46" s="93">
        <f t="shared" si="8"/>
        <v>0</v>
      </c>
      <c r="AU46" s="93">
        <f t="shared" si="8"/>
        <v>0</v>
      </c>
      <c r="AV46" s="93">
        <f t="shared" si="8"/>
        <v>0</v>
      </c>
    </row>
    <row r="47" spans="1:48" s="93" customFormat="1" ht="15" customHeight="1">
      <c r="E47" s="93" t="str">
        <f t="shared" ref="E47:AV47" si="9" xml:space="preserve"> E9</f>
        <v>AMR-B</v>
      </c>
      <c r="F47" s="93" t="str">
        <f t="shared" si="9"/>
        <v>yes</v>
      </c>
      <c r="G47" s="93" t="str">
        <f t="shared" si="9"/>
        <v>$ mn</v>
      </c>
      <c r="H47" s="93">
        <f t="shared" si="9"/>
        <v>0</v>
      </c>
      <c r="I47" s="93">
        <f t="shared" si="9"/>
        <v>0</v>
      </c>
      <c r="J47" s="93">
        <f t="shared" si="9"/>
        <v>4.6976665677788612</v>
      </c>
      <c r="K47" s="93">
        <f t="shared" si="9"/>
        <v>0</v>
      </c>
      <c r="L47" s="93">
        <f t="shared" si="9"/>
        <v>0</v>
      </c>
      <c r="M47" s="93">
        <f t="shared" si="9"/>
        <v>0</v>
      </c>
      <c r="N47" s="93">
        <f t="shared" si="9"/>
        <v>0</v>
      </c>
      <c r="O47" s="93">
        <f t="shared" si="9"/>
        <v>1.2227719999999999E-2</v>
      </c>
      <c r="P47" s="93">
        <f t="shared" si="9"/>
        <v>0.54681775493316365</v>
      </c>
      <c r="Q47" s="93">
        <f t="shared" si="9"/>
        <v>0.15370923980815349</v>
      </c>
      <c r="R47" s="93">
        <f t="shared" si="9"/>
        <v>0.14681710603754441</v>
      </c>
      <c r="S47" s="93">
        <f t="shared" si="9"/>
        <v>1.4664537469999999</v>
      </c>
      <c r="T47" s="93">
        <f t="shared" si="9"/>
        <v>2.3716409999999999</v>
      </c>
      <c r="U47" s="93">
        <f t="shared" si="9"/>
        <v>0</v>
      </c>
      <c r="V47" s="93">
        <f t="shared" si="9"/>
        <v>0</v>
      </c>
      <c r="W47" s="93">
        <f t="shared" si="9"/>
        <v>0</v>
      </c>
      <c r="X47" s="93">
        <f t="shared" si="9"/>
        <v>0</v>
      </c>
      <c r="Y47" s="93">
        <f t="shared" si="9"/>
        <v>0</v>
      </c>
      <c r="Z47" s="93">
        <f t="shared" si="9"/>
        <v>0</v>
      </c>
      <c r="AA47" s="93">
        <f t="shared" si="9"/>
        <v>0</v>
      </c>
      <c r="AB47" s="93">
        <f t="shared" si="9"/>
        <v>0</v>
      </c>
      <c r="AC47" s="93">
        <f t="shared" si="9"/>
        <v>0</v>
      </c>
      <c r="AD47" s="93">
        <f t="shared" si="9"/>
        <v>0</v>
      </c>
      <c r="AE47" s="93">
        <f t="shared" si="9"/>
        <v>0</v>
      </c>
      <c r="AF47" s="93">
        <f t="shared" si="9"/>
        <v>0</v>
      </c>
      <c r="AG47" s="93">
        <f t="shared" si="9"/>
        <v>0</v>
      </c>
      <c r="AH47" s="93">
        <f t="shared" si="9"/>
        <v>0</v>
      </c>
      <c r="AI47" s="93">
        <f t="shared" si="9"/>
        <v>0</v>
      </c>
      <c r="AJ47" s="93">
        <f t="shared" si="9"/>
        <v>0</v>
      </c>
      <c r="AK47" s="93">
        <f t="shared" si="9"/>
        <v>0</v>
      </c>
      <c r="AL47" s="93">
        <f t="shared" si="9"/>
        <v>0</v>
      </c>
      <c r="AM47" s="93">
        <f t="shared" si="9"/>
        <v>0</v>
      </c>
      <c r="AN47" s="93">
        <f t="shared" si="9"/>
        <v>0</v>
      </c>
      <c r="AO47" s="93">
        <f t="shared" si="9"/>
        <v>0</v>
      </c>
      <c r="AP47" s="93">
        <f t="shared" si="9"/>
        <v>0</v>
      </c>
      <c r="AQ47" s="93">
        <f t="shared" si="9"/>
        <v>0</v>
      </c>
      <c r="AR47" s="93">
        <f t="shared" si="9"/>
        <v>0</v>
      </c>
      <c r="AS47" s="93">
        <f t="shared" si="9"/>
        <v>0</v>
      </c>
      <c r="AT47" s="93">
        <f t="shared" si="9"/>
        <v>0</v>
      </c>
      <c r="AU47" s="93">
        <f t="shared" si="9"/>
        <v>0</v>
      </c>
      <c r="AV47" s="93">
        <f t="shared" si="9"/>
        <v>0</v>
      </c>
    </row>
    <row r="48" spans="1:48" s="93" customFormat="1" ht="15" customHeight="1">
      <c r="E48" s="238" t="s">
        <v>850</v>
      </c>
      <c r="F48" s="238"/>
      <c r="G48" s="238" t="s">
        <v>29</v>
      </c>
      <c r="H48" s="238"/>
      <c r="I48" s="238"/>
      <c r="J48" s="238">
        <f xml:space="preserve"> SUM(L48:AV48)</f>
        <v>396.98972110785417</v>
      </c>
      <c r="K48" s="238"/>
      <c r="L48" s="238">
        <f t="shared" ref="L48:AV48" si="10">SUM(L45:L47)</f>
        <v>2.1599999999999999E-4</v>
      </c>
      <c r="M48" s="238">
        <f t="shared" si="10"/>
        <v>2.3063496801857E-2</v>
      </c>
      <c r="N48" s="238">
        <f t="shared" si="10"/>
        <v>4.0274999999999998E-3</v>
      </c>
      <c r="O48" s="238">
        <f t="shared" si="10"/>
        <v>1.395364E-2</v>
      </c>
      <c r="P48" s="238">
        <f t="shared" si="10"/>
        <v>1.5266312374156588</v>
      </c>
      <c r="Q48" s="238">
        <f t="shared" si="10"/>
        <v>1.0382585600599519</v>
      </c>
      <c r="R48" s="238">
        <f t="shared" si="10"/>
        <v>4.7493812132166413</v>
      </c>
      <c r="S48" s="238">
        <f t="shared" si="10"/>
        <v>68.970753460360001</v>
      </c>
      <c r="T48" s="238">
        <f t="shared" si="10"/>
        <v>320.66343600000005</v>
      </c>
      <c r="U48" s="238">
        <f t="shared" si="10"/>
        <v>0</v>
      </c>
      <c r="V48" s="238">
        <f t="shared" si="10"/>
        <v>0</v>
      </c>
      <c r="W48" s="238">
        <f t="shared" si="10"/>
        <v>0</v>
      </c>
      <c r="X48" s="238">
        <f t="shared" si="10"/>
        <v>0</v>
      </c>
      <c r="Y48" s="238">
        <f t="shared" si="10"/>
        <v>0</v>
      </c>
      <c r="Z48" s="238">
        <f t="shared" si="10"/>
        <v>0</v>
      </c>
      <c r="AA48" s="238">
        <f t="shared" si="10"/>
        <v>0</v>
      </c>
      <c r="AB48" s="238">
        <f t="shared" si="10"/>
        <v>0</v>
      </c>
      <c r="AC48" s="238">
        <f t="shared" si="10"/>
        <v>0</v>
      </c>
      <c r="AD48" s="238">
        <f t="shared" si="10"/>
        <v>0</v>
      </c>
      <c r="AE48" s="238">
        <f t="shared" si="10"/>
        <v>0</v>
      </c>
      <c r="AF48" s="238">
        <f t="shared" si="10"/>
        <v>0</v>
      </c>
      <c r="AG48" s="238">
        <f t="shared" si="10"/>
        <v>0</v>
      </c>
      <c r="AH48" s="238">
        <f t="shared" si="10"/>
        <v>0</v>
      </c>
      <c r="AI48" s="238">
        <f t="shared" si="10"/>
        <v>0</v>
      </c>
      <c r="AJ48" s="238">
        <f t="shared" si="10"/>
        <v>0</v>
      </c>
      <c r="AK48" s="238">
        <f t="shared" si="10"/>
        <v>0</v>
      </c>
      <c r="AL48" s="238">
        <f t="shared" si="10"/>
        <v>0</v>
      </c>
      <c r="AM48" s="238">
        <f t="shared" si="10"/>
        <v>0</v>
      </c>
      <c r="AN48" s="238">
        <f t="shared" si="10"/>
        <v>0</v>
      </c>
      <c r="AO48" s="238">
        <f t="shared" si="10"/>
        <v>0</v>
      </c>
      <c r="AP48" s="238">
        <f t="shared" si="10"/>
        <v>0</v>
      </c>
      <c r="AQ48" s="238">
        <f t="shared" si="10"/>
        <v>0</v>
      </c>
      <c r="AR48" s="238">
        <f t="shared" si="10"/>
        <v>0</v>
      </c>
      <c r="AS48" s="238">
        <f t="shared" si="10"/>
        <v>0</v>
      </c>
      <c r="AT48" s="238">
        <f t="shared" si="10"/>
        <v>0</v>
      </c>
      <c r="AU48" s="238">
        <f t="shared" si="10"/>
        <v>0</v>
      </c>
      <c r="AV48" s="238">
        <f t="shared" si="10"/>
        <v>0</v>
      </c>
    </row>
    <row r="49" spans="1:48" s="3" customFormat="1" ht="15" customHeight="1">
      <c r="A49" s="95"/>
      <c r="B49" s="95"/>
      <c r="C49" s="96"/>
      <c r="E49" s="70" t="str">
        <f xml:space="preserve"> Metalkol_Model1!E$785</f>
        <v>CIT payable</v>
      </c>
      <c r="F49" s="70">
        <f xml:space="preserve"> Metalkol_Model1!F$785</f>
        <v>0</v>
      </c>
      <c r="G49" s="70" t="str">
        <f xml:space="preserve"> Metalkol_Model1!G$785</f>
        <v>$ mn</v>
      </c>
      <c r="H49" s="70">
        <f xml:space="preserve"> Metalkol_Model1!H$785</f>
        <v>0</v>
      </c>
      <c r="I49" s="70">
        <f xml:space="preserve"> Metalkol_Model1!I$785</f>
        <v>0</v>
      </c>
      <c r="J49" s="70">
        <f xml:space="preserve"> Metalkol_Model1!J$785</f>
        <v>1375.6952723039724</v>
      </c>
      <c r="K49" s="70">
        <f xml:space="preserve"> Metalkol_Model1!K$785</f>
        <v>0</v>
      </c>
      <c r="L49" s="70">
        <f xml:space="preserve"> Metalkol_Model1!L$785</f>
        <v>0</v>
      </c>
      <c r="M49" s="70">
        <f xml:space="preserve"> Metalkol_Model1!M$785</f>
        <v>0</v>
      </c>
      <c r="N49" s="70">
        <f xml:space="preserve"> Metalkol_Model1!N$785</f>
        <v>0</v>
      </c>
      <c r="O49" s="70">
        <f xml:space="preserve"> Metalkol_Model1!O$785</f>
        <v>0</v>
      </c>
      <c r="P49" s="70">
        <f xml:space="preserve"> Metalkol_Model1!P$785</f>
        <v>0.6713625392942747</v>
      </c>
      <c r="Q49" s="70">
        <f xml:space="preserve"> Metalkol_Model1!Q$785</f>
        <v>183.17829112570044</v>
      </c>
      <c r="R49" s="70">
        <f xml:space="preserve"> Metalkol_Model1!R$785</f>
        <v>37.162397854489413</v>
      </c>
      <c r="S49" s="70">
        <f xml:space="preserve"> Metalkol_Model1!S$785</f>
        <v>171.7373177444376</v>
      </c>
      <c r="T49" s="70">
        <f xml:space="preserve"> Metalkol_Model1!T$785</f>
        <v>175.18703567870509</v>
      </c>
      <c r="U49" s="70">
        <f xml:space="preserve"> Metalkol_Model1!U$785</f>
        <v>34.153976633190744</v>
      </c>
      <c r="V49" s="70">
        <f xml:space="preserve"> Metalkol_Model1!V$785</f>
        <v>11.976567216301939</v>
      </c>
      <c r="W49" s="70">
        <f xml:space="preserve"> Metalkol_Model1!W$785</f>
        <v>85.016741604265363</v>
      </c>
      <c r="X49" s="70">
        <f xml:space="preserve"> Metalkol_Model1!X$785</f>
        <v>85.767391044424485</v>
      </c>
      <c r="Y49" s="70">
        <f xml:space="preserve"> Metalkol_Model1!Y$785</f>
        <v>80.116120896881185</v>
      </c>
      <c r="Z49" s="70">
        <f xml:space="preserve"> Metalkol_Model1!Z$785</f>
        <v>85.114435537737563</v>
      </c>
      <c r="AA49" s="70">
        <f xml:space="preserve"> Metalkol_Model1!AA$785</f>
        <v>87.686432998471005</v>
      </c>
      <c r="AB49" s="70">
        <f xml:space="preserve"> Metalkol_Model1!AB$785</f>
        <v>94.242093101167413</v>
      </c>
      <c r="AC49" s="70">
        <f xml:space="preserve"> Metalkol_Model1!AC$785</f>
        <v>124.99406869768933</v>
      </c>
      <c r="AD49" s="70">
        <f xml:space="preserve"> Metalkol_Model1!AD$785</f>
        <v>118.69103963121651</v>
      </c>
      <c r="AE49" s="70">
        <f xml:space="preserve"> Metalkol_Model1!AE$785</f>
        <v>0</v>
      </c>
      <c r="AF49" s="70">
        <f xml:space="preserve"> Metalkol_Model1!AF$785</f>
        <v>0</v>
      </c>
      <c r="AG49" s="70">
        <f xml:space="preserve"> Metalkol_Model1!AG$785</f>
        <v>0</v>
      </c>
      <c r="AH49" s="70">
        <f xml:space="preserve"> Metalkol_Model1!AH$785</f>
        <v>0</v>
      </c>
      <c r="AI49" s="70">
        <f xml:space="preserve"> Metalkol_Model1!AI$785</f>
        <v>0</v>
      </c>
      <c r="AJ49" s="70">
        <f xml:space="preserve"> Metalkol_Model1!AJ$785</f>
        <v>0</v>
      </c>
      <c r="AK49" s="70">
        <f xml:space="preserve"> Metalkol_Model1!AK$785</f>
        <v>0</v>
      </c>
      <c r="AL49" s="70">
        <f xml:space="preserve"> Metalkol_Model1!AL$785</f>
        <v>0</v>
      </c>
      <c r="AM49" s="70">
        <f xml:space="preserve"> Metalkol_Model1!AM$785</f>
        <v>0</v>
      </c>
      <c r="AN49" s="70">
        <f xml:space="preserve"> Metalkol_Model1!AN$785</f>
        <v>0</v>
      </c>
      <c r="AO49" s="70">
        <f xml:space="preserve"> Metalkol_Model1!AO$785</f>
        <v>0</v>
      </c>
      <c r="AP49" s="70">
        <f xml:space="preserve"> Metalkol_Model1!AP$785</f>
        <v>0</v>
      </c>
      <c r="AQ49" s="70">
        <f xml:space="preserve"> Metalkol_Model1!AQ$785</f>
        <v>0</v>
      </c>
      <c r="AR49" s="70">
        <f xml:space="preserve"> Metalkol_Model1!AR$785</f>
        <v>0</v>
      </c>
      <c r="AS49" s="70">
        <f xml:space="preserve"> Metalkol_Model1!AS$785</f>
        <v>0</v>
      </c>
      <c r="AT49" s="70">
        <f xml:space="preserve"> Metalkol_Model1!AT$785</f>
        <v>0</v>
      </c>
      <c r="AU49" s="70">
        <f xml:space="preserve"> Metalkol_Model1!AU$785</f>
        <v>0</v>
      </c>
      <c r="AV49" s="70">
        <f xml:space="preserve"> Metalkol_Model1!AV$785</f>
        <v>0</v>
      </c>
    </row>
    <row r="50" spans="1:48" ht="15" customHeight="1">
      <c r="E50" s="18" t="s">
        <v>731</v>
      </c>
      <c r="G50" s="18" t="s">
        <v>29</v>
      </c>
      <c r="I50" s="184"/>
      <c r="J50" s="3">
        <f xml:space="preserve"> SUM(L50:AV50)</f>
        <v>-170.9466838347727</v>
      </c>
      <c r="L50" s="93">
        <f t="shared" ref="L50:P50" si="11" xml:space="preserve"> IF(L48  &lt;&gt; 0, L48 - L49, 0)</f>
        <v>2.1599999999999999E-4</v>
      </c>
      <c r="M50" s="93">
        <f t="shared" si="11"/>
        <v>2.3063496801857E-2</v>
      </c>
      <c r="N50" s="93">
        <f t="shared" si="11"/>
        <v>4.0274999999999998E-3</v>
      </c>
      <c r="O50" s="93">
        <f t="shared" si="11"/>
        <v>1.395364E-2</v>
      </c>
      <c r="P50" s="93">
        <f t="shared" si="11"/>
        <v>0.85526869812138406</v>
      </c>
      <c r="Q50" s="93">
        <f xml:space="preserve"> IF(Q48  &lt;&gt; 0, Q48 - Q49, 0)</f>
        <v>-182.1400325656405</v>
      </c>
      <c r="R50" s="93">
        <f t="shared" ref="R50:AV50" si="12" xml:space="preserve"> IF(R48  &lt;&gt; 0, R48 - R49, 0)</f>
        <v>-32.413016641272769</v>
      </c>
      <c r="S50" s="93">
        <f t="shared" si="12"/>
        <v>-102.7665642840776</v>
      </c>
      <c r="T50" s="93">
        <f t="shared" si="12"/>
        <v>145.47640032129496</v>
      </c>
      <c r="U50" s="93">
        <f t="shared" si="12"/>
        <v>0</v>
      </c>
      <c r="V50" s="93">
        <f t="shared" si="12"/>
        <v>0</v>
      </c>
      <c r="W50" s="93">
        <f t="shared" si="12"/>
        <v>0</v>
      </c>
      <c r="X50" s="93">
        <f t="shared" si="12"/>
        <v>0</v>
      </c>
      <c r="Y50" s="93">
        <f t="shared" si="12"/>
        <v>0</v>
      </c>
      <c r="Z50" s="93">
        <f t="shared" si="12"/>
        <v>0</v>
      </c>
      <c r="AA50" s="93">
        <f t="shared" si="12"/>
        <v>0</v>
      </c>
      <c r="AB50" s="93">
        <f t="shared" si="12"/>
        <v>0</v>
      </c>
      <c r="AC50" s="93">
        <f t="shared" si="12"/>
        <v>0</v>
      </c>
      <c r="AD50" s="93">
        <f t="shared" si="12"/>
        <v>0</v>
      </c>
      <c r="AE50" s="93">
        <f t="shared" si="12"/>
        <v>0</v>
      </c>
      <c r="AF50" s="93">
        <f t="shared" si="12"/>
        <v>0</v>
      </c>
      <c r="AG50" s="93">
        <f t="shared" si="12"/>
        <v>0</v>
      </c>
      <c r="AH50" s="93">
        <f t="shared" si="12"/>
        <v>0</v>
      </c>
      <c r="AI50" s="93">
        <f t="shared" si="12"/>
        <v>0</v>
      </c>
      <c r="AJ50" s="93">
        <f t="shared" si="12"/>
        <v>0</v>
      </c>
      <c r="AK50" s="93">
        <f t="shared" si="12"/>
        <v>0</v>
      </c>
      <c r="AL50" s="93">
        <f t="shared" si="12"/>
        <v>0</v>
      </c>
      <c r="AM50" s="93">
        <f t="shared" si="12"/>
        <v>0</v>
      </c>
      <c r="AN50" s="93">
        <f t="shared" si="12"/>
        <v>0</v>
      </c>
      <c r="AO50" s="93">
        <f t="shared" si="12"/>
        <v>0</v>
      </c>
      <c r="AP50" s="93">
        <f t="shared" si="12"/>
        <v>0</v>
      </c>
      <c r="AQ50" s="93">
        <f t="shared" si="12"/>
        <v>0</v>
      </c>
      <c r="AR50" s="93">
        <f t="shared" si="12"/>
        <v>0</v>
      </c>
      <c r="AS50" s="93">
        <f t="shared" si="12"/>
        <v>0</v>
      </c>
      <c r="AT50" s="93">
        <f t="shared" si="12"/>
        <v>0</v>
      </c>
      <c r="AU50" s="93">
        <f t="shared" si="12"/>
        <v>0</v>
      </c>
      <c r="AV50" s="93">
        <f t="shared" si="12"/>
        <v>0</v>
      </c>
    </row>
    <row r="52" spans="1:48" ht="15" customHeight="1">
      <c r="E52" s="18" t="s">
        <v>1126</v>
      </c>
      <c r="G52" s="18" t="s">
        <v>1124</v>
      </c>
      <c r="P52" s="66">
        <v>1</v>
      </c>
      <c r="Q52" s="66">
        <v>1</v>
      </c>
      <c r="R52" s="66">
        <v>1</v>
      </c>
      <c r="S52" s="66">
        <v>1</v>
      </c>
      <c r="T52" s="66">
        <v>1</v>
      </c>
    </row>
    <row r="53" spans="1:48" s="103" customFormat="1" ht="15" customHeight="1">
      <c r="A53" s="246"/>
      <c r="B53" s="246"/>
      <c r="C53" s="247"/>
      <c r="E53" s="103" t="s">
        <v>1126</v>
      </c>
      <c r="F53" s="535">
        <f xml:space="preserve"> SUMPRODUCT(L52:AV52, L50:AV50)</f>
        <v>-170.98794447157454</v>
      </c>
      <c r="G53" s="103" t="s">
        <v>29</v>
      </c>
      <c r="I53" s="210"/>
      <c r="K53" s="253"/>
    </row>
    <row r="55" spans="1:48" ht="15" customHeight="1">
      <c r="B55" s="16" t="s">
        <v>869</v>
      </c>
    </row>
    <row r="56" spans="1:48" s="93" customFormat="1" ht="15" customHeight="1">
      <c r="A56" s="92"/>
      <c r="B56" s="92"/>
      <c r="C56" s="197"/>
      <c r="E56" s="93" t="str">
        <f t="shared" ref="E56:AV56" si="13" xml:space="preserve"> E$15</f>
        <v>Impôt mobilier</v>
      </c>
      <c r="F56" s="93">
        <f t="shared" si="13"/>
        <v>0</v>
      </c>
      <c r="G56" s="93" t="str">
        <f t="shared" si="13"/>
        <v>$ mn</v>
      </c>
      <c r="H56" s="93">
        <f t="shared" si="13"/>
        <v>0</v>
      </c>
      <c r="I56" s="93">
        <f t="shared" si="13"/>
        <v>0</v>
      </c>
      <c r="J56" s="93">
        <f t="shared" si="13"/>
        <v>21.252826924397233</v>
      </c>
      <c r="K56" s="93">
        <f t="shared" si="13"/>
        <v>0</v>
      </c>
      <c r="L56" s="93">
        <f t="shared" si="13"/>
        <v>0</v>
      </c>
      <c r="M56" s="93">
        <f t="shared" si="13"/>
        <v>0</v>
      </c>
      <c r="N56" s="93">
        <f t="shared" si="13"/>
        <v>0</v>
      </c>
      <c r="O56" s="93">
        <f t="shared" si="13"/>
        <v>0</v>
      </c>
      <c r="P56" s="93">
        <f t="shared" si="13"/>
        <v>0</v>
      </c>
      <c r="Q56" s="93">
        <f t="shared" si="13"/>
        <v>0.68901374895683454</v>
      </c>
      <c r="R56" s="93">
        <f t="shared" si="13"/>
        <v>5.6712874601653978</v>
      </c>
      <c r="S56" s="93">
        <f t="shared" si="13"/>
        <v>4.8894187152750002</v>
      </c>
      <c r="T56" s="93">
        <f t="shared" si="13"/>
        <v>10.003107</v>
      </c>
      <c r="U56" s="93">
        <f t="shared" si="13"/>
        <v>0</v>
      </c>
      <c r="V56" s="93">
        <f t="shared" si="13"/>
        <v>0</v>
      </c>
      <c r="W56" s="93">
        <f t="shared" si="13"/>
        <v>0</v>
      </c>
      <c r="X56" s="93">
        <f t="shared" si="13"/>
        <v>0</v>
      </c>
      <c r="Y56" s="93">
        <f t="shared" si="13"/>
        <v>0</v>
      </c>
      <c r="Z56" s="93">
        <f t="shared" si="13"/>
        <v>0</v>
      </c>
      <c r="AA56" s="93">
        <f t="shared" si="13"/>
        <v>0</v>
      </c>
      <c r="AB56" s="93">
        <f t="shared" si="13"/>
        <v>0</v>
      </c>
      <c r="AC56" s="93">
        <f t="shared" si="13"/>
        <v>0</v>
      </c>
      <c r="AD56" s="93">
        <f t="shared" si="13"/>
        <v>0</v>
      </c>
      <c r="AE56" s="93">
        <f t="shared" si="13"/>
        <v>0</v>
      </c>
      <c r="AF56" s="93">
        <f t="shared" si="13"/>
        <v>0</v>
      </c>
      <c r="AG56" s="93">
        <f t="shared" si="13"/>
        <v>0</v>
      </c>
      <c r="AH56" s="93">
        <f t="shared" si="13"/>
        <v>0</v>
      </c>
      <c r="AI56" s="93">
        <f t="shared" si="13"/>
        <v>0</v>
      </c>
      <c r="AJ56" s="93">
        <f t="shared" si="13"/>
        <v>0</v>
      </c>
      <c r="AK56" s="93">
        <f t="shared" si="13"/>
        <v>0</v>
      </c>
      <c r="AL56" s="93">
        <f t="shared" si="13"/>
        <v>0</v>
      </c>
      <c r="AM56" s="93">
        <f t="shared" si="13"/>
        <v>0</v>
      </c>
      <c r="AN56" s="93">
        <f t="shared" si="13"/>
        <v>0</v>
      </c>
      <c r="AO56" s="93">
        <f t="shared" si="13"/>
        <v>0</v>
      </c>
      <c r="AP56" s="93">
        <f t="shared" si="13"/>
        <v>0</v>
      </c>
      <c r="AQ56" s="93">
        <f t="shared" si="13"/>
        <v>0</v>
      </c>
      <c r="AR56" s="93">
        <f t="shared" si="13"/>
        <v>0</v>
      </c>
      <c r="AS56" s="93">
        <f t="shared" si="13"/>
        <v>0</v>
      </c>
      <c r="AT56" s="93">
        <f t="shared" si="13"/>
        <v>0</v>
      </c>
      <c r="AU56" s="93">
        <f t="shared" si="13"/>
        <v>0</v>
      </c>
      <c r="AV56" s="93">
        <f t="shared" si="13"/>
        <v>0</v>
      </c>
    </row>
    <row r="57" spans="1:48" s="62" customFormat="1" ht="15" customHeight="1">
      <c r="A57" s="203"/>
      <c r="B57" s="203"/>
      <c r="C57" s="201"/>
      <c r="E57" s="594" t="s">
        <v>870</v>
      </c>
      <c r="F57" s="594"/>
      <c r="G57" s="594" t="s">
        <v>29</v>
      </c>
      <c r="H57" s="594"/>
      <c r="I57" s="595"/>
      <c r="J57" s="594">
        <f xml:space="preserve"> SUM(L57:AV57)</f>
        <v>21.252826924397233</v>
      </c>
      <c r="K57" s="595"/>
      <c r="L57" s="594">
        <f t="shared" ref="L57:AV57" si="14">SUM(L56:L56)</f>
        <v>0</v>
      </c>
      <c r="M57" s="594">
        <f t="shared" si="14"/>
        <v>0</v>
      </c>
      <c r="N57" s="594">
        <f t="shared" si="14"/>
        <v>0</v>
      </c>
      <c r="O57" s="594">
        <f t="shared" si="14"/>
        <v>0</v>
      </c>
      <c r="P57" s="594">
        <f t="shared" si="14"/>
        <v>0</v>
      </c>
      <c r="Q57" s="594">
        <f t="shared" si="14"/>
        <v>0.68901374895683454</v>
      </c>
      <c r="R57" s="594">
        <f t="shared" si="14"/>
        <v>5.6712874601653978</v>
      </c>
      <c r="S57" s="594">
        <f t="shared" si="14"/>
        <v>4.8894187152750002</v>
      </c>
      <c r="T57" s="594">
        <f t="shared" si="14"/>
        <v>10.003107</v>
      </c>
      <c r="U57" s="594">
        <f t="shared" si="14"/>
        <v>0</v>
      </c>
      <c r="V57" s="594">
        <f t="shared" si="14"/>
        <v>0</v>
      </c>
      <c r="W57" s="594">
        <f t="shared" si="14"/>
        <v>0</v>
      </c>
      <c r="X57" s="594">
        <f t="shared" si="14"/>
        <v>0</v>
      </c>
      <c r="Y57" s="594">
        <f t="shared" si="14"/>
        <v>0</v>
      </c>
      <c r="Z57" s="594">
        <f t="shared" si="14"/>
        <v>0</v>
      </c>
      <c r="AA57" s="594">
        <f t="shared" si="14"/>
        <v>0</v>
      </c>
      <c r="AB57" s="594">
        <f t="shared" si="14"/>
        <v>0</v>
      </c>
      <c r="AC57" s="594">
        <f t="shared" si="14"/>
        <v>0</v>
      </c>
      <c r="AD57" s="594">
        <f t="shared" si="14"/>
        <v>0</v>
      </c>
      <c r="AE57" s="594">
        <f t="shared" si="14"/>
        <v>0</v>
      </c>
      <c r="AF57" s="594">
        <f t="shared" si="14"/>
        <v>0</v>
      </c>
      <c r="AG57" s="594">
        <f t="shared" si="14"/>
        <v>0</v>
      </c>
      <c r="AH57" s="594">
        <f t="shared" si="14"/>
        <v>0</v>
      </c>
      <c r="AI57" s="594">
        <f t="shared" si="14"/>
        <v>0</v>
      </c>
      <c r="AJ57" s="594">
        <f t="shared" si="14"/>
        <v>0</v>
      </c>
      <c r="AK57" s="594">
        <f t="shared" si="14"/>
        <v>0</v>
      </c>
      <c r="AL57" s="594">
        <f t="shared" si="14"/>
        <v>0</v>
      </c>
      <c r="AM57" s="594">
        <f t="shared" si="14"/>
        <v>0</v>
      </c>
      <c r="AN57" s="594">
        <f t="shared" si="14"/>
        <v>0</v>
      </c>
      <c r="AO57" s="594">
        <f t="shared" si="14"/>
        <v>0</v>
      </c>
      <c r="AP57" s="594">
        <f t="shared" si="14"/>
        <v>0</v>
      </c>
      <c r="AQ57" s="594">
        <f t="shared" si="14"/>
        <v>0</v>
      </c>
      <c r="AR57" s="594">
        <f t="shared" si="14"/>
        <v>0</v>
      </c>
      <c r="AS57" s="594">
        <f t="shared" si="14"/>
        <v>0</v>
      </c>
      <c r="AT57" s="594">
        <f t="shared" si="14"/>
        <v>0</v>
      </c>
      <c r="AU57" s="594">
        <f t="shared" si="14"/>
        <v>0</v>
      </c>
      <c r="AV57" s="594">
        <f t="shared" si="14"/>
        <v>0</v>
      </c>
    </row>
    <row r="58" spans="1:48" s="70" customFormat="1" ht="15" customHeight="1">
      <c r="A58" s="195"/>
      <c r="B58" s="195"/>
      <c r="C58" s="196"/>
      <c r="E58" s="70" t="str">
        <f xml:space="preserve"> Metalkol_Model1!E$763</f>
        <v>Dividend withholding tax</v>
      </c>
      <c r="F58" s="70">
        <f xml:space="preserve"> Metalkol_Model1!F$763</f>
        <v>0</v>
      </c>
      <c r="G58" s="70" t="str">
        <f xml:space="preserve"> Metalkol_Model1!G$763</f>
        <v>$ mn</v>
      </c>
      <c r="H58" s="70">
        <f xml:space="preserve"> Metalkol_Model1!H$763</f>
        <v>0</v>
      </c>
      <c r="I58" s="70">
        <f xml:space="preserve"> Metalkol_Model1!I$763</f>
        <v>0</v>
      </c>
      <c r="J58" s="70">
        <f xml:space="preserve"> Metalkol_Model1!J$763</f>
        <v>284.73360235425861</v>
      </c>
      <c r="K58" s="70">
        <f xml:space="preserve"> Metalkol_Model1!K$763</f>
        <v>0</v>
      </c>
      <c r="L58" s="70">
        <f xml:space="preserve"> Metalkol_Model1!L$763</f>
        <v>0</v>
      </c>
      <c r="M58" s="70">
        <f xml:space="preserve"> Metalkol_Model1!M$763</f>
        <v>0</v>
      </c>
      <c r="N58" s="70">
        <f xml:space="preserve"> Metalkol_Model1!N$763</f>
        <v>0</v>
      </c>
      <c r="O58" s="70">
        <f xml:space="preserve"> Metalkol_Model1!O$763</f>
        <v>0</v>
      </c>
      <c r="P58" s="70">
        <f xml:space="preserve"> Metalkol_Model1!P$763</f>
        <v>0</v>
      </c>
      <c r="Q58" s="70">
        <f xml:space="preserve"> Metalkol_Model1!Q$763</f>
        <v>25.902127734161525</v>
      </c>
      <c r="R58" s="70">
        <f xml:space="preserve"> Metalkol_Model1!R$763</f>
        <v>16.890896425955646</v>
      </c>
      <c r="S58" s="70">
        <f xml:space="preserve"> Metalkol_Model1!S$763</f>
        <v>55.660156486177186</v>
      </c>
      <c r="T58" s="70">
        <f xml:space="preserve"> Metalkol_Model1!T$763</f>
        <v>52.940986442394319</v>
      </c>
      <c r="U58" s="70">
        <f xml:space="preserve"> Metalkol_Model1!U$763</f>
        <v>22.541759252892845</v>
      </c>
      <c r="V58" s="70">
        <f xml:space="preserve"> Metalkol_Model1!V$763</f>
        <v>11.400590730927673</v>
      </c>
      <c r="W58" s="70">
        <f xml:space="preserve"> Metalkol_Model1!W$763</f>
        <v>16.314082116819993</v>
      </c>
      <c r="X58" s="70">
        <f xml:space="preserve"> Metalkol_Model1!X$763</f>
        <v>9.8143467987945492</v>
      </c>
      <c r="Y58" s="70">
        <f xml:space="preserve"> Metalkol_Model1!Y$763</f>
        <v>3.9561482189484538</v>
      </c>
      <c r="Z58" s="70">
        <f xml:space="preserve"> Metalkol_Model1!Z$763</f>
        <v>0</v>
      </c>
      <c r="AA58" s="70">
        <f xml:space="preserve"> Metalkol_Model1!AA$763</f>
        <v>0</v>
      </c>
      <c r="AB58" s="70">
        <f xml:space="preserve"> Metalkol_Model1!AB$763</f>
        <v>8.91545080946082</v>
      </c>
      <c r="AC58" s="70">
        <f xml:space="preserve"> Metalkol_Model1!AC$763</f>
        <v>29.433232336642178</v>
      </c>
      <c r="AD58" s="70">
        <f xml:space="preserve"> Metalkol_Model1!AD$763</f>
        <v>30.963825001083411</v>
      </c>
      <c r="AE58" s="70">
        <f xml:space="preserve"> Metalkol_Model1!AE$763</f>
        <v>0</v>
      </c>
      <c r="AF58" s="70">
        <f xml:space="preserve"> Metalkol_Model1!AF$763</f>
        <v>0</v>
      </c>
      <c r="AG58" s="70">
        <f xml:space="preserve"> Metalkol_Model1!AG$763</f>
        <v>0</v>
      </c>
      <c r="AH58" s="70">
        <f xml:space="preserve"> Metalkol_Model1!AH$763</f>
        <v>0</v>
      </c>
      <c r="AI58" s="70">
        <f xml:space="preserve"> Metalkol_Model1!AI$763</f>
        <v>0</v>
      </c>
      <c r="AJ58" s="70">
        <f xml:space="preserve"> Metalkol_Model1!AJ$763</f>
        <v>0</v>
      </c>
      <c r="AK58" s="70">
        <f xml:space="preserve"> Metalkol_Model1!AK$763</f>
        <v>0</v>
      </c>
      <c r="AL58" s="70">
        <f xml:space="preserve"> Metalkol_Model1!AL$763</f>
        <v>0</v>
      </c>
      <c r="AM58" s="70">
        <f xml:space="preserve"> Metalkol_Model1!AM$763</f>
        <v>0</v>
      </c>
      <c r="AN58" s="70">
        <f xml:space="preserve"> Metalkol_Model1!AN$763</f>
        <v>0</v>
      </c>
      <c r="AO58" s="70">
        <f xml:space="preserve"> Metalkol_Model1!AO$763</f>
        <v>0</v>
      </c>
      <c r="AP58" s="70">
        <f xml:space="preserve"> Metalkol_Model1!AP$763</f>
        <v>0</v>
      </c>
      <c r="AQ58" s="70">
        <f xml:space="preserve"> Metalkol_Model1!AQ$763</f>
        <v>0</v>
      </c>
      <c r="AR58" s="70">
        <f xml:space="preserve"> Metalkol_Model1!AR$763</f>
        <v>0</v>
      </c>
      <c r="AS58" s="70">
        <f xml:space="preserve"> Metalkol_Model1!AS$763</f>
        <v>0</v>
      </c>
      <c r="AT58" s="70">
        <f xml:space="preserve"> Metalkol_Model1!AT$763</f>
        <v>0</v>
      </c>
      <c r="AU58" s="70">
        <f xml:space="preserve"> Metalkol_Model1!AU$763</f>
        <v>0</v>
      </c>
      <c r="AV58" s="70">
        <f xml:space="preserve"> Metalkol_Model1!AV$763</f>
        <v>0</v>
      </c>
    </row>
    <row r="59" spans="1:48" ht="15" customHeight="1">
      <c r="E59" s="18" t="s">
        <v>731</v>
      </c>
      <c r="G59" s="18" t="s">
        <v>29</v>
      </c>
      <c r="J59" s="3">
        <f xml:space="preserve"> SUM(L59:AV59)</f>
        <v>-130.14134016429145</v>
      </c>
      <c r="L59" s="93">
        <f t="shared" ref="L59" si="15" xml:space="preserve"> IF(L57  &lt;&gt; 0, L57 - L58, 0)</f>
        <v>0</v>
      </c>
      <c r="M59" s="93">
        <f t="shared" ref="M59" si="16" xml:space="preserve"> IF(M57  &lt;&gt; 0, M57 - M58, 0)</f>
        <v>0</v>
      </c>
      <c r="N59" s="93">
        <f t="shared" ref="N59" si="17" xml:space="preserve"> IF(N57  &lt;&gt; 0, N57 - N58, 0)</f>
        <v>0</v>
      </c>
      <c r="O59" s="93">
        <f t="shared" ref="O59" si="18" xml:space="preserve"> IF(O57  &lt;&gt; 0, O57 - O58, 0)</f>
        <v>0</v>
      </c>
      <c r="P59" s="93">
        <f t="shared" ref="P59" si="19" xml:space="preserve"> IF(P57  &lt;&gt; 0, P57 - P58, 0)</f>
        <v>0</v>
      </c>
      <c r="Q59" s="93">
        <f xml:space="preserve"> IF(Q57  &lt;&gt; 0, Q57 - Q58, 0)</f>
        <v>-25.213113985204689</v>
      </c>
      <c r="R59" s="93">
        <f t="shared" ref="R59" si="20" xml:space="preserve"> IF(R57  &lt;&gt; 0, R57 - R58, 0)</f>
        <v>-11.219608965790247</v>
      </c>
      <c r="S59" s="93">
        <f t="shared" ref="S59" si="21" xml:space="preserve"> IF(S57  &lt;&gt; 0, S57 - S58, 0)</f>
        <v>-50.770737770902187</v>
      </c>
      <c r="T59" s="93">
        <f t="shared" ref="T59" si="22" xml:space="preserve"> IF(T57  &lt;&gt; 0, T57 - T58, 0)</f>
        <v>-42.937879442394319</v>
      </c>
      <c r="U59" s="93">
        <f t="shared" ref="U59" si="23" xml:space="preserve"> IF(U57  &lt;&gt; 0, U57 - U58, 0)</f>
        <v>0</v>
      </c>
      <c r="V59" s="93">
        <f t="shared" ref="V59" si="24" xml:space="preserve"> IF(V57  &lt;&gt; 0, V57 - V58, 0)</f>
        <v>0</v>
      </c>
      <c r="W59" s="93">
        <f t="shared" ref="W59" si="25" xml:space="preserve"> IF(W57  &lt;&gt; 0, W57 - W58, 0)</f>
        <v>0</v>
      </c>
      <c r="X59" s="93">
        <f t="shared" ref="X59" si="26" xml:space="preserve"> IF(X57  &lt;&gt; 0, X57 - X58, 0)</f>
        <v>0</v>
      </c>
      <c r="Y59" s="93">
        <f t="shared" ref="Y59" si="27" xml:space="preserve"> IF(Y57  &lt;&gt; 0, Y57 - Y58, 0)</f>
        <v>0</v>
      </c>
      <c r="Z59" s="93">
        <f t="shared" ref="Z59" si="28" xml:space="preserve"> IF(Z57  &lt;&gt; 0, Z57 - Z58, 0)</f>
        <v>0</v>
      </c>
      <c r="AA59" s="93">
        <f t="shared" ref="AA59" si="29" xml:space="preserve"> IF(AA57  &lt;&gt; 0, AA57 - AA58, 0)</f>
        <v>0</v>
      </c>
      <c r="AB59" s="93">
        <f t="shared" ref="AB59" si="30" xml:space="preserve"> IF(AB57  &lt;&gt; 0, AB57 - AB58, 0)</f>
        <v>0</v>
      </c>
      <c r="AC59" s="93">
        <f t="shared" ref="AC59" si="31" xml:space="preserve"> IF(AC57  &lt;&gt; 0, AC57 - AC58, 0)</f>
        <v>0</v>
      </c>
      <c r="AD59" s="93">
        <f t="shared" ref="AD59" si="32" xml:space="preserve"> IF(AD57  &lt;&gt; 0, AD57 - AD58, 0)</f>
        <v>0</v>
      </c>
      <c r="AE59" s="93">
        <f t="shared" ref="AE59" si="33" xml:space="preserve"> IF(AE57  &lt;&gt; 0, AE57 - AE58, 0)</f>
        <v>0</v>
      </c>
      <c r="AF59" s="93">
        <f t="shared" ref="AF59" si="34" xml:space="preserve"> IF(AF57  &lt;&gt; 0, AF57 - AF58, 0)</f>
        <v>0</v>
      </c>
      <c r="AG59" s="93">
        <f t="shared" ref="AG59" si="35" xml:space="preserve"> IF(AG57  &lt;&gt; 0, AG57 - AG58, 0)</f>
        <v>0</v>
      </c>
      <c r="AH59" s="93">
        <f t="shared" ref="AH59" si="36" xml:space="preserve"> IF(AH57  &lt;&gt; 0, AH57 - AH58, 0)</f>
        <v>0</v>
      </c>
      <c r="AI59" s="93">
        <f t="shared" ref="AI59" si="37" xml:space="preserve"> IF(AI57  &lt;&gt; 0, AI57 - AI58, 0)</f>
        <v>0</v>
      </c>
      <c r="AJ59" s="93">
        <f t="shared" ref="AJ59" si="38" xml:space="preserve"> IF(AJ57  &lt;&gt; 0, AJ57 - AJ58, 0)</f>
        <v>0</v>
      </c>
      <c r="AK59" s="93">
        <f t="shared" ref="AK59" si="39" xml:space="preserve"> IF(AK57  &lt;&gt; 0, AK57 - AK58, 0)</f>
        <v>0</v>
      </c>
      <c r="AL59" s="93">
        <f t="shared" ref="AL59" si="40" xml:space="preserve"> IF(AL57  &lt;&gt; 0, AL57 - AL58, 0)</f>
        <v>0</v>
      </c>
      <c r="AM59" s="93">
        <f t="shared" ref="AM59" si="41" xml:space="preserve"> IF(AM57  &lt;&gt; 0, AM57 - AM58, 0)</f>
        <v>0</v>
      </c>
      <c r="AN59" s="93">
        <f t="shared" ref="AN59" si="42" xml:space="preserve"> IF(AN57  &lt;&gt; 0, AN57 - AN58, 0)</f>
        <v>0</v>
      </c>
      <c r="AO59" s="93">
        <f t="shared" ref="AO59" si="43" xml:space="preserve"> IF(AO57  &lt;&gt; 0, AO57 - AO58, 0)</f>
        <v>0</v>
      </c>
      <c r="AP59" s="93">
        <f t="shared" ref="AP59" si="44" xml:space="preserve"> IF(AP57  &lt;&gt; 0, AP57 - AP58, 0)</f>
        <v>0</v>
      </c>
      <c r="AQ59" s="93">
        <f t="shared" ref="AQ59" si="45" xml:space="preserve"> IF(AQ57  &lt;&gt; 0, AQ57 - AQ58, 0)</f>
        <v>0</v>
      </c>
      <c r="AR59" s="93">
        <f t="shared" ref="AR59" si="46" xml:space="preserve"> IF(AR57  &lt;&gt; 0, AR57 - AR58, 0)</f>
        <v>0</v>
      </c>
      <c r="AS59" s="93">
        <f t="shared" ref="AS59" si="47" xml:space="preserve"> IF(AS57  &lt;&gt; 0, AS57 - AS58, 0)</f>
        <v>0</v>
      </c>
      <c r="AT59" s="93">
        <f t="shared" ref="AT59" si="48" xml:space="preserve"> IF(AT57  &lt;&gt; 0, AT57 - AT58, 0)</f>
        <v>0</v>
      </c>
      <c r="AU59" s="93">
        <f t="shared" ref="AU59" si="49" xml:space="preserve"> IF(AU57  &lt;&gt; 0, AU57 - AU58, 0)</f>
        <v>0</v>
      </c>
      <c r="AV59" s="93">
        <f t="shared" ref="AV59" si="50" xml:space="preserve"> IF(AV57  &lt;&gt; 0, AV57 - AV58, 0)</f>
        <v>0</v>
      </c>
    </row>
    <row r="60" spans="1:48" s="70" customFormat="1" ht="15" customHeight="1">
      <c r="A60" s="195"/>
      <c r="B60" s="195"/>
      <c r="C60" s="196"/>
      <c r="I60" s="76"/>
      <c r="K60" s="76"/>
    </row>
    <row r="61" spans="1:48" s="62" customFormat="1" ht="15" customHeight="1">
      <c r="A61" s="203"/>
      <c r="B61" s="203" t="s">
        <v>871</v>
      </c>
      <c r="C61" s="201"/>
      <c r="I61" s="202"/>
      <c r="K61" s="202"/>
    </row>
    <row r="62" spans="1:48" s="70" customFormat="1" ht="15" customHeight="1">
      <c r="A62" s="195"/>
      <c r="B62" s="195"/>
      <c r="C62" s="196"/>
      <c r="E62" s="3" t="str">
        <f t="shared" ref="E62:AV62" si="51" xml:space="preserve"> E$22</f>
        <v>Taxes a l'Importation</v>
      </c>
      <c r="F62" s="3" t="str">
        <f t="shared" si="51"/>
        <v>yes</v>
      </c>
      <c r="G62" s="3" t="str">
        <f t="shared" si="51"/>
        <v>$ mn</v>
      </c>
      <c r="H62" s="3">
        <f t="shared" si="51"/>
        <v>0</v>
      </c>
      <c r="I62" s="3">
        <f t="shared" si="51"/>
        <v>0</v>
      </c>
      <c r="J62" s="3">
        <f t="shared" si="51"/>
        <v>28.047894512615272</v>
      </c>
      <c r="K62" s="3">
        <f t="shared" si="51"/>
        <v>0</v>
      </c>
      <c r="L62" s="3">
        <f t="shared" si="51"/>
        <v>1.721E-2</v>
      </c>
      <c r="M62" s="3">
        <f t="shared" si="51"/>
        <v>0</v>
      </c>
      <c r="N62" s="3">
        <f t="shared" si="51"/>
        <v>0</v>
      </c>
      <c r="O62" s="3">
        <f t="shared" si="51"/>
        <v>0</v>
      </c>
      <c r="P62" s="3">
        <f t="shared" si="51"/>
        <v>1.8578525117759388</v>
      </c>
      <c r="Q62" s="3">
        <f t="shared" si="51"/>
        <v>14.703829000839331</v>
      </c>
      <c r="R62" s="3">
        <f t="shared" si="51"/>
        <v>0</v>
      </c>
      <c r="S62" s="3">
        <f t="shared" si="51"/>
        <v>0</v>
      </c>
      <c r="T62" s="3">
        <f t="shared" si="51"/>
        <v>11.469003000000001</v>
      </c>
      <c r="U62" s="3">
        <f t="shared" si="51"/>
        <v>0</v>
      </c>
      <c r="V62" s="3">
        <f t="shared" si="51"/>
        <v>0</v>
      </c>
      <c r="W62" s="3">
        <f t="shared" si="51"/>
        <v>0</v>
      </c>
      <c r="X62" s="3">
        <f t="shared" si="51"/>
        <v>0</v>
      </c>
      <c r="Y62" s="3">
        <f t="shared" si="51"/>
        <v>0</v>
      </c>
      <c r="Z62" s="3">
        <f t="shared" si="51"/>
        <v>0</v>
      </c>
      <c r="AA62" s="3">
        <f t="shared" si="51"/>
        <v>0</v>
      </c>
      <c r="AB62" s="3">
        <f t="shared" si="51"/>
        <v>0</v>
      </c>
      <c r="AC62" s="3">
        <f t="shared" si="51"/>
        <v>0</v>
      </c>
      <c r="AD62" s="3">
        <f t="shared" si="51"/>
        <v>0</v>
      </c>
      <c r="AE62" s="3">
        <f t="shared" si="51"/>
        <v>0</v>
      </c>
      <c r="AF62" s="3">
        <f t="shared" si="51"/>
        <v>0</v>
      </c>
      <c r="AG62" s="3">
        <f t="shared" si="51"/>
        <v>0</v>
      </c>
      <c r="AH62" s="3">
        <f t="shared" si="51"/>
        <v>0</v>
      </c>
      <c r="AI62" s="3">
        <f t="shared" si="51"/>
        <v>0</v>
      </c>
      <c r="AJ62" s="3">
        <f t="shared" si="51"/>
        <v>0</v>
      </c>
      <c r="AK62" s="3">
        <f t="shared" si="51"/>
        <v>0</v>
      </c>
      <c r="AL62" s="3">
        <f t="shared" si="51"/>
        <v>0</v>
      </c>
      <c r="AM62" s="3">
        <f t="shared" si="51"/>
        <v>0</v>
      </c>
      <c r="AN62" s="3">
        <f t="shared" si="51"/>
        <v>0</v>
      </c>
      <c r="AO62" s="3">
        <f t="shared" si="51"/>
        <v>0</v>
      </c>
      <c r="AP62" s="3">
        <f t="shared" si="51"/>
        <v>0</v>
      </c>
      <c r="AQ62" s="3">
        <f t="shared" si="51"/>
        <v>0</v>
      </c>
      <c r="AR62" s="3">
        <f t="shared" si="51"/>
        <v>0</v>
      </c>
      <c r="AS62" s="3">
        <f t="shared" si="51"/>
        <v>0</v>
      </c>
      <c r="AT62" s="3">
        <f t="shared" si="51"/>
        <v>0</v>
      </c>
      <c r="AU62" s="3">
        <f t="shared" si="51"/>
        <v>0</v>
      </c>
      <c r="AV62" s="3">
        <f t="shared" si="51"/>
        <v>0</v>
      </c>
    </row>
    <row r="63" spans="1:48" s="70" customFormat="1" ht="15" customHeight="1">
      <c r="A63" s="195"/>
      <c r="B63" s="195"/>
      <c r="C63" s="196"/>
      <c r="E63" s="76" t="str">
        <f xml:space="preserve"> Metalkol_Model1!E$365</f>
        <v>Operating costs, including Sens.</v>
      </c>
      <c r="F63" s="76">
        <f xml:space="preserve"> Metalkol_Model1!F$365</f>
        <v>0</v>
      </c>
      <c r="G63" s="76" t="str">
        <f xml:space="preserve"> Metalkol_Model1!G$365</f>
        <v>$ mn</v>
      </c>
      <c r="H63" s="76">
        <f xml:space="preserve"> Metalkol_Model1!H$365</f>
        <v>0</v>
      </c>
      <c r="I63" s="76">
        <f xml:space="preserve"> Metalkol_Model1!I$365</f>
        <v>0</v>
      </c>
      <c r="J63" s="76">
        <f xml:space="preserve"> Metalkol_Model1!J$365</f>
        <v>14098.626908392755</v>
      </c>
      <c r="K63" s="76">
        <f xml:space="preserve"> Metalkol_Model1!K$365</f>
        <v>0</v>
      </c>
      <c r="L63" s="76">
        <f xml:space="preserve"> Metalkol_Model1!L$365</f>
        <v>0</v>
      </c>
      <c r="M63" s="76">
        <f xml:space="preserve"> Metalkol_Model1!M$365</f>
        <v>0</v>
      </c>
      <c r="N63" s="76">
        <f xml:space="preserve"> Metalkol_Model1!N$365</f>
        <v>0</v>
      </c>
      <c r="O63" s="76">
        <f xml:space="preserve"> Metalkol_Model1!O$365</f>
        <v>0</v>
      </c>
      <c r="P63" s="76">
        <f xml:space="preserve"> Metalkol_Model1!P$365</f>
        <v>46.775406120166977</v>
      </c>
      <c r="Q63" s="76">
        <f xml:space="preserve"> Metalkol_Model1!Q$365</f>
        <v>565.92033188147025</v>
      </c>
      <c r="R63" s="76">
        <f xml:space="preserve"> Metalkol_Model1!R$365</f>
        <v>432.34975533242329</v>
      </c>
      <c r="S63" s="76">
        <f xml:space="preserve"> Metalkol_Model1!S$365</f>
        <v>563.86968273401851</v>
      </c>
      <c r="T63" s="76">
        <f xml:space="preserve"> Metalkol_Model1!T$365</f>
        <v>806.95561953116135</v>
      </c>
      <c r="U63" s="76">
        <f xml:space="preserve"> Metalkol_Model1!U$365</f>
        <v>980.90533653037528</v>
      </c>
      <c r="V63" s="76">
        <f xml:space="preserve"> Metalkol_Model1!V$365</f>
        <v>1045.4432218671402</v>
      </c>
      <c r="W63" s="76">
        <f xml:space="preserve"> Metalkol_Model1!W$365</f>
        <v>1199.2561401587307</v>
      </c>
      <c r="X63" s="76">
        <f xml:space="preserve"> Metalkol_Model1!X$365</f>
        <v>1235.2970237000936</v>
      </c>
      <c r="Y63" s="76">
        <f xml:space="preserve"> Metalkol_Model1!Y$365</f>
        <v>1125.1808936331668</v>
      </c>
      <c r="Z63" s="76">
        <f xml:space="preserve"> Metalkol_Model1!Z$365</f>
        <v>1134.5764767086639</v>
      </c>
      <c r="AA63" s="76">
        <f xml:space="preserve"> Metalkol_Model1!AA$365</f>
        <v>1178.5061704732586</v>
      </c>
      <c r="AB63" s="76">
        <f xml:space="preserve"> Metalkol_Model1!AB$365</f>
        <v>1177.3476157134869</v>
      </c>
      <c r="AC63" s="76">
        <f xml:space="preserve"> Metalkol_Model1!AC$365</f>
        <v>1274.2426194881346</v>
      </c>
      <c r="AD63" s="76">
        <f xml:space="preserve"> Metalkol_Model1!AD$365</f>
        <v>1332.0006145204636</v>
      </c>
      <c r="AE63" s="76">
        <f xml:space="preserve"> Metalkol_Model1!AE$365</f>
        <v>0</v>
      </c>
      <c r="AF63" s="76">
        <f xml:space="preserve"> Metalkol_Model1!AF$365</f>
        <v>0</v>
      </c>
      <c r="AG63" s="76">
        <f xml:space="preserve"> Metalkol_Model1!AG$365</f>
        <v>0</v>
      </c>
      <c r="AH63" s="76">
        <f xml:space="preserve"> Metalkol_Model1!AH$365</f>
        <v>0</v>
      </c>
      <c r="AI63" s="76">
        <f xml:space="preserve"> Metalkol_Model1!AI$365</f>
        <v>0</v>
      </c>
      <c r="AJ63" s="76">
        <f xml:space="preserve"> Metalkol_Model1!AJ$365</f>
        <v>0</v>
      </c>
      <c r="AK63" s="76">
        <f xml:space="preserve"> Metalkol_Model1!AK$365</f>
        <v>0</v>
      </c>
      <c r="AL63" s="76">
        <f xml:space="preserve"> Metalkol_Model1!AL$365</f>
        <v>0</v>
      </c>
      <c r="AM63" s="76">
        <f xml:space="preserve"> Metalkol_Model1!AM$365</f>
        <v>0</v>
      </c>
      <c r="AN63" s="76">
        <f xml:space="preserve"> Metalkol_Model1!AN$365</f>
        <v>0</v>
      </c>
      <c r="AO63" s="76">
        <f xml:space="preserve"> Metalkol_Model1!AO$365</f>
        <v>0</v>
      </c>
      <c r="AP63" s="76">
        <f xml:space="preserve"> Metalkol_Model1!AP$365</f>
        <v>0</v>
      </c>
      <c r="AQ63" s="76">
        <f xml:space="preserve"> Metalkol_Model1!AQ$365</f>
        <v>0</v>
      </c>
      <c r="AR63" s="76">
        <f xml:space="preserve"> Metalkol_Model1!AR$365</f>
        <v>0</v>
      </c>
      <c r="AS63" s="76">
        <f xml:space="preserve"> Metalkol_Model1!AS$365</f>
        <v>0</v>
      </c>
      <c r="AT63" s="76">
        <f xml:space="preserve"> Metalkol_Model1!AT$365</f>
        <v>0</v>
      </c>
      <c r="AU63" s="76">
        <f xml:space="preserve"> Metalkol_Model1!AU$365</f>
        <v>0</v>
      </c>
      <c r="AV63" s="76">
        <f xml:space="preserve"> Metalkol_Model1!AV$365</f>
        <v>0</v>
      </c>
    </row>
    <row r="64" spans="1:48" s="70" customFormat="1" ht="15" customHeight="1">
      <c r="A64" s="195"/>
      <c r="B64" s="195"/>
      <c r="C64" s="196"/>
      <c r="E64" s="70" t="str">
        <f xml:space="preserve"> Metalkol_Model1!E$410</f>
        <v>Capital Costs inc. Sens.</v>
      </c>
      <c r="F64" s="70">
        <f xml:space="preserve"> Metalkol_Model1!F$410</f>
        <v>0</v>
      </c>
      <c r="G64" s="70" t="str">
        <f xml:space="preserve"> Metalkol_Model1!G$410</f>
        <v>$ mn</v>
      </c>
      <c r="H64" s="70">
        <f xml:space="preserve"> Metalkol_Model1!H$410</f>
        <v>0</v>
      </c>
      <c r="I64" s="70">
        <f xml:space="preserve"> Metalkol_Model1!I$410</f>
        <v>0</v>
      </c>
      <c r="J64" s="70">
        <f xml:space="preserve"> Metalkol_Model1!J$410</f>
        <v>1501.9969697316285</v>
      </c>
      <c r="K64" s="70">
        <f xml:space="preserve"> Metalkol_Model1!K$410</f>
        <v>0</v>
      </c>
      <c r="L64" s="70">
        <f xml:space="preserve"> Metalkol_Model1!L$410</f>
        <v>0</v>
      </c>
      <c r="M64" s="70">
        <f xml:space="preserve"> Metalkol_Model1!M$410</f>
        <v>0</v>
      </c>
      <c r="N64" s="70">
        <f xml:space="preserve"> Metalkol_Model1!N$410</f>
        <v>0</v>
      </c>
      <c r="O64" s="70">
        <f xml:space="preserve"> Metalkol_Model1!O$410</f>
        <v>0</v>
      </c>
      <c r="P64" s="70">
        <f xml:space="preserve"> Metalkol_Model1!P$410</f>
        <v>1010.1999999999999</v>
      </c>
      <c r="Q64" s="70">
        <f xml:space="preserve"> Metalkol_Model1!Q$410</f>
        <v>175.6</v>
      </c>
      <c r="R64" s="70">
        <f xml:space="preserve"> Metalkol_Model1!R$410</f>
        <v>59.637940489648081</v>
      </c>
      <c r="S64" s="70">
        <f xml:space="preserve"> Metalkol_Model1!S$410</f>
        <v>19.714240787317188</v>
      </c>
      <c r="T64" s="70">
        <f xml:space="preserve"> Metalkol_Model1!T$410</f>
        <v>22.205587260857488</v>
      </c>
      <c r="U64" s="70">
        <f xml:space="preserve"> Metalkol_Model1!U$410</f>
        <v>7.270379772582368</v>
      </c>
      <c r="V64" s="70">
        <f xml:space="preserve"> Metalkol_Model1!V$410</f>
        <v>32.762129135977283</v>
      </c>
      <c r="W64" s="70">
        <f xml:space="preserve"> Metalkol_Model1!W$410</f>
        <v>14.785349673189831</v>
      </c>
      <c r="X64" s="70">
        <f xml:space="preserve"> Metalkol_Model1!X$410</f>
        <v>37.291985621134906</v>
      </c>
      <c r="Y64" s="70">
        <f xml:space="preserve"> Metalkol_Model1!Y$410</f>
        <v>11.106368397789192</v>
      </c>
      <c r="Z64" s="70">
        <f xml:space="preserve"> Metalkol_Model1!Z$410</f>
        <v>24.717558956867318</v>
      </c>
      <c r="AA64" s="70">
        <f xml:space="preserve"> Metalkol_Model1!AA$410</f>
        <v>10.625875307545776</v>
      </c>
      <c r="AB64" s="70">
        <f xml:space="preserve"> Metalkol_Model1!AB$410</f>
        <v>47.657903486366287</v>
      </c>
      <c r="AC64" s="70">
        <f xml:space="preserve"> Metalkol_Model1!AC$410</f>
        <v>9.2044613597337044</v>
      </c>
      <c r="AD64" s="70">
        <f xml:space="preserve"> Metalkol_Model1!AD$410</f>
        <v>19.217189482619023</v>
      </c>
      <c r="AE64" s="70">
        <f xml:space="preserve"> Metalkol_Model1!AE$410</f>
        <v>0</v>
      </c>
      <c r="AF64" s="70">
        <f xml:space="preserve"> Metalkol_Model1!AF$410</f>
        <v>0</v>
      </c>
      <c r="AG64" s="70">
        <f xml:space="preserve"> Metalkol_Model1!AG$410</f>
        <v>0</v>
      </c>
      <c r="AH64" s="70">
        <f xml:space="preserve"> Metalkol_Model1!AH$410</f>
        <v>0</v>
      </c>
      <c r="AI64" s="70">
        <f xml:space="preserve"> Metalkol_Model1!AI$410</f>
        <v>0</v>
      </c>
      <c r="AJ64" s="70">
        <f xml:space="preserve"> Metalkol_Model1!AJ$410</f>
        <v>0</v>
      </c>
      <c r="AK64" s="70">
        <f xml:space="preserve"> Metalkol_Model1!AK$410</f>
        <v>0</v>
      </c>
      <c r="AL64" s="70">
        <f xml:space="preserve"> Metalkol_Model1!AL$410</f>
        <v>0</v>
      </c>
      <c r="AM64" s="70">
        <f xml:space="preserve"> Metalkol_Model1!AM$410</f>
        <v>0</v>
      </c>
      <c r="AN64" s="70">
        <f xml:space="preserve"> Metalkol_Model1!AN$410</f>
        <v>0</v>
      </c>
      <c r="AO64" s="70">
        <f xml:space="preserve"> Metalkol_Model1!AO$410</f>
        <v>0</v>
      </c>
      <c r="AP64" s="70">
        <f xml:space="preserve"> Metalkol_Model1!AP$410</f>
        <v>0</v>
      </c>
      <c r="AQ64" s="70">
        <f xml:space="preserve"> Metalkol_Model1!AQ$410</f>
        <v>0</v>
      </c>
      <c r="AR64" s="70">
        <f xml:space="preserve"> Metalkol_Model1!AR$410</f>
        <v>0</v>
      </c>
      <c r="AS64" s="70">
        <f xml:space="preserve"> Metalkol_Model1!AS$410</f>
        <v>0</v>
      </c>
      <c r="AT64" s="70">
        <f xml:space="preserve"> Metalkol_Model1!AT$410</f>
        <v>0</v>
      </c>
      <c r="AU64" s="70">
        <f xml:space="preserve"> Metalkol_Model1!AU$410</f>
        <v>0</v>
      </c>
      <c r="AV64" s="70">
        <f xml:space="preserve"> Metalkol_Model1!AV$410</f>
        <v>0</v>
      </c>
    </row>
    <row r="65" spans="1:48" s="62" customFormat="1" ht="15" customHeight="1">
      <c r="A65" s="203"/>
      <c r="B65" s="203"/>
      <c r="C65" s="201"/>
      <c r="E65" s="62" t="s">
        <v>123</v>
      </c>
      <c r="G65" s="62" t="s">
        <v>29</v>
      </c>
      <c r="I65" s="202"/>
      <c r="J65" s="62">
        <f xml:space="preserve"> SUM(L65:AV65)</f>
        <v>15600.623878124383</v>
      </c>
      <c r="K65" s="202"/>
      <c r="L65" s="62">
        <f t="shared" ref="L65:AV65" si="52">SUM(L63:L64)</f>
        <v>0</v>
      </c>
      <c r="M65" s="62">
        <f t="shared" si="52"/>
        <v>0</v>
      </c>
      <c r="N65" s="62">
        <f t="shared" si="52"/>
        <v>0</v>
      </c>
      <c r="O65" s="62">
        <f t="shared" si="52"/>
        <v>0</v>
      </c>
      <c r="P65" s="62">
        <f t="shared" si="52"/>
        <v>1056.975406120167</v>
      </c>
      <c r="Q65" s="62">
        <f t="shared" si="52"/>
        <v>741.52033188147027</v>
      </c>
      <c r="R65" s="62">
        <f t="shared" si="52"/>
        <v>491.98769582207137</v>
      </c>
      <c r="S65" s="62">
        <f t="shared" si="52"/>
        <v>583.58392352133569</v>
      </c>
      <c r="T65" s="62">
        <f t="shared" si="52"/>
        <v>829.16120679201879</v>
      </c>
      <c r="U65" s="62">
        <f t="shared" si="52"/>
        <v>988.17571630295765</v>
      </c>
      <c r="V65" s="62">
        <f t="shared" si="52"/>
        <v>1078.2053510031176</v>
      </c>
      <c r="W65" s="62">
        <f t="shared" si="52"/>
        <v>1214.0414898319204</v>
      </c>
      <c r="X65" s="62">
        <f t="shared" si="52"/>
        <v>1272.5890093212286</v>
      </c>
      <c r="Y65" s="62">
        <f t="shared" si="52"/>
        <v>1136.2872620309558</v>
      </c>
      <c r="Z65" s="62">
        <f t="shared" si="52"/>
        <v>1159.2940356655313</v>
      </c>
      <c r="AA65" s="62">
        <f t="shared" si="52"/>
        <v>1189.1320457808044</v>
      </c>
      <c r="AB65" s="62">
        <f t="shared" si="52"/>
        <v>1225.0055191998531</v>
      </c>
      <c r="AC65" s="62">
        <f t="shared" si="52"/>
        <v>1283.4470808478682</v>
      </c>
      <c r="AD65" s="62">
        <f t="shared" si="52"/>
        <v>1351.2178040030826</v>
      </c>
      <c r="AE65" s="62">
        <f t="shared" si="52"/>
        <v>0</v>
      </c>
      <c r="AF65" s="62">
        <f t="shared" si="52"/>
        <v>0</v>
      </c>
      <c r="AG65" s="62">
        <f t="shared" si="52"/>
        <v>0</v>
      </c>
      <c r="AH65" s="62">
        <f t="shared" si="52"/>
        <v>0</v>
      </c>
      <c r="AI65" s="62">
        <f t="shared" si="52"/>
        <v>0</v>
      </c>
      <c r="AJ65" s="62">
        <f t="shared" si="52"/>
        <v>0</v>
      </c>
      <c r="AK65" s="62">
        <f t="shared" si="52"/>
        <v>0</v>
      </c>
      <c r="AL65" s="62">
        <f t="shared" si="52"/>
        <v>0</v>
      </c>
      <c r="AM65" s="62">
        <f t="shared" si="52"/>
        <v>0</v>
      </c>
      <c r="AN65" s="62">
        <f t="shared" si="52"/>
        <v>0</v>
      </c>
      <c r="AO65" s="62">
        <f t="shared" si="52"/>
        <v>0</v>
      </c>
      <c r="AP65" s="62">
        <f t="shared" si="52"/>
        <v>0</v>
      </c>
      <c r="AQ65" s="62">
        <f t="shared" si="52"/>
        <v>0</v>
      </c>
      <c r="AR65" s="62">
        <f t="shared" si="52"/>
        <v>0</v>
      </c>
      <c r="AS65" s="62">
        <f t="shared" si="52"/>
        <v>0</v>
      </c>
      <c r="AT65" s="62">
        <f t="shared" si="52"/>
        <v>0</v>
      </c>
      <c r="AU65" s="62">
        <f t="shared" si="52"/>
        <v>0</v>
      </c>
      <c r="AV65" s="62">
        <f t="shared" si="52"/>
        <v>0</v>
      </c>
    </row>
    <row r="66" spans="1:48" s="62" customFormat="1" ht="15" customHeight="1">
      <c r="A66" s="203"/>
      <c r="B66" s="203"/>
      <c r="C66" s="201"/>
      <c r="E66" s="62" t="s">
        <v>873</v>
      </c>
      <c r="G66" s="62" t="s">
        <v>23</v>
      </c>
      <c r="I66" s="202"/>
      <c r="J66" s="62">
        <f xml:space="preserve"> SUM(L66:AV66)</f>
        <v>4</v>
      </c>
      <c r="K66" s="202"/>
      <c r="L66" s="62">
        <f t="shared" ref="L66:AV66" si="53" xml:space="preserve"> (L62 &gt; 0) * 1</f>
        <v>1</v>
      </c>
      <c r="M66" s="62">
        <f t="shared" si="53"/>
        <v>0</v>
      </c>
      <c r="N66" s="62">
        <f t="shared" si="53"/>
        <v>0</v>
      </c>
      <c r="O66" s="62">
        <f t="shared" si="53"/>
        <v>0</v>
      </c>
      <c r="P66" s="62">
        <f t="shared" si="53"/>
        <v>1</v>
      </c>
      <c r="Q66" s="62">
        <f t="shared" si="53"/>
        <v>1</v>
      </c>
      <c r="R66" s="62">
        <f t="shared" si="53"/>
        <v>0</v>
      </c>
      <c r="S66" s="62">
        <f t="shared" si="53"/>
        <v>0</v>
      </c>
      <c r="T66" s="62">
        <f t="shared" si="53"/>
        <v>1</v>
      </c>
      <c r="U66" s="62">
        <f t="shared" si="53"/>
        <v>0</v>
      </c>
      <c r="V66" s="62">
        <f t="shared" si="53"/>
        <v>0</v>
      </c>
      <c r="W66" s="62">
        <f t="shared" si="53"/>
        <v>0</v>
      </c>
      <c r="X66" s="62">
        <f t="shared" si="53"/>
        <v>0</v>
      </c>
      <c r="Y66" s="62">
        <f t="shared" si="53"/>
        <v>0</v>
      </c>
      <c r="Z66" s="62">
        <f t="shared" si="53"/>
        <v>0</v>
      </c>
      <c r="AA66" s="62">
        <f t="shared" si="53"/>
        <v>0</v>
      </c>
      <c r="AB66" s="62">
        <f t="shared" si="53"/>
        <v>0</v>
      </c>
      <c r="AC66" s="62">
        <f t="shared" si="53"/>
        <v>0</v>
      </c>
      <c r="AD66" s="62">
        <f t="shared" si="53"/>
        <v>0</v>
      </c>
      <c r="AE66" s="62">
        <f t="shared" si="53"/>
        <v>0</v>
      </c>
      <c r="AF66" s="62">
        <f t="shared" si="53"/>
        <v>0</v>
      </c>
      <c r="AG66" s="62">
        <f t="shared" si="53"/>
        <v>0</v>
      </c>
      <c r="AH66" s="62">
        <f t="shared" si="53"/>
        <v>0</v>
      </c>
      <c r="AI66" s="62">
        <f t="shared" si="53"/>
        <v>0</v>
      </c>
      <c r="AJ66" s="62">
        <f t="shared" si="53"/>
        <v>0</v>
      </c>
      <c r="AK66" s="62">
        <f t="shared" si="53"/>
        <v>0</v>
      </c>
      <c r="AL66" s="62">
        <f t="shared" si="53"/>
        <v>0</v>
      </c>
      <c r="AM66" s="62">
        <f t="shared" si="53"/>
        <v>0</v>
      </c>
      <c r="AN66" s="62">
        <f t="shared" si="53"/>
        <v>0</v>
      </c>
      <c r="AO66" s="62">
        <f t="shared" si="53"/>
        <v>0</v>
      </c>
      <c r="AP66" s="62">
        <f t="shared" si="53"/>
        <v>0</v>
      </c>
      <c r="AQ66" s="62">
        <f t="shared" si="53"/>
        <v>0</v>
      </c>
      <c r="AR66" s="62">
        <f t="shared" si="53"/>
        <v>0</v>
      </c>
      <c r="AS66" s="62">
        <f t="shared" si="53"/>
        <v>0</v>
      </c>
      <c r="AT66" s="62">
        <f t="shared" si="53"/>
        <v>0</v>
      </c>
      <c r="AU66" s="62">
        <f t="shared" si="53"/>
        <v>0</v>
      </c>
      <c r="AV66" s="62">
        <f t="shared" si="53"/>
        <v>0</v>
      </c>
    </row>
    <row r="67" spans="1:48" s="62" customFormat="1" ht="15" customHeight="1">
      <c r="A67" s="203"/>
      <c r="B67" s="203"/>
      <c r="C67" s="201"/>
      <c r="I67" s="202"/>
      <c r="K67" s="202"/>
    </row>
    <row r="68" spans="1:48" s="62" customFormat="1" ht="15" customHeight="1">
      <c r="A68" s="203"/>
      <c r="B68" s="203"/>
      <c r="C68" s="201" t="s">
        <v>872</v>
      </c>
      <c r="I68" s="202"/>
      <c r="K68" s="202"/>
    </row>
    <row r="69" spans="1:48" s="62" customFormat="1" ht="15" customHeight="1">
      <c r="A69" s="203"/>
      <c r="B69" s="203"/>
      <c r="C69" s="201"/>
      <c r="E69" s="62" t="s">
        <v>874</v>
      </c>
      <c r="G69" s="62" t="s">
        <v>26</v>
      </c>
      <c r="I69" s="202"/>
      <c r="K69" s="202"/>
      <c r="L69" s="596">
        <f t="shared" ref="L69:AV69" si="54" xml:space="preserve"> IFERROR(L62 / L63, 0)</f>
        <v>0</v>
      </c>
      <c r="M69" s="596">
        <f t="shared" si="54"/>
        <v>0</v>
      </c>
      <c r="N69" s="596">
        <f t="shared" si="54"/>
        <v>0</v>
      </c>
      <c r="O69" s="596">
        <f t="shared" si="54"/>
        <v>0</v>
      </c>
      <c r="P69" s="596">
        <f t="shared" si="54"/>
        <v>3.971857576186677E-2</v>
      </c>
      <c r="Q69" s="596">
        <f t="shared" si="54"/>
        <v>2.5982153622144448E-2</v>
      </c>
      <c r="R69" s="596">
        <f t="shared" si="54"/>
        <v>0</v>
      </c>
      <c r="S69" s="596">
        <f t="shared" si="54"/>
        <v>0</v>
      </c>
      <c r="T69" s="596">
        <f t="shared" si="54"/>
        <v>1.421268124591964E-2</v>
      </c>
      <c r="U69" s="596">
        <f t="shared" si="54"/>
        <v>0</v>
      </c>
      <c r="V69" s="596">
        <f t="shared" si="54"/>
        <v>0</v>
      </c>
      <c r="W69" s="596">
        <f t="shared" si="54"/>
        <v>0</v>
      </c>
      <c r="X69" s="596">
        <f t="shared" si="54"/>
        <v>0</v>
      </c>
      <c r="Y69" s="596">
        <f t="shared" si="54"/>
        <v>0</v>
      </c>
      <c r="Z69" s="596">
        <f t="shared" si="54"/>
        <v>0</v>
      </c>
      <c r="AA69" s="596">
        <f t="shared" si="54"/>
        <v>0</v>
      </c>
      <c r="AB69" s="596">
        <f t="shared" si="54"/>
        <v>0</v>
      </c>
      <c r="AC69" s="596">
        <f t="shared" si="54"/>
        <v>0</v>
      </c>
      <c r="AD69" s="596">
        <f t="shared" si="54"/>
        <v>0</v>
      </c>
      <c r="AE69" s="596">
        <f t="shared" si="54"/>
        <v>0</v>
      </c>
      <c r="AF69" s="596">
        <f t="shared" si="54"/>
        <v>0</v>
      </c>
      <c r="AG69" s="596">
        <f t="shared" si="54"/>
        <v>0</v>
      </c>
      <c r="AH69" s="596">
        <f t="shared" si="54"/>
        <v>0</v>
      </c>
      <c r="AI69" s="596">
        <f t="shared" si="54"/>
        <v>0</v>
      </c>
      <c r="AJ69" s="596">
        <f t="shared" si="54"/>
        <v>0</v>
      </c>
      <c r="AK69" s="596">
        <f t="shared" si="54"/>
        <v>0</v>
      </c>
      <c r="AL69" s="596">
        <f t="shared" si="54"/>
        <v>0</v>
      </c>
      <c r="AM69" s="596">
        <f t="shared" si="54"/>
        <v>0</v>
      </c>
      <c r="AN69" s="596">
        <f t="shared" si="54"/>
        <v>0</v>
      </c>
      <c r="AO69" s="596">
        <f t="shared" si="54"/>
        <v>0</v>
      </c>
      <c r="AP69" s="596">
        <f t="shared" si="54"/>
        <v>0</v>
      </c>
      <c r="AQ69" s="596">
        <f t="shared" si="54"/>
        <v>0</v>
      </c>
      <c r="AR69" s="596">
        <f t="shared" si="54"/>
        <v>0</v>
      </c>
      <c r="AS69" s="596">
        <f t="shared" si="54"/>
        <v>0</v>
      </c>
      <c r="AT69" s="596">
        <f t="shared" si="54"/>
        <v>0</v>
      </c>
      <c r="AU69" s="596">
        <f t="shared" si="54"/>
        <v>0</v>
      </c>
      <c r="AV69" s="596">
        <f t="shared" si="54"/>
        <v>0</v>
      </c>
    </row>
    <row r="70" spans="1:48" s="62" customFormat="1" ht="15" customHeight="1">
      <c r="A70" s="203"/>
      <c r="B70" s="203"/>
      <c r="C70" s="201"/>
      <c r="E70" s="62" t="s">
        <v>875</v>
      </c>
      <c r="G70" s="62" t="s">
        <v>26</v>
      </c>
      <c r="I70" s="202"/>
      <c r="K70" s="202"/>
      <c r="L70" s="596">
        <f t="shared" ref="L70:AV70" si="55" xml:space="preserve"> IFERROR(L62 / L64, 0)</f>
        <v>0</v>
      </c>
      <c r="M70" s="596">
        <f t="shared" si="55"/>
        <v>0</v>
      </c>
      <c r="N70" s="596">
        <f t="shared" si="55"/>
        <v>0</v>
      </c>
      <c r="O70" s="596">
        <f t="shared" si="55"/>
        <v>0</v>
      </c>
      <c r="P70" s="596">
        <f t="shared" si="55"/>
        <v>1.8390937554701435E-3</v>
      </c>
      <c r="Q70" s="596">
        <f t="shared" si="55"/>
        <v>8.3734789298629445E-2</v>
      </c>
      <c r="R70" s="596">
        <f t="shared" si="55"/>
        <v>0</v>
      </c>
      <c r="S70" s="596">
        <f t="shared" si="55"/>
        <v>0</v>
      </c>
      <c r="T70" s="596">
        <f t="shared" si="55"/>
        <v>0.51649176692646115</v>
      </c>
      <c r="U70" s="596">
        <f t="shared" si="55"/>
        <v>0</v>
      </c>
      <c r="V70" s="596">
        <f t="shared" si="55"/>
        <v>0</v>
      </c>
      <c r="W70" s="596">
        <f t="shared" si="55"/>
        <v>0</v>
      </c>
      <c r="X70" s="596">
        <f t="shared" si="55"/>
        <v>0</v>
      </c>
      <c r="Y70" s="596">
        <f t="shared" si="55"/>
        <v>0</v>
      </c>
      <c r="Z70" s="596">
        <f t="shared" si="55"/>
        <v>0</v>
      </c>
      <c r="AA70" s="596">
        <f t="shared" si="55"/>
        <v>0</v>
      </c>
      <c r="AB70" s="596">
        <f t="shared" si="55"/>
        <v>0</v>
      </c>
      <c r="AC70" s="596">
        <f t="shared" si="55"/>
        <v>0</v>
      </c>
      <c r="AD70" s="596">
        <f t="shared" si="55"/>
        <v>0</v>
      </c>
      <c r="AE70" s="596">
        <f t="shared" si="55"/>
        <v>0</v>
      </c>
      <c r="AF70" s="596">
        <f t="shared" si="55"/>
        <v>0</v>
      </c>
      <c r="AG70" s="596">
        <f t="shared" si="55"/>
        <v>0</v>
      </c>
      <c r="AH70" s="596">
        <f t="shared" si="55"/>
        <v>0</v>
      </c>
      <c r="AI70" s="596">
        <f t="shared" si="55"/>
        <v>0</v>
      </c>
      <c r="AJ70" s="596">
        <f t="shared" si="55"/>
        <v>0</v>
      </c>
      <c r="AK70" s="596">
        <f t="shared" si="55"/>
        <v>0</v>
      </c>
      <c r="AL70" s="596">
        <f t="shared" si="55"/>
        <v>0</v>
      </c>
      <c r="AM70" s="596">
        <f t="shared" si="55"/>
        <v>0</v>
      </c>
      <c r="AN70" s="596">
        <f t="shared" si="55"/>
        <v>0</v>
      </c>
      <c r="AO70" s="596">
        <f t="shared" si="55"/>
        <v>0</v>
      </c>
      <c r="AP70" s="596">
        <f t="shared" si="55"/>
        <v>0</v>
      </c>
      <c r="AQ70" s="596">
        <f t="shared" si="55"/>
        <v>0</v>
      </c>
      <c r="AR70" s="596">
        <f t="shared" si="55"/>
        <v>0</v>
      </c>
      <c r="AS70" s="596">
        <f t="shared" si="55"/>
        <v>0</v>
      </c>
      <c r="AT70" s="596">
        <f t="shared" si="55"/>
        <v>0</v>
      </c>
      <c r="AU70" s="596">
        <f t="shared" si="55"/>
        <v>0</v>
      </c>
      <c r="AV70" s="596">
        <f t="shared" si="55"/>
        <v>0</v>
      </c>
    </row>
    <row r="71" spans="1:48" s="62" customFormat="1" ht="15" customHeight="1">
      <c r="A71" s="203"/>
      <c r="B71" s="203"/>
      <c r="C71" s="201"/>
      <c r="E71" s="62" t="s">
        <v>876</v>
      </c>
      <c r="G71" s="62" t="s">
        <v>26</v>
      </c>
      <c r="I71" s="202"/>
      <c r="K71" s="202"/>
      <c r="L71" s="596">
        <f t="shared" ref="L71:AV71" si="56" xml:space="preserve"> IFERROR(L62 / L65, 0)</f>
        <v>0</v>
      </c>
      <c r="M71" s="596">
        <f t="shared" si="56"/>
        <v>0</v>
      </c>
      <c r="N71" s="596">
        <f t="shared" si="56"/>
        <v>0</v>
      </c>
      <c r="O71" s="596">
        <f t="shared" si="56"/>
        <v>0</v>
      </c>
      <c r="P71" s="596">
        <f t="shared" si="56"/>
        <v>1.757706471710204E-3</v>
      </c>
      <c r="Q71" s="596">
        <f t="shared" si="56"/>
        <v>1.982929984337866E-2</v>
      </c>
      <c r="R71" s="596">
        <f t="shared" si="56"/>
        <v>0</v>
      </c>
      <c r="S71" s="596">
        <f t="shared" si="56"/>
        <v>0</v>
      </c>
      <c r="T71" s="596">
        <f t="shared" si="56"/>
        <v>1.3832054498030572E-2</v>
      </c>
      <c r="U71" s="596">
        <f t="shared" si="56"/>
        <v>0</v>
      </c>
      <c r="V71" s="596">
        <f t="shared" si="56"/>
        <v>0</v>
      </c>
      <c r="W71" s="596">
        <f t="shared" si="56"/>
        <v>0</v>
      </c>
      <c r="X71" s="596">
        <f t="shared" si="56"/>
        <v>0</v>
      </c>
      <c r="Y71" s="596">
        <f t="shared" si="56"/>
        <v>0</v>
      </c>
      <c r="Z71" s="596">
        <f t="shared" si="56"/>
        <v>0</v>
      </c>
      <c r="AA71" s="596">
        <f t="shared" si="56"/>
        <v>0</v>
      </c>
      <c r="AB71" s="596">
        <f t="shared" si="56"/>
        <v>0</v>
      </c>
      <c r="AC71" s="596">
        <f t="shared" si="56"/>
        <v>0</v>
      </c>
      <c r="AD71" s="596">
        <f t="shared" si="56"/>
        <v>0</v>
      </c>
      <c r="AE71" s="596">
        <f t="shared" si="56"/>
        <v>0</v>
      </c>
      <c r="AF71" s="596">
        <f t="shared" si="56"/>
        <v>0</v>
      </c>
      <c r="AG71" s="596">
        <f t="shared" si="56"/>
        <v>0</v>
      </c>
      <c r="AH71" s="596">
        <f t="shared" si="56"/>
        <v>0</v>
      </c>
      <c r="AI71" s="596">
        <f t="shared" si="56"/>
        <v>0</v>
      </c>
      <c r="AJ71" s="596">
        <f t="shared" si="56"/>
        <v>0</v>
      </c>
      <c r="AK71" s="596">
        <f t="shared" si="56"/>
        <v>0</v>
      </c>
      <c r="AL71" s="596">
        <f t="shared" si="56"/>
        <v>0</v>
      </c>
      <c r="AM71" s="596">
        <f t="shared" si="56"/>
        <v>0</v>
      </c>
      <c r="AN71" s="596">
        <f t="shared" si="56"/>
        <v>0</v>
      </c>
      <c r="AO71" s="596">
        <f t="shared" si="56"/>
        <v>0</v>
      </c>
      <c r="AP71" s="596">
        <f t="shared" si="56"/>
        <v>0</v>
      </c>
      <c r="AQ71" s="596">
        <f t="shared" si="56"/>
        <v>0</v>
      </c>
      <c r="AR71" s="596">
        <f t="shared" si="56"/>
        <v>0</v>
      </c>
      <c r="AS71" s="596">
        <f t="shared" si="56"/>
        <v>0</v>
      </c>
      <c r="AT71" s="596">
        <f t="shared" si="56"/>
        <v>0</v>
      </c>
      <c r="AU71" s="596">
        <f t="shared" si="56"/>
        <v>0</v>
      </c>
      <c r="AV71" s="596">
        <f t="shared" si="56"/>
        <v>0</v>
      </c>
    </row>
    <row r="72" spans="1:48" s="70" customFormat="1" ht="15" customHeight="1">
      <c r="A72" s="195"/>
      <c r="B72" s="195"/>
      <c r="C72" s="196"/>
      <c r="I72" s="76"/>
      <c r="K72" s="76"/>
      <c r="L72" s="597"/>
      <c r="M72" s="597"/>
      <c r="N72" s="597"/>
      <c r="O72" s="597"/>
      <c r="P72" s="597"/>
      <c r="Q72" s="597"/>
      <c r="R72" s="597"/>
      <c r="S72" s="597"/>
      <c r="T72" s="597"/>
      <c r="U72" s="597"/>
      <c r="V72" s="597"/>
      <c r="W72" s="597"/>
      <c r="X72" s="597"/>
      <c r="Y72" s="597"/>
      <c r="Z72" s="597"/>
      <c r="AA72" s="597"/>
      <c r="AB72" s="597"/>
      <c r="AC72" s="597"/>
      <c r="AD72" s="597"/>
      <c r="AE72" s="597"/>
      <c r="AF72" s="597"/>
      <c r="AG72" s="597"/>
      <c r="AH72" s="597"/>
      <c r="AI72" s="597"/>
      <c r="AJ72" s="597"/>
      <c r="AK72" s="597"/>
      <c r="AL72" s="597"/>
      <c r="AM72" s="597"/>
      <c r="AN72" s="597"/>
      <c r="AO72" s="597"/>
      <c r="AP72" s="597"/>
      <c r="AQ72" s="597"/>
      <c r="AR72" s="597"/>
      <c r="AS72" s="597"/>
      <c r="AT72" s="597"/>
      <c r="AU72" s="597"/>
      <c r="AV72" s="597"/>
    </row>
    <row r="73" spans="1:48" s="62" customFormat="1" ht="15" customHeight="1">
      <c r="A73" s="203"/>
      <c r="B73" s="203"/>
      <c r="C73" s="201" t="s">
        <v>906</v>
      </c>
      <c r="I73" s="202"/>
      <c r="K73" s="202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  <c r="AC73" s="596"/>
      <c r="AD73" s="596"/>
      <c r="AE73" s="596"/>
      <c r="AF73" s="596"/>
      <c r="AG73" s="596"/>
      <c r="AH73" s="596"/>
      <c r="AI73" s="596"/>
      <c r="AJ73" s="596"/>
      <c r="AK73" s="596"/>
      <c r="AL73" s="596"/>
      <c r="AM73" s="596"/>
      <c r="AN73" s="596"/>
      <c r="AO73" s="596"/>
      <c r="AP73" s="596"/>
      <c r="AQ73" s="596"/>
      <c r="AR73" s="596"/>
      <c r="AS73" s="596"/>
      <c r="AT73" s="596"/>
      <c r="AU73" s="596"/>
      <c r="AV73" s="596"/>
    </row>
    <row r="74" spans="1:48" s="70" customFormat="1" ht="15" customHeight="1">
      <c r="A74" s="195"/>
      <c r="B74" s="195"/>
      <c r="C74" s="196"/>
      <c r="E74" s="3" t="str">
        <f t="shared" ref="E74:AV74" si="57" xml:space="preserve"> E$22</f>
        <v>Taxes a l'Importation</v>
      </c>
      <c r="F74" s="3" t="str">
        <f t="shared" si="57"/>
        <v>yes</v>
      </c>
      <c r="G74" s="3" t="str">
        <f t="shared" si="57"/>
        <v>$ mn</v>
      </c>
      <c r="H74" s="3">
        <f t="shared" si="57"/>
        <v>0</v>
      </c>
      <c r="I74" s="3">
        <f t="shared" si="57"/>
        <v>0</v>
      </c>
      <c r="J74" s="3">
        <f t="shared" si="57"/>
        <v>28.047894512615272</v>
      </c>
      <c r="K74" s="3">
        <f t="shared" si="57"/>
        <v>0</v>
      </c>
      <c r="L74" s="3">
        <f t="shared" si="57"/>
        <v>1.721E-2</v>
      </c>
      <c r="M74" s="3">
        <f t="shared" si="57"/>
        <v>0</v>
      </c>
      <c r="N74" s="3">
        <f t="shared" si="57"/>
        <v>0</v>
      </c>
      <c r="O74" s="3">
        <f t="shared" si="57"/>
        <v>0</v>
      </c>
      <c r="P74" s="3">
        <f t="shared" si="57"/>
        <v>1.8578525117759388</v>
      </c>
      <c r="Q74" s="3">
        <f t="shared" si="57"/>
        <v>14.703829000839331</v>
      </c>
      <c r="R74" s="3">
        <f t="shared" si="57"/>
        <v>0</v>
      </c>
      <c r="S74" s="3">
        <f t="shared" si="57"/>
        <v>0</v>
      </c>
      <c r="T74" s="3">
        <f t="shared" si="57"/>
        <v>11.469003000000001</v>
      </c>
      <c r="U74" s="3">
        <f t="shared" si="57"/>
        <v>0</v>
      </c>
      <c r="V74" s="3">
        <f t="shared" si="57"/>
        <v>0</v>
      </c>
      <c r="W74" s="3">
        <f t="shared" si="57"/>
        <v>0</v>
      </c>
      <c r="X74" s="3">
        <f t="shared" si="57"/>
        <v>0</v>
      </c>
      <c r="Y74" s="3">
        <f t="shared" si="57"/>
        <v>0</v>
      </c>
      <c r="Z74" s="3">
        <f t="shared" si="57"/>
        <v>0</v>
      </c>
      <c r="AA74" s="3">
        <f t="shared" si="57"/>
        <v>0</v>
      </c>
      <c r="AB74" s="3">
        <f t="shared" si="57"/>
        <v>0</v>
      </c>
      <c r="AC74" s="3">
        <f t="shared" si="57"/>
        <v>0</v>
      </c>
      <c r="AD74" s="3">
        <f t="shared" si="57"/>
        <v>0</v>
      </c>
      <c r="AE74" s="3">
        <f t="shared" si="57"/>
        <v>0</v>
      </c>
      <c r="AF74" s="3">
        <f t="shared" si="57"/>
        <v>0</v>
      </c>
      <c r="AG74" s="3">
        <f t="shared" si="57"/>
        <v>0</v>
      </c>
      <c r="AH74" s="3">
        <f t="shared" si="57"/>
        <v>0</v>
      </c>
      <c r="AI74" s="3">
        <f t="shared" si="57"/>
        <v>0</v>
      </c>
      <c r="AJ74" s="3">
        <f t="shared" si="57"/>
        <v>0</v>
      </c>
      <c r="AK74" s="3">
        <f t="shared" si="57"/>
        <v>0</v>
      </c>
      <c r="AL74" s="3">
        <f t="shared" si="57"/>
        <v>0</v>
      </c>
      <c r="AM74" s="3">
        <f t="shared" si="57"/>
        <v>0</v>
      </c>
      <c r="AN74" s="3">
        <f t="shared" si="57"/>
        <v>0</v>
      </c>
      <c r="AO74" s="3">
        <f t="shared" si="57"/>
        <v>0</v>
      </c>
      <c r="AP74" s="3">
        <f t="shared" si="57"/>
        <v>0</v>
      </c>
      <c r="AQ74" s="3">
        <f t="shared" si="57"/>
        <v>0</v>
      </c>
      <c r="AR74" s="3">
        <f t="shared" si="57"/>
        <v>0</v>
      </c>
      <c r="AS74" s="3">
        <f t="shared" si="57"/>
        <v>0</v>
      </c>
      <c r="AT74" s="3">
        <f t="shared" si="57"/>
        <v>0</v>
      </c>
      <c r="AU74" s="3">
        <f t="shared" si="57"/>
        <v>0</v>
      </c>
      <c r="AV74" s="3">
        <f t="shared" si="57"/>
        <v>0</v>
      </c>
    </row>
    <row r="75" spans="1:48" s="62" customFormat="1" ht="15" customHeight="1">
      <c r="A75" s="203"/>
      <c r="B75" s="203"/>
      <c r="C75" s="201"/>
      <c r="E75" s="70" t="str">
        <f xml:space="preserve"> Metalkol_Model1!E$614</f>
        <v>Import duties</v>
      </c>
      <c r="F75" s="70">
        <f xml:space="preserve"> Metalkol_Model1!F$614</f>
        <v>0</v>
      </c>
      <c r="G75" s="70" t="str">
        <f xml:space="preserve"> Metalkol_Model1!G$614</f>
        <v>$ mn</v>
      </c>
      <c r="H75" s="70">
        <f xml:space="preserve"> Metalkol_Model1!H$614</f>
        <v>0</v>
      </c>
      <c r="I75" s="70">
        <f xml:space="preserve"> Metalkol_Model1!I$614</f>
        <v>0</v>
      </c>
      <c r="J75" s="70">
        <f xml:space="preserve"> Metalkol_Model1!J$614</f>
        <v>15.316407444483447</v>
      </c>
      <c r="K75" s="70">
        <f xml:space="preserve"> Metalkol_Model1!K$614</f>
        <v>0</v>
      </c>
      <c r="L75" s="70">
        <f xml:space="preserve"> Metalkol_Model1!L$614</f>
        <v>0</v>
      </c>
      <c r="M75" s="70">
        <f xml:space="preserve"> Metalkol_Model1!M$614</f>
        <v>0</v>
      </c>
      <c r="N75" s="70">
        <f xml:space="preserve"> Metalkol_Model1!N$614</f>
        <v>0</v>
      </c>
      <c r="O75" s="70">
        <f xml:space="preserve"> Metalkol_Model1!O$614</f>
        <v>0</v>
      </c>
      <c r="P75" s="70">
        <f xml:space="preserve"> Metalkol_Model1!P$614</f>
        <v>1.7756350777216481</v>
      </c>
      <c r="Q75" s="70">
        <f xml:space="preserve"> Metalkol_Model1!Q$614</f>
        <v>3.4820250524972924</v>
      </c>
      <c r="R75" s="70">
        <f xml:space="preserve"> Metalkol_Model1!R$614</f>
        <v>0</v>
      </c>
      <c r="S75" s="70">
        <f xml:space="preserve"> Metalkol_Model1!S$614</f>
        <v>0</v>
      </c>
      <c r="T75" s="70">
        <f xml:space="preserve"> Metalkol_Model1!T$614</f>
        <v>10.058747314264506</v>
      </c>
      <c r="U75" s="70">
        <f xml:space="preserve"> Metalkol_Model1!U$614</f>
        <v>0</v>
      </c>
      <c r="V75" s="70">
        <f xml:space="preserve"> Metalkol_Model1!V$614</f>
        <v>0</v>
      </c>
      <c r="W75" s="70">
        <f xml:space="preserve"> Metalkol_Model1!W$614</f>
        <v>0</v>
      </c>
      <c r="X75" s="70">
        <f xml:space="preserve"> Metalkol_Model1!X$614</f>
        <v>0</v>
      </c>
      <c r="Y75" s="70">
        <f xml:space="preserve"> Metalkol_Model1!Y$614</f>
        <v>0</v>
      </c>
      <c r="Z75" s="70">
        <f xml:space="preserve"> Metalkol_Model1!Z$614</f>
        <v>0</v>
      </c>
      <c r="AA75" s="70">
        <f xml:space="preserve"> Metalkol_Model1!AA$614</f>
        <v>0</v>
      </c>
      <c r="AB75" s="70">
        <f xml:space="preserve"> Metalkol_Model1!AB$614</f>
        <v>0</v>
      </c>
      <c r="AC75" s="70">
        <f xml:space="preserve"> Metalkol_Model1!AC$614</f>
        <v>0</v>
      </c>
      <c r="AD75" s="70">
        <f xml:space="preserve"> Metalkol_Model1!AD$614</f>
        <v>0</v>
      </c>
      <c r="AE75" s="70">
        <f xml:space="preserve"> Metalkol_Model1!AE$614</f>
        <v>0</v>
      </c>
      <c r="AF75" s="70">
        <f xml:space="preserve"> Metalkol_Model1!AF$614</f>
        <v>0</v>
      </c>
      <c r="AG75" s="70">
        <f xml:space="preserve"> Metalkol_Model1!AG$614</f>
        <v>0</v>
      </c>
      <c r="AH75" s="70">
        <f xml:space="preserve"> Metalkol_Model1!AH$614</f>
        <v>0</v>
      </c>
      <c r="AI75" s="70">
        <f xml:space="preserve"> Metalkol_Model1!AI$614</f>
        <v>0</v>
      </c>
      <c r="AJ75" s="70">
        <f xml:space="preserve"> Metalkol_Model1!AJ$614</f>
        <v>0</v>
      </c>
      <c r="AK75" s="70">
        <f xml:space="preserve"> Metalkol_Model1!AK$614</f>
        <v>0</v>
      </c>
      <c r="AL75" s="70">
        <f xml:space="preserve"> Metalkol_Model1!AL$614</f>
        <v>0</v>
      </c>
      <c r="AM75" s="70">
        <f xml:space="preserve"> Metalkol_Model1!AM$614</f>
        <v>0</v>
      </c>
      <c r="AN75" s="70">
        <f xml:space="preserve"> Metalkol_Model1!AN$614</f>
        <v>0</v>
      </c>
      <c r="AO75" s="70">
        <f xml:space="preserve"> Metalkol_Model1!AO$614</f>
        <v>0</v>
      </c>
      <c r="AP75" s="70">
        <f xml:space="preserve"> Metalkol_Model1!AP$614</f>
        <v>0</v>
      </c>
      <c r="AQ75" s="70">
        <f xml:space="preserve"> Metalkol_Model1!AQ$614</f>
        <v>0</v>
      </c>
      <c r="AR75" s="70">
        <f xml:space="preserve"> Metalkol_Model1!AR$614</f>
        <v>0</v>
      </c>
      <c r="AS75" s="70">
        <f xml:space="preserve"> Metalkol_Model1!AS$614</f>
        <v>0</v>
      </c>
      <c r="AT75" s="70">
        <f xml:space="preserve"> Metalkol_Model1!AT$614</f>
        <v>0</v>
      </c>
      <c r="AU75" s="70">
        <f xml:space="preserve"> Metalkol_Model1!AU$614</f>
        <v>0</v>
      </c>
      <c r="AV75" s="70">
        <f xml:space="preserve"> Metalkol_Model1!AV$614</f>
        <v>0</v>
      </c>
    </row>
    <row r="76" spans="1:48" s="62" customFormat="1" ht="15" customHeight="1">
      <c r="A76" s="203"/>
      <c r="B76" s="203"/>
      <c r="C76" s="201"/>
      <c r="E76" s="62" t="s">
        <v>89</v>
      </c>
      <c r="G76" s="62" t="s">
        <v>29</v>
      </c>
      <c r="H76" s="18"/>
      <c r="J76" s="62">
        <f xml:space="preserve"> SUM(L76:AV76)</f>
        <v>12.731487068131825</v>
      </c>
      <c r="L76" s="62">
        <f t="shared" ref="L76:AV76" si="58" xml:space="preserve"> (L74 - L75) * (L74 &gt; 0)</f>
        <v>1.721E-2</v>
      </c>
      <c r="M76" s="62">
        <f t="shared" si="58"/>
        <v>0</v>
      </c>
      <c r="N76" s="62">
        <f t="shared" si="58"/>
        <v>0</v>
      </c>
      <c r="O76" s="62">
        <f t="shared" si="58"/>
        <v>0</v>
      </c>
      <c r="P76" s="62">
        <f t="shared" si="58"/>
        <v>8.2217434054290717E-2</v>
      </c>
      <c r="Q76" s="62">
        <f t="shared" si="58"/>
        <v>11.221803948342039</v>
      </c>
      <c r="R76" s="62">
        <f t="shared" si="58"/>
        <v>0</v>
      </c>
      <c r="S76" s="62">
        <f t="shared" si="58"/>
        <v>0</v>
      </c>
      <c r="T76" s="62">
        <f t="shared" si="58"/>
        <v>1.4102556857354944</v>
      </c>
      <c r="U76" s="62">
        <f t="shared" si="58"/>
        <v>0</v>
      </c>
      <c r="V76" s="62">
        <f t="shared" si="58"/>
        <v>0</v>
      </c>
      <c r="W76" s="62">
        <f t="shared" si="58"/>
        <v>0</v>
      </c>
      <c r="X76" s="62">
        <f t="shared" si="58"/>
        <v>0</v>
      </c>
      <c r="Y76" s="62">
        <f t="shared" si="58"/>
        <v>0</v>
      </c>
      <c r="Z76" s="62">
        <f t="shared" si="58"/>
        <v>0</v>
      </c>
      <c r="AA76" s="62">
        <f t="shared" si="58"/>
        <v>0</v>
      </c>
      <c r="AB76" s="62">
        <f t="shared" si="58"/>
        <v>0</v>
      </c>
      <c r="AC76" s="62">
        <f t="shared" si="58"/>
        <v>0</v>
      </c>
      <c r="AD76" s="62">
        <f t="shared" si="58"/>
        <v>0</v>
      </c>
      <c r="AE76" s="62">
        <f t="shared" si="58"/>
        <v>0</v>
      </c>
      <c r="AF76" s="62">
        <f t="shared" si="58"/>
        <v>0</v>
      </c>
      <c r="AG76" s="62">
        <f t="shared" si="58"/>
        <v>0</v>
      </c>
      <c r="AH76" s="62">
        <f t="shared" si="58"/>
        <v>0</v>
      </c>
      <c r="AI76" s="62">
        <f t="shared" si="58"/>
        <v>0</v>
      </c>
      <c r="AJ76" s="62">
        <f t="shared" si="58"/>
        <v>0</v>
      </c>
      <c r="AK76" s="62">
        <f t="shared" si="58"/>
        <v>0</v>
      </c>
      <c r="AL76" s="62">
        <f t="shared" si="58"/>
        <v>0</v>
      </c>
      <c r="AM76" s="62">
        <f t="shared" si="58"/>
        <v>0</v>
      </c>
      <c r="AN76" s="62">
        <f t="shared" si="58"/>
        <v>0</v>
      </c>
      <c r="AO76" s="62">
        <f t="shared" si="58"/>
        <v>0</v>
      </c>
      <c r="AP76" s="62">
        <f t="shared" si="58"/>
        <v>0</v>
      </c>
      <c r="AQ76" s="62">
        <f t="shared" si="58"/>
        <v>0</v>
      </c>
      <c r="AR76" s="62">
        <f t="shared" si="58"/>
        <v>0</v>
      </c>
      <c r="AS76" s="62">
        <f t="shared" si="58"/>
        <v>0</v>
      </c>
      <c r="AT76" s="62">
        <f t="shared" si="58"/>
        <v>0</v>
      </c>
      <c r="AU76" s="62">
        <f t="shared" si="58"/>
        <v>0</v>
      </c>
      <c r="AV76" s="62">
        <f t="shared" si="58"/>
        <v>0</v>
      </c>
    </row>
    <row r="77" spans="1:48" s="62" customFormat="1" ht="15" customHeight="1">
      <c r="A77" s="203"/>
      <c r="B77" s="203"/>
      <c r="C77" s="201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</row>
    <row r="78" spans="1:48" s="62" customFormat="1" ht="15" customHeight="1">
      <c r="A78" s="203"/>
      <c r="B78" s="203" t="s">
        <v>895</v>
      </c>
      <c r="C78" s="201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</row>
    <row r="79" spans="1:48" s="62" customFormat="1" ht="15" customHeight="1">
      <c r="A79" s="203"/>
      <c r="B79" s="203"/>
      <c r="C79" s="201"/>
      <c r="E79" s="62" t="str">
        <f t="shared" ref="E79:AV79" si="59" xml:space="preserve"> E$16</f>
        <v>IPR / IER</v>
      </c>
      <c r="F79" s="62" t="str">
        <f t="shared" si="59"/>
        <v>yes</v>
      </c>
      <c r="G79" s="62" t="str">
        <f t="shared" si="59"/>
        <v>$ mn</v>
      </c>
      <c r="H79" s="62">
        <f t="shared" si="59"/>
        <v>0</v>
      </c>
      <c r="I79" s="62">
        <f t="shared" si="59"/>
        <v>0</v>
      </c>
      <c r="J79" s="62">
        <f t="shared" si="59"/>
        <v>47.162497752632241</v>
      </c>
      <c r="K79" s="62">
        <f t="shared" si="59"/>
        <v>0</v>
      </c>
      <c r="L79" s="62">
        <f t="shared" si="59"/>
        <v>0.52249999999999996</v>
      </c>
      <c r="M79" s="62">
        <f t="shared" si="59"/>
        <v>0</v>
      </c>
      <c r="N79" s="62">
        <f t="shared" si="59"/>
        <v>0</v>
      </c>
      <c r="O79" s="62">
        <f t="shared" si="59"/>
        <v>0</v>
      </c>
      <c r="P79" s="62">
        <f t="shared" si="59"/>
        <v>4.474662303825589</v>
      </c>
      <c r="Q79" s="62">
        <f t="shared" si="59"/>
        <v>7.115985987170264</v>
      </c>
      <c r="R79" s="62">
        <f t="shared" si="59"/>
        <v>7.1538398266514456</v>
      </c>
      <c r="S79" s="62">
        <f t="shared" si="59"/>
        <v>16.863558634984948</v>
      </c>
      <c r="T79" s="62">
        <f t="shared" si="59"/>
        <v>11.031950999999999</v>
      </c>
      <c r="U79" s="62">
        <f t="shared" si="59"/>
        <v>0</v>
      </c>
      <c r="V79" s="62">
        <f t="shared" si="59"/>
        <v>0</v>
      </c>
      <c r="W79" s="62">
        <f t="shared" si="59"/>
        <v>0</v>
      </c>
      <c r="X79" s="62">
        <f t="shared" si="59"/>
        <v>0</v>
      </c>
      <c r="Y79" s="62">
        <f t="shared" si="59"/>
        <v>0</v>
      </c>
      <c r="Z79" s="62">
        <f t="shared" si="59"/>
        <v>0</v>
      </c>
      <c r="AA79" s="62">
        <f t="shared" si="59"/>
        <v>0</v>
      </c>
      <c r="AB79" s="62">
        <f t="shared" si="59"/>
        <v>0</v>
      </c>
      <c r="AC79" s="62">
        <f t="shared" si="59"/>
        <v>0</v>
      </c>
      <c r="AD79" s="62">
        <f t="shared" si="59"/>
        <v>0</v>
      </c>
      <c r="AE79" s="62">
        <f t="shared" si="59"/>
        <v>0</v>
      </c>
      <c r="AF79" s="62">
        <f t="shared" si="59"/>
        <v>0</v>
      </c>
      <c r="AG79" s="62">
        <f t="shared" si="59"/>
        <v>0</v>
      </c>
      <c r="AH79" s="62">
        <f t="shared" si="59"/>
        <v>0</v>
      </c>
      <c r="AI79" s="62">
        <f t="shared" si="59"/>
        <v>0</v>
      </c>
      <c r="AJ79" s="62">
        <f t="shared" si="59"/>
        <v>0</v>
      </c>
      <c r="AK79" s="62">
        <f t="shared" si="59"/>
        <v>0</v>
      </c>
      <c r="AL79" s="62">
        <f t="shared" si="59"/>
        <v>0</v>
      </c>
      <c r="AM79" s="62">
        <f t="shared" si="59"/>
        <v>0</v>
      </c>
      <c r="AN79" s="62">
        <f t="shared" si="59"/>
        <v>0</v>
      </c>
      <c r="AO79" s="62">
        <f t="shared" si="59"/>
        <v>0</v>
      </c>
      <c r="AP79" s="62">
        <f t="shared" si="59"/>
        <v>0</v>
      </c>
      <c r="AQ79" s="62">
        <f t="shared" si="59"/>
        <v>0</v>
      </c>
      <c r="AR79" s="62">
        <f t="shared" si="59"/>
        <v>0</v>
      </c>
      <c r="AS79" s="62">
        <f t="shared" si="59"/>
        <v>0</v>
      </c>
      <c r="AT79" s="62">
        <f t="shared" si="59"/>
        <v>0</v>
      </c>
      <c r="AU79" s="62">
        <f t="shared" si="59"/>
        <v>0</v>
      </c>
      <c r="AV79" s="62">
        <f t="shared" si="59"/>
        <v>0</v>
      </c>
    </row>
    <row r="80" spans="1:48" s="62" customFormat="1" ht="15" customHeight="1">
      <c r="A80" s="203"/>
      <c r="B80" s="203"/>
      <c r="C80" s="201"/>
      <c r="E80" s="70" t="str">
        <f xml:space="preserve"> Metalkol_Model1!E$365</f>
        <v>Operating costs, including Sens.</v>
      </c>
      <c r="F80" s="70">
        <f xml:space="preserve"> Metalkol_Model1!F$365</f>
        <v>0</v>
      </c>
      <c r="G80" s="70" t="str">
        <f xml:space="preserve"> Metalkol_Model1!G$365</f>
        <v>$ mn</v>
      </c>
      <c r="H80" s="70">
        <f xml:space="preserve"> Metalkol_Model1!H$365</f>
        <v>0</v>
      </c>
      <c r="I80" s="70">
        <f xml:space="preserve"> Metalkol_Model1!I$365</f>
        <v>0</v>
      </c>
      <c r="J80" s="70">
        <f xml:space="preserve"> Metalkol_Model1!J$365</f>
        <v>14098.626908392755</v>
      </c>
      <c r="K80" s="70">
        <f xml:space="preserve"> Metalkol_Model1!K$365</f>
        <v>0</v>
      </c>
      <c r="L80" s="70">
        <f xml:space="preserve"> Metalkol_Model1!L$365</f>
        <v>0</v>
      </c>
      <c r="M80" s="70">
        <f xml:space="preserve"> Metalkol_Model1!M$365</f>
        <v>0</v>
      </c>
      <c r="N80" s="70">
        <f xml:space="preserve"> Metalkol_Model1!N$365</f>
        <v>0</v>
      </c>
      <c r="O80" s="70">
        <f xml:space="preserve"> Metalkol_Model1!O$365</f>
        <v>0</v>
      </c>
      <c r="P80" s="70">
        <f xml:space="preserve"> Metalkol_Model1!P$365</f>
        <v>46.775406120166977</v>
      </c>
      <c r="Q80" s="70">
        <f xml:space="preserve"> Metalkol_Model1!Q$365</f>
        <v>565.92033188147025</v>
      </c>
      <c r="R80" s="70">
        <f xml:space="preserve"> Metalkol_Model1!R$365</f>
        <v>432.34975533242329</v>
      </c>
      <c r="S80" s="70">
        <f xml:space="preserve"> Metalkol_Model1!S$365</f>
        <v>563.86968273401851</v>
      </c>
      <c r="T80" s="70">
        <f xml:space="preserve"> Metalkol_Model1!T$365</f>
        <v>806.95561953116135</v>
      </c>
      <c r="U80" s="70">
        <f xml:space="preserve"> Metalkol_Model1!U$365</f>
        <v>980.90533653037528</v>
      </c>
      <c r="V80" s="70">
        <f xml:space="preserve"> Metalkol_Model1!V$365</f>
        <v>1045.4432218671402</v>
      </c>
      <c r="W80" s="70">
        <f xml:space="preserve"> Metalkol_Model1!W$365</f>
        <v>1199.2561401587307</v>
      </c>
      <c r="X80" s="70">
        <f xml:space="preserve"> Metalkol_Model1!X$365</f>
        <v>1235.2970237000936</v>
      </c>
      <c r="Y80" s="70">
        <f xml:space="preserve"> Metalkol_Model1!Y$365</f>
        <v>1125.1808936331668</v>
      </c>
      <c r="Z80" s="70">
        <f xml:space="preserve"> Metalkol_Model1!Z$365</f>
        <v>1134.5764767086639</v>
      </c>
      <c r="AA80" s="70">
        <f xml:space="preserve"> Metalkol_Model1!AA$365</f>
        <v>1178.5061704732586</v>
      </c>
      <c r="AB80" s="70">
        <f xml:space="preserve"> Metalkol_Model1!AB$365</f>
        <v>1177.3476157134869</v>
      </c>
      <c r="AC80" s="70">
        <f xml:space="preserve"> Metalkol_Model1!AC$365</f>
        <v>1274.2426194881346</v>
      </c>
      <c r="AD80" s="70">
        <f xml:space="preserve"> Metalkol_Model1!AD$365</f>
        <v>1332.0006145204636</v>
      </c>
      <c r="AE80" s="70">
        <f xml:space="preserve"> Metalkol_Model1!AE$365</f>
        <v>0</v>
      </c>
      <c r="AF80" s="70">
        <f xml:space="preserve"> Metalkol_Model1!AF$365</f>
        <v>0</v>
      </c>
      <c r="AG80" s="70">
        <f xml:space="preserve"> Metalkol_Model1!AG$365</f>
        <v>0</v>
      </c>
      <c r="AH80" s="70">
        <f xml:space="preserve"> Metalkol_Model1!AH$365</f>
        <v>0</v>
      </c>
      <c r="AI80" s="70">
        <f xml:space="preserve"> Metalkol_Model1!AI$365</f>
        <v>0</v>
      </c>
      <c r="AJ80" s="70">
        <f xml:space="preserve"> Metalkol_Model1!AJ$365</f>
        <v>0</v>
      </c>
      <c r="AK80" s="70">
        <f xml:space="preserve"> Metalkol_Model1!AK$365</f>
        <v>0</v>
      </c>
      <c r="AL80" s="70">
        <f xml:space="preserve"> Metalkol_Model1!AL$365</f>
        <v>0</v>
      </c>
      <c r="AM80" s="70">
        <f xml:space="preserve"> Metalkol_Model1!AM$365</f>
        <v>0</v>
      </c>
      <c r="AN80" s="70">
        <f xml:space="preserve"> Metalkol_Model1!AN$365</f>
        <v>0</v>
      </c>
      <c r="AO80" s="70">
        <f xml:space="preserve"> Metalkol_Model1!AO$365</f>
        <v>0</v>
      </c>
      <c r="AP80" s="70">
        <f xml:space="preserve"> Metalkol_Model1!AP$365</f>
        <v>0</v>
      </c>
      <c r="AQ80" s="70">
        <f xml:space="preserve"> Metalkol_Model1!AQ$365</f>
        <v>0</v>
      </c>
      <c r="AR80" s="70">
        <f xml:space="preserve"> Metalkol_Model1!AR$365</f>
        <v>0</v>
      </c>
      <c r="AS80" s="70">
        <f xml:space="preserve"> Metalkol_Model1!AS$365</f>
        <v>0</v>
      </c>
      <c r="AT80" s="70">
        <f xml:space="preserve"> Metalkol_Model1!AT$365</f>
        <v>0</v>
      </c>
      <c r="AU80" s="70">
        <f xml:space="preserve"> Metalkol_Model1!AU$365</f>
        <v>0</v>
      </c>
      <c r="AV80" s="70">
        <f xml:space="preserve"> Metalkol_Model1!AV$365</f>
        <v>0</v>
      </c>
    </row>
    <row r="81" spans="1:48" s="62" customFormat="1" ht="15" customHeight="1">
      <c r="A81" s="203"/>
      <c r="B81" s="203"/>
      <c r="C81" s="201"/>
      <c r="E81" s="62" t="s">
        <v>896</v>
      </c>
      <c r="G81" s="62" t="s">
        <v>26</v>
      </c>
      <c r="L81" s="606">
        <f t="shared" ref="L81:AV81" si="60" xml:space="preserve"> IFERROR(L79 / L80, 0)</f>
        <v>0</v>
      </c>
      <c r="M81" s="606">
        <f t="shared" si="60"/>
        <v>0</v>
      </c>
      <c r="N81" s="606">
        <f t="shared" si="60"/>
        <v>0</v>
      </c>
      <c r="O81" s="606">
        <f t="shared" si="60"/>
        <v>0</v>
      </c>
      <c r="P81" s="606">
        <f t="shared" si="60"/>
        <v>9.5662714126523885E-2</v>
      </c>
      <c r="Q81" s="606">
        <f t="shared" si="60"/>
        <v>1.2574183301582949E-2</v>
      </c>
      <c r="R81" s="606">
        <f t="shared" si="60"/>
        <v>1.6546418121946273E-2</v>
      </c>
      <c r="S81" s="606">
        <f t="shared" si="60"/>
        <v>2.9906836901071009E-2</v>
      </c>
      <c r="T81" s="606">
        <f t="shared" si="60"/>
        <v>1.3671075252452579E-2</v>
      </c>
      <c r="U81" s="606">
        <f t="shared" si="60"/>
        <v>0</v>
      </c>
      <c r="V81" s="606">
        <f t="shared" si="60"/>
        <v>0</v>
      </c>
      <c r="W81" s="606">
        <f t="shared" si="60"/>
        <v>0</v>
      </c>
      <c r="X81" s="606">
        <f t="shared" si="60"/>
        <v>0</v>
      </c>
      <c r="Y81" s="606">
        <f t="shared" si="60"/>
        <v>0</v>
      </c>
      <c r="Z81" s="606">
        <f t="shared" si="60"/>
        <v>0</v>
      </c>
      <c r="AA81" s="606">
        <f t="shared" si="60"/>
        <v>0</v>
      </c>
      <c r="AB81" s="606">
        <f t="shared" si="60"/>
        <v>0</v>
      </c>
      <c r="AC81" s="606">
        <f t="shared" si="60"/>
        <v>0</v>
      </c>
      <c r="AD81" s="606">
        <f t="shared" si="60"/>
        <v>0</v>
      </c>
      <c r="AE81" s="606">
        <f t="shared" si="60"/>
        <v>0</v>
      </c>
      <c r="AF81" s="606">
        <f t="shared" si="60"/>
        <v>0</v>
      </c>
      <c r="AG81" s="606">
        <f t="shared" si="60"/>
        <v>0</v>
      </c>
      <c r="AH81" s="606">
        <f t="shared" si="60"/>
        <v>0</v>
      </c>
      <c r="AI81" s="606">
        <f t="shared" si="60"/>
        <v>0</v>
      </c>
      <c r="AJ81" s="606">
        <f t="shared" si="60"/>
        <v>0</v>
      </c>
      <c r="AK81" s="606">
        <f t="shared" si="60"/>
        <v>0</v>
      </c>
      <c r="AL81" s="606">
        <f t="shared" si="60"/>
        <v>0</v>
      </c>
      <c r="AM81" s="606">
        <f t="shared" si="60"/>
        <v>0</v>
      </c>
      <c r="AN81" s="606">
        <f t="shared" si="60"/>
        <v>0</v>
      </c>
      <c r="AO81" s="606">
        <f t="shared" si="60"/>
        <v>0</v>
      </c>
      <c r="AP81" s="606">
        <f t="shared" si="60"/>
        <v>0</v>
      </c>
      <c r="AQ81" s="606">
        <f t="shared" si="60"/>
        <v>0</v>
      </c>
      <c r="AR81" s="606">
        <f t="shared" si="60"/>
        <v>0</v>
      </c>
      <c r="AS81" s="606">
        <f t="shared" si="60"/>
        <v>0</v>
      </c>
      <c r="AT81" s="606">
        <f t="shared" si="60"/>
        <v>0</v>
      </c>
      <c r="AU81" s="606">
        <f t="shared" si="60"/>
        <v>0</v>
      </c>
      <c r="AV81" s="606">
        <f t="shared" si="60"/>
        <v>0</v>
      </c>
    </row>
    <row r="82" spans="1:48" s="62" customFormat="1" ht="15" customHeight="1">
      <c r="A82" s="203"/>
      <c r="B82" s="203"/>
      <c r="C82" s="201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</row>
    <row r="83" spans="1:48" s="62" customFormat="1" ht="15" customHeight="1">
      <c r="A83" s="203"/>
      <c r="B83" s="203"/>
      <c r="C83" s="201"/>
      <c r="E83" s="186" t="str">
        <f xml:space="preserve"> InputsCon!E$136</f>
        <v>Payroll taxes as % of opex</v>
      </c>
      <c r="F83" s="186">
        <f xml:space="preserve"> InputsCon!F$136</f>
        <v>0.04</v>
      </c>
      <c r="G83" s="186" t="str">
        <f xml:space="preserve"> InputsCon!G$136</f>
        <v xml:space="preserve"> %</v>
      </c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</row>
    <row r="84" spans="1:48" s="62" customFormat="1" ht="15" customHeight="1">
      <c r="A84" s="203"/>
      <c r="B84" s="203"/>
      <c r="C84" s="201"/>
      <c r="E84" s="186"/>
      <c r="F84" s="186"/>
      <c r="G84" s="186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</row>
    <row r="85" spans="1:48" s="62" customFormat="1" ht="15" customHeight="1">
      <c r="A85" s="203"/>
      <c r="B85" s="203"/>
      <c r="C85" s="201" t="s">
        <v>906</v>
      </c>
      <c r="E85" s="186"/>
      <c r="F85" s="186"/>
      <c r="G85" s="186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</row>
    <row r="86" spans="1:48" s="62" customFormat="1" ht="15" customHeight="1">
      <c r="A86" s="203"/>
      <c r="B86" s="203"/>
      <c r="C86" s="201"/>
      <c r="E86" s="62" t="str">
        <f t="shared" ref="E86:AV86" si="61" xml:space="preserve"> E$16</f>
        <v>IPR / IER</v>
      </c>
      <c r="F86" s="62" t="str">
        <f t="shared" si="61"/>
        <v>yes</v>
      </c>
      <c r="G86" s="62" t="str">
        <f t="shared" si="61"/>
        <v>$ mn</v>
      </c>
      <c r="H86" s="62">
        <f t="shared" si="61"/>
        <v>0</v>
      </c>
      <c r="I86" s="62">
        <f t="shared" si="61"/>
        <v>0</v>
      </c>
      <c r="J86" s="62">
        <f t="shared" si="61"/>
        <v>47.162497752632241</v>
      </c>
      <c r="K86" s="62">
        <f t="shared" si="61"/>
        <v>0</v>
      </c>
      <c r="L86" s="62">
        <f t="shared" si="61"/>
        <v>0.52249999999999996</v>
      </c>
      <c r="M86" s="62">
        <f t="shared" si="61"/>
        <v>0</v>
      </c>
      <c r="N86" s="62">
        <f t="shared" si="61"/>
        <v>0</v>
      </c>
      <c r="O86" s="62">
        <f t="shared" si="61"/>
        <v>0</v>
      </c>
      <c r="P86" s="62">
        <f t="shared" si="61"/>
        <v>4.474662303825589</v>
      </c>
      <c r="Q86" s="62">
        <f t="shared" si="61"/>
        <v>7.115985987170264</v>
      </c>
      <c r="R86" s="62">
        <f t="shared" si="61"/>
        <v>7.1538398266514456</v>
      </c>
      <c r="S86" s="62">
        <f t="shared" si="61"/>
        <v>16.863558634984948</v>
      </c>
      <c r="T86" s="62">
        <f t="shared" si="61"/>
        <v>11.031950999999999</v>
      </c>
      <c r="U86" s="62">
        <f t="shared" si="61"/>
        <v>0</v>
      </c>
      <c r="V86" s="62">
        <f t="shared" si="61"/>
        <v>0</v>
      </c>
      <c r="W86" s="62">
        <f t="shared" si="61"/>
        <v>0</v>
      </c>
      <c r="X86" s="62">
        <f t="shared" si="61"/>
        <v>0</v>
      </c>
      <c r="Y86" s="62">
        <f t="shared" si="61"/>
        <v>0</v>
      </c>
      <c r="Z86" s="62">
        <f t="shared" si="61"/>
        <v>0</v>
      </c>
      <c r="AA86" s="62">
        <f t="shared" si="61"/>
        <v>0</v>
      </c>
      <c r="AB86" s="62">
        <f t="shared" si="61"/>
        <v>0</v>
      </c>
      <c r="AC86" s="62">
        <f t="shared" si="61"/>
        <v>0</v>
      </c>
      <c r="AD86" s="62">
        <f t="shared" si="61"/>
        <v>0</v>
      </c>
      <c r="AE86" s="62">
        <f t="shared" si="61"/>
        <v>0</v>
      </c>
      <c r="AF86" s="62">
        <f t="shared" si="61"/>
        <v>0</v>
      </c>
      <c r="AG86" s="62">
        <f t="shared" si="61"/>
        <v>0</v>
      </c>
      <c r="AH86" s="62">
        <f t="shared" si="61"/>
        <v>0</v>
      </c>
      <c r="AI86" s="62">
        <f t="shared" si="61"/>
        <v>0</v>
      </c>
      <c r="AJ86" s="62">
        <f t="shared" si="61"/>
        <v>0</v>
      </c>
      <c r="AK86" s="62">
        <f t="shared" si="61"/>
        <v>0</v>
      </c>
      <c r="AL86" s="62">
        <f t="shared" si="61"/>
        <v>0</v>
      </c>
      <c r="AM86" s="62">
        <f t="shared" si="61"/>
        <v>0</v>
      </c>
      <c r="AN86" s="62">
        <f t="shared" si="61"/>
        <v>0</v>
      </c>
      <c r="AO86" s="62">
        <f t="shared" si="61"/>
        <v>0</v>
      </c>
      <c r="AP86" s="62">
        <f t="shared" si="61"/>
        <v>0</v>
      </c>
      <c r="AQ86" s="62">
        <f t="shared" si="61"/>
        <v>0</v>
      </c>
      <c r="AR86" s="62">
        <f t="shared" si="61"/>
        <v>0</v>
      </c>
      <c r="AS86" s="62">
        <f t="shared" si="61"/>
        <v>0</v>
      </c>
      <c r="AT86" s="62">
        <f t="shared" si="61"/>
        <v>0</v>
      </c>
      <c r="AU86" s="62">
        <f t="shared" si="61"/>
        <v>0</v>
      </c>
      <c r="AV86" s="62">
        <f t="shared" si="61"/>
        <v>0</v>
      </c>
    </row>
    <row r="87" spans="1:48" s="62" customFormat="1" ht="15" customHeight="1">
      <c r="A87" s="203"/>
      <c r="B87" s="203"/>
      <c r="C87" s="201"/>
      <c r="E87" s="70" t="str">
        <f xml:space="preserve"> Metalkol_Model1!E$649</f>
        <v>Payroll taxes (included in costs)</v>
      </c>
      <c r="F87" s="70">
        <f xml:space="preserve"> Metalkol_Model1!F$649</f>
        <v>0</v>
      </c>
      <c r="G87" s="70" t="str">
        <f xml:space="preserve"> Metalkol_Model1!G$649</f>
        <v>$ mn</v>
      </c>
      <c r="H87" s="70">
        <f xml:space="preserve"> Metalkol_Model1!H$649</f>
        <v>0</v>
      </c>
      <c r="I87" s="70">
        <f xml:space="preserve"> Metalkol_Model1!I$649</f>
        <v>0</v>
      </c>
      <c r="J87" s="70">
        <f xml:space="preserve"> Metalkol_Model1!J$649</f>
        <v>198.14906260966347</v>
      </c>
      <c r="K87" s="70">
        <f xml:space="preserve"> Metalkol_Model1!K$649</f>
        <v>0</v>
      </c>
      <c r="L87" s="70">
        <f xml:space="preserve"> Metalkol_Model1!L$649</f>
        <v>0</v>
      </c>
      <c r="M87" s="70">
        <f xml:space="preserve"> Metalkol_Model1!M$649</f>
        <v>0</v>
      </c>
      <c r="N87" s="70">
        <f xml:space="preserve"> Metalkol_Model1!N$649</f>
        <v>0</v>
      </c>
      <c r="O87" s="70">
        <f xml:space="preserve"> Metalkol_Model1!O$649</f>
        <v>0</v>
      </c>
      <c r="P87" s="70">
        <f xml:space="preserve"> Metalkol_Model1!P$649</f>
        <v>0</v>
      </c>
      <c r="Q87" s="70">
        <f xml:space="preserve"> Metalkol_Model1!Q$649</f>
        <v>0</v>
      </c>
      <c r="R87" s="70">
        <f xml:space="preserve"> Metalkol_Model1!R$649</f>
        <v>8.5400000000000009</v>
      </c>
      <c r="S87" s="70">
        <f xml:space="preserve"> Metalkol_Model1!S$649</f>
        <v>10.64</v>
      </c>
      <c r="T87" s="70">
        <f xml:space="preserve"> Metalkol_Model1!T$649</f>
        <v>14.1</v>
      </c>
      <c r="U87" s="70">
        <f xml:space="preserve"> Metalkol_Model1!U$649</f>
        <v>14.485831425574377</v>
      </c>
      <c r="V87" s="70">
        <f xml:space="preserve"> Metalkol_Model1!V$649</f>
        <v>15.211281323399248</v>
      </c>
      <c r="W87" s="70">
        <f xml:space="preserve"> Metalkol_Model1!W$649</f>
        <v>15.70909013691362</v>
      </c>
      <c r="X87" s="70">
        <f xml:space="preserve"> Metalkol_Model1!X$649</f>
        <v>16.018442795506687</v>
      </c>
      <c r="Y87" s="70">
        <f xml:space="preserve"> Metalkol_Model1!Y$649</f>
        <v>16.337476745333156</v>
      </c>
      <c r="Z87" s="70">
        <f xml:space="preserve"> Metalkol_Model1!Z$649</f>
        <v>16.756732538326823</v>
      </c>
      <c r="AA87" s="70">
        <f xml:space="preserve"> Metalkol_Model1!AA$649</f>
        <v>17.024409072806872</v>
      </c>
      <c r="AB87" s="70">
        <f xml:space="preserve"> Metalkol_Model1!AB$649</f>
        <v>17.332453605128741</v>
      </c>
      <c r="AC87" s="70">
        <f xml:space="preserve"> Metalkol_Model1!AC$649</f>
        <v>17.944513126258659</v>
      </c>
      <c r="AD87" s="70">
        <f xml:space="preserve"> Metalkol_Model1!AD$649</f>
        <v>18.048831840415318</v>
      </c>
      <c r="AE87" s="70">
        <f xml:space="preserve"> Metalkol_Model1!AE$649</f>
        <v>0</v>
      </c>
      <c r="AF87" s="70">
        <f xml:space="preserve"> Metalkol_Model1!AF$649</f>
        <v>0</v>
      </c>
      <c r="AG87" s="70">
        <f xml:space="preserve"> Metalkol_Model1!AG$649</f>
        <v>0</v>
      </c>
      <c r="AH87" s="70">
        <f xml:space="preserve"> Metalkol_Model1!AH$649</f>
        <v>0</v>
      </c>
      <c r="AI87" s="70">
        <f xml:space="preserve"> Metalkol_Model1!AI$649</f>
        <v>0</v>
      </c>
      <c r="AJ87" s="70">
        <f xml:space="preserve"> Metalkol_Model1!AJ$649</f>
        <v>0</v>
      </c>
      <c r="AK87" s="70">
        <f xml:space="preserve"> Metalkol_Model1!AK$649</f>
        <v>0</v>
      </c>
      <c r="AL87" s="70">
        <f xml:space="preserve"> Metalkol_Model1!AL$649</f>
        <v>0</v>
      </c>
      <c r="AM87" s="70">
        <f xml:space="preserve"> Metalkol_Model1!AM$649</f>
        <v>0</v>
      </c>
      <c r="AN87" s="70">
        <f xml:space="preserve"> Metalkol_Model1!AN$649</f>
        <v>0</v>
      </c>
      <c r="AO87" s="70">
        <f xml:space="preserve"> Metalkol_Model1!AO$649</f>
        <v>0</v>
      </c>
      <c r="AP87" s="70">
        <f xml:space="preserve"> Metalkol_Model1!AP$649</f>
        <v>0</v>
      </c>
      <c r="AQ87" s="70">
        <f xml:space="preserve"> Metalkol_Model1!AQ$649</f>
        <v>0</v>
      </c>
      <c r="AR87" s="70">
        <f xml:space="preserve"> Metalkol_Model1!AR$649</f>
        <v>0</v>
      </c>
      <c r="AS87" s="70">
        <f xml:space="preserve"> Metalkol_Model1!AS$649</f>
        <v>0</v>
      </c>
      <c r="AT87" s="70">
        <f xml:space="preserve"> Metalkol_Model1!AT$649</f>
        <v>0</v>
      </c>
      <c r="AU87" s="70">
        <f xml:space="preserve"> Metalkol_Model1!AU$649</f>
        <v>0</v>
      </c>
      <c r="AV87" s="70">
        <f xml:space="preserve"> Metalkol_Model1!AV$649</f>
        <v>0</v>
      </c>
    </row>
    <row r="88" spans="1:48" s="62" customFormat="1" ht="15" customHeight="1">
      <c r="A88" s="203"/>
      <c r="B88" s="203"/>
      <c r="C88" s="201"/>
      <c r="E88" s="62" t="s">
        <v>89</v>
      </c>
      <c r="G88" s="62" t="s">
        <v>29</v>
      </c>
      <c r="H88" s="18"/>
      <c r="J88" s="62">
        <f xml:space="preserve"> SUM(L88:AV88)</f>
        <v>13.882497752632242</v>
      </c>
      <c r="L88" s="62">
        <f t="shared" ref="L88:AV88" si="62" xml:space="preserve"> (L86 - L87) * (L86 &gt; 0)</f>
        <v>0.52249999999999996</v>
      </c>
      <c r="M88" s="62">
        <f t="shared" si="62"/>
        <v>0</v>
      </c>
      <c r="N88" s="62">
        <f t="shared" si="62"/>
        <v>0</v>
      </c>
      <c r="O88" s="62">
        <f t="shared" si="62"/>
        <v>0</v>
      </c>
      <c r="P88" s="62">
        <f t="shared" si="62"/>
        <v>4.474662303825589</v>
      </c>
      <c r="Q88" s="62">
        <f t="shared" si="62"/>
        <v>7.115985987170264</v>
      </c>
      <c r="R88" s="62">
        <f t="shared" si="62"/>
        <v>-1.3861601733485553</v>
      </c>
      <c r="S88" s="62">
        <f t="shared" si="62"/>
        <v>6.223558634984947</v>
      </c>
      <c r="T88" s="62">
        <f t="shared" si="62"/>
        <v>-3.0680490000000002</v>
      </c>
      <c r="U88" s="62">
        <f t="shared" si="62"/>
        <v>0</v>
      </c>
      <c r="V88" s="62">
        <f t="shared" si="62"/>
        <v>0</v>
      </c>
      <c r="W88" s="62">
        <f t="shared" si="62"/>
        <v>0</v>
      </c>
      <c r="X88" s="62">
        <f t="shared" si="62"/>
        <v>0</v>
      </c>
      <c r="Y88" s="62">
        <f t="shared" si="62"/>
        <v>0</v>
      </c>
      <c r="Z88" s="62">
        <f t="shared" si="62"/>
        <v>0</v>
      </c>
      <c r="AA88" s="62">
        <f t="shared" si="62"/>
        <v>0</v>
      </c>
      <c r="AB88" s="62">
        <f t="shared" si="62"/>
        <v>0</v>
      </c>
      <c r="AC88" s="62">
        <f t="shared" si="62"/>
        <v>0</v>
      </c>
      <c r="AD88" s="62">
        <f t="shared" si="62"/>
        <v>0</v>
      </c>
      <c r="AE88" s="62">
        <f t="shared" si="62"/>
        <v>0</v>
      </c>
      <c r="AF88" s="62">
        <f t="shared" si="62"/>
        <v>0</v>
      </c>
      <c r="AG88" s="62">
        <f t="shared" si="62"/>
        <v>0</v>
      </c>
      <c r="AH88" s="62">
        <f t="shared" si="62"/>
        <v>0</v>
      </c>
      <c r="AI88" s="62">
        <f t="shared" si="62"/>
        <v>0</v>
      </c>
      <c r="AJ88" s="62">
        <f t="shared" si="62"/>
        <v>0</v>
      </c>
      <c r="AK88" s="62">
        <f t="shared" si="62"/>
        <v>0</v>
      </c>
      <c r="AL88" s="62">
        <f t="shared" si="62"/>
        <v>0</v>
      </c>
      <c r="AM88" s="62">
        <f t="shared" si="62"/>
        <v>0</v>
      </c>
      <c r="AN88" s="62">
        <f t="shared" si="62"/>
        <v>0</v>
      </c>
      <c r="AO88" s="62">
        <f t="shared" si="62"/>
        <v>0</v>
      </c>
      <c r="AP88" s="62">
        <f t="shared" si="62"/>
        <v>0</v>
      </c>
      <c r="AQ88" s="62">
        <f t="shared" si="62"/>
        <v>0</v>
      </c>
      <c r="AR88" s="62">
        <f t="shared" si="62"/>
        <v>0</v>
      </c>
      <c r="AS88" s="62">
        <f t="shared" si="62"/>
        <v>0</v>
      </c>
      <c r="AT88" s="62">
        <f t="shared" si="62"/>
        <v>0</v>
      </c>
      <c r="AU88" s="62">
        <f t="shared" si="62"/>
        <v>0</v>
      </c>
      <c r="AV88" s="62">
        <f t="shared" si="62"/>
        <v>0</v>
      </c>
    </row>
    <row r="89" spans="1:48" s="62" customFormat="1" ht="15" customHeight="1">
      <c r="A89" s="203"/>
      <c r="B89" s="203"/>
      <c r="C89" s="201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</row>
    <row r="90" spans="1:48" s="62" customFormat="1" ht="15" customHeight="1">
      <c r="A90" s="203"/>
      <c r="B90" s="203" t="s">
        <v>908</v>
      </c>
      <c r="C90" s="201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</row>
    <row r="91" spans="1:48" s="62" customFormat="1" ht="15" customHeight="1">
      <c r="A91" s="203"/>
      <c r="B91" s="203"/>
      <c r="C91" s="201"/>
      <c r="E91" s="32" t="str">
        <f t="shared" ref="E91:AV91" si="63" xml:space="preserve"> E$12</f>
        <v>Dividendes SOC</v>
      </c>
      <c r="F91" s="32" t="str">
        <f t="shared" si="63"/>
        <v>yes</v>
      </c>
      <c r="G91" s="62" t="str">
        <f t="shared" si="63"/>
        <v>$ mn</v>
      </c>
      <c r="H91" s="62">
        <f t="shared" si="63"/>
        <v>0</v>
      </c>
      <c r="I91" s="62">
        <f t="shared" si="63"/>
        <v>0</v>
      </c>
      <c r="J91" s="62">
        <f t="shared" si="63"/>
        <v>15.019173439999999</v>
      </c>
      <c r="K91" s="62">
        <f t="shared" si="63"/>
        <v>0</v>
      </c>
      <c r="L91" s="62">
        <f t="shared" si="63"/>
        <v>0</v>
      </c>
      <c r="M91" s="62">
        <f t="shared" si="63"/>
        <v>0</v>
      </c>
      <c r="N91" s="62">
        <f t="shared" si="63"/>
        <v>0</v>
      </c>
      <c r="O91" s="62">
        <f t="shared" si="63"/>
        <v>0</v>
      </c>
      <c r="P91" s="62">
        <f t="shared" si="63"/>
        <v>0</v>
      </c>
      <c r="Q91" s="62">
        <f t="shared" si="63"/>
        <v>0</v>
      </c>
      <c r="R91" s="62">
        <f t="shared" si="63"/>
        <v>0</v>
      </c>
      <c r="S91" s="62">
        <f t="shared" si="63"/>
        <v>10.99545444</v>
      </c>
      <c r="T91" s="62">
        <f t="shared" si="63"/>
        <v>4.0237189999999998</v>
      </c>
      <c r="U91" s="62">
        <f t="shared" si="63"/>
        <v>0</v>
      </c>
      <c r="V91" s="62">
        <f t="shared" si="63"/>
        <v>0</v>
      </c>
      <c r="W91" s="62">
        <f t="shared" si="63"/>
        <v>0</v>
      </c>
      <c r="X91" s="62">
        <f t="shared" si="63"/>
        <v>0</v>
      </c>
      <c r="Y91" s="62">
        <f t="shared" si="63"/>
        <v>0</v>
      </c>
      <c r="Z91" s="62">
        <f t="shared" si="63"/>
        <v>0</v>
      </c>
      <c r="AA91" s="62">
        <f t="shared" si="63"/>
        <v>0</v>
      </c>
      <c r="AB91" s="62">
        <f t="shared" si="63"/>
        <v>0</v>
      </c>
      <c r="AC91" s="62">
        <f t="shared" si="63"/>
        <v>0</v>
      </c>
      <c r="AD91" s="62">
        <f t="shared" si="63"/>
        <v>0</v>
      </c>
      <c r="AE91" s="62">
        <f t="shared" si="63"/>
        <v>0</v>
      </c>
      <c r="AF91" s="62">
        <f t="shared" si="63"/>
        <v>0</v>
      </c>
      <c r="AG91" s="62">
        <f t="shared" si="63"/>
        <v>0</v>
      </c>
      <c r="AH91" s="62">
        <f t="shared" si="63"/>
        <v>0</v>
      </c>
      <c r="AI91" s="62">
        <f t="shared" si="63"/>
        <v>0</v>
      </c>
      <c r="AJ91" s="62">
        <f t="shared" si="63"/>
        <v>0</v>
      </c>
      <c r="AK91" s="62">
        <f t="shared" si="63"/>
        <v>0</v>
      </c>
      <c r="AL91" s="62">
        <f t="shared" si="63"/>
        <v>0</v>
      </c>
      <c r="AM91" s="62">
        <f t="shared" si="63"/>
        <v>0</v>
      </c>
      <c r="AN91" s="62">
        <f t="shared" si="63"/>
        <v>0</v>
      </c>
      <c r="AO91" s="62">
        <f t="shared" si="63"/>
        <v>0</v>
      </c>
      <c r="AP91" s="62">
        <f t="shared" si="63"/>
        <v>0</v>
      </c>
      <c r="AQ91" s="62">
        <f t="shared" si="63"/>
        <v>0</v>
      </c>
      <c r="AR91" s="62">
        <f t="shared" si="63"/>
        <v>0</v>
      </c>
      <c r="AS91" s="62">
        <f t="shared" si="63"/>
        <v>0</v>
      </c>
      <c r="AT91" s="62">
        <f t="shared" si="63"/>
        <v>0</v>
      </c>
      <c r="AU91" s="62">
        <f t="shared" si="63"/>
        <v>0</v>
      </c>
      <c r="AV91" s="62">
        <f t="shared" si="63"/>
        <v>0</v>
      </c>
    </row>
    <row r="92" spans="1:48" s="62" customFormat="1" ht="15" customHeight="1">
      <c r="A92" s="203"/>
      <c r="B92" s="203"/>
      <c r="C92" s="201"/>
      <c r="E92" s="70" t="str">
        <f xml:space="preserve"> Metalkol_Model1!E$750</f>
        <v>Gecamines share of net cashflows after tax</v>
      </c>
      <c r="F92" s="70">
        <f xml:space="preserve"> Metalkol_Model1!F$750</f>
        <v>0</v>
      </c>
      <c r="G92" s="70" t="str">
        <f xml:space="preserve"> Metalkol_Model1!G$750</f>
        <v>$ mn</v>
      </c>
      <c r="H92" s="70">
        <f xml:space="preserve"> Metalkol_Model1!H$750</f>
        <v>0</v>
      </c>
      <c r="I92" s="70">
        <f xml:space="preserve"> Metalkol_Model1!I$750</f>
        <v>0</v>
      </c>
      <c r="J92" s="70">
        <f xml:space="preserve"> Metalkol_Model1!J$750</f>
        <v>364.12746939231874</v>
      </c>
      <c r="K92" s="70">
        <f xml:space="preserve"> Metalkol_Model1!K$750</f>
        <v>0</v>
      </c>
      <c r="L92" s="70">
        <f xml:space="preserve"> Metalkol_Model1!L$750</f>
        <v>0</v>
      </c>
      <c r="M92" s="70">
        <f xml:space="preserve"> Metalkol_Model1!M$750</f>
        <v>0</v>
      </c>
      <c r="N92" s="70">
        <f xml:space="preserve"> Metalkol_Model1!N$750</f>
        <v>0</v>
      </c>
      <c r="O92" s="70">
        <f xml:space="preserve"> Metalkol_Model1!O$750</f>
        <v>0</v>
      </c>
      <c r="P92" s="70">
        <f xml:space="preserve"> Metalkol_Model1!P$750</f>
        <v>-47.347882439923964</v>
      </c>
      <c r="Q92" s="70">
        <f xml:space="preserve"> Metalkol_Model1!Q$750</f>
        <v>133.99765846001051</v>
      </c>
      <c r="R92" s="70">
        <f xml:space="preserve"> Metalkol_Model1!R$750</f>
        <v>18.767662695506274</v>
      </c>
      <c r="S92" s="70">
        <f xml:space="preserve"> Metalkol_Model1!S$750</f>
        <v>61.844618317974657</v>
      </c>
      <c r="T92" s="70">
        <f xml:space="preserve"> Metalkol_Model1!T$750</f>
        <v>58.823318269327025</v>
      </c>
      <c r="U92" s="70">
        <f xml:space="preserve"> Metalkol_Model1!U$750</f>
        <v>25.046399169880939</v>
      </c>
      <c r="V92" s="70">
        <f xml:space="preserve"> Metalkol_Model1!V$750</f>
        <v>12.667323034364081</v>
      </c>
      <c r="W92" s="70">
        <f xml:space="preserve"> Metalkol_Model1!W$750</f>
        <v>18.126757907577769</v>
      </c>
      <c r="X92" s="70">
        <f xml:space="preserve"> Metalkol_Model1!X$750</f>
        <v>10.904829776438389</v>
      </c>
      <c r="Y92" s="70">
        <f xml:space="preserve"> Metalkol_Model1!Y$750</f>
        <v>4.3957202432760596</v>
      </c>
      <c r="Z92" s="70">
        <f xml:space="preserve"> Metalkol_Model1!Z$750</f>
        <v>-1.312764349281605</v>
      </c>
      <c r="AA92" s="70">
        <f xml:space="preserve"> Metalkol_Model1!AA$750</f>
        <v>-8.8000696341495779</v>
      </c>
      <c r="AB92" s="70">
        <f xml:space="preserve"> Metalkol_Model1!AB$750</f>
        <v>9.9060564549564685</v>
      </c>
      <c r="AC92" s="70">
        <f xml:space="preserve"> Metalkol_Model1!AC$750</f>
        <v>32.703591485157972</v>
      </c>
      <c r="AD92" s="70">
        <f xml:space="preserve"> Metalkol_Model1!AD$750</f>
        <v>34.404250001203785</v>
      </c>
      <c r="AE92" s="70">
        <f xml:space="preserve"> Metalkol_Model1!AE$750</f>
        <v>0</v>
      </c>
      <c r="AF92" s="70">
        <f xml:space="preserve"> Metalkol_Model1!AF$750</f>
        <v>0</v>
      </c>
      <c r="AG92" s="70">
        <f xml:space="preserve"> Metalkol_Model1!AG$750</f>
        <v>0</v>
      </c>
      <c r="AH92" s="70">
        <f xml:space="preserve"> Metalkol_Model1!AH$750</f>
        <v>0</v>
      </c>
      <c r="AI92" s="70">
        <f xml:space="preserve"> Metalkol_Model1!AI$750</f>
        <v>0</v>
      </c>
      <c r="AJ92" s="70">
        <f xml:space="preserve"> Metalkol_Model1!AJ$750</f>
        <v>0</v>
      </c>
      <c r="AK92" s="70">
        <f xml:space="preserve"> Metalkol_Model1!AK$750</f>
        <v>0</v>
      </c>
      <c r="AL92" s="70">
        <f xml:space="preserve"> Metalkol_Model1!AL$750</f>
        <v>0</v>
      </c>
      <c r="AM92" s="70">
        <f xml:space="preserve"> Metalkol_Model1!AM$750</f>
        <v>0</v>
      </c>
      <c r="AN92" s="70">
        <f xml:space="preserve"> Metalkol_Model1!AN$750</f>
        <v>0</v>
      </c>
      <c r="AO92" s="70">
        <f xml:space="preserve"> Metalkol_Model1!AO$750</f>
        <v>0</v>
      </c>
      <c r="AP92" s="70">
        <f xml:space="preserve"> Metalkol_Model1!AP$750</f>
        <v>0</v>
      </c>
      <c r="AQ92" s="70">
        <f xml:space="preserve"> Metalkol_Model1!AQ$750</f>
        <v>0</v>
      </c>
      <c r="AR92" s="70">
        <f xml:space="preserve"> Metalkol_Model1!AR$750</f>
        <v>0</v>
      </c>
      <c r="AS92" s="70">
        <f xml:space="preserve"> Metalkol_Model1!AS$750</f>
        <v>0</v>
      </c>
      <c r="AT92" s="70">
        <f xml:space="preserve"> Metalkol_Model1!AT$750</f>
        <v>0</v>
      </c>
      <c r="AU92" s="70">
        <f xml:space="preserve"> Metalkol_Model1!AU$750</f>
        <v>0</v>
      </c>
      <c r="AV92" s="70">
        <f xml:space="preserve"> Metalkol_Model1!AV$750</f>
        <v>0</v>
      </c>
    </row>
    <row r="93" spans="1:48" s="62" customFormat="1" ht="15" customHeight="1">
      <c r="A93" s="203"/>
      <c r="B93" s="203"/>
      <c r="C93" s="201"/>
      <c r="E93" s="62" t="s">
        <v>89</v>
      </c>
      <c r="G93" s="62" t="s">
        <v>29</v>
      </c>
      <c r="H93" s="18"/>
      <c r="J93" s="62">
        <f xml:space="preserve"> SUM(L93:AV93)</f>
        <v>-105.64876314730168</v>
      </c>
      <c r="L93" s="62">
        <f t="shared" ref="L93:AV93" si="64" xml:space="preserve"> (L91 - L92) * (L91 &gt; 0)</f>
        <v>0</v>
      </c>
      <c r="M93" s="62">
        <f t="shared" si="64"/>
        <v>0</v>
      </c>
      <c r="N93" s="62">
        <f t="shared" si="64"/>
        <v>0</v>
      </c>
      <c r="O93" s="62">
        <f t="shared" si="64"/>
        <v>0</v>
      </c>
      <c r="P93" s="62">
        <f t="shared" si="64"/>
        <v>0</v>
      </c>
      <c r="Q93" s="62">
        <f t="shared" si="64"/>
        <v>0</v>
      </c>
      <c r="R93" s="62">
        <f t="shared" si="64"/>
        <v>0</v>
      </c>
      <c r="S93" s="62">
        <f t="shared" si="64"/>
        <v>-50.849163877974661</v>
      </c>
      <c r="T93" s="62">
        <f t="shared" si="64"/>
        <v>-54.799599269327025</v>
      </c>
      <c r="U93" s="62">
        <f t="shared" si="64"/>
        <v>0</v>
      </c>
      <c r="V93" s="62">
        <f t="shared" si="64"/>
        <v>0</v>
      </c>
      <c r="W93" s="62">
        <f t="shared" si="64"/>
        <v>0</v>
      </c>
      <c r="X93" s="62">
        <f t="shared" si="64"/>
        <v>0</v>
      </c>
      <c r="Y93" s="62">
        <f t="shared" si="64"/>
        <v>0</v>
      </c>
      <c r="Z93" s="62">
        <f t="shared" si="64"/>
        <v>0</v>
      </c>
      <c r="AA93" s="62">
        <f t="shared" si="64"/>
        <v>0</v>
      </c>
      <c r="AB93" s="62">
        <f t="shared" si="64"/>
        <v>0</v>
      </c>
      <c r="AC93" s="62">
        <f t="shared" si="64"/>
        <v>0</v>
      </c>
      <c r="AD93" s="62">
        <f t="shared" si="64"/>
        <v>0</v>
      </c>
      <c r="AE93" s="62">
        <f t="shared" si="64"/>
        <v>0</v>
      </c>
      <c r="AF93" s="62">
        <f t="shared" si="64"/>
        <v>0</v>
      </c>
      <c r="AG93" s="62">
        <f t="shared" si="64"/>
        <v>0</v>
      </c>
      <c r="AH93" s="62">
        <f t="shared" si="64"/>
        <v>0</v>
      </c>
      <c r="AI93" s="62">
        <f t="shared" si="64"/>
        <v>0</v>
      </c>
      <c r="AJ93" s="62">
        <f t="shared" si="64"/>
        <v>0</v>
      </c>
      <c r="AK93" s="62">
        <f t="shared" si="64"/>
        <v>0</v>
      </c>
      <c r="AL93" s="62">
        <f t="shared" si="64"/>
        <v>0</v>
      </c>
      <c r="AM93" s="62">
        <f t="shared" si="64"/>
        <v>0</v>
      </c>
      <c r="AN93" s="62">
        <f t="shared" si="64"/>
        <v>0</v>
      </c>
      <c r="AO93" s="62">
        <f t="shared" si="64"/>
        <v>0</v>
      </c>
      <c r="AP93" s="62">
        <f t="shared" si="64"/>
        <v>0</v>
      </c>
      <c r="AQ93" s="62">
        <f t="shared" si="64"/>
        <v>0</v>
      </c>
      <c r="AR93" s="62">
        <f t="shared" si="64"/>
        <v>0</v>
      </c>
      <c r="AS93" s="62">
        <f t="shared" si="64"/>
        <v>0</v>
      </c>
      <c r="AT93" s="62">
        <f t="shared" si="64"/>
        <v>0</v>
      </c>
      <c r="AU93" s="62">
        <f t="shared" si="64"/>
        <v>0</v>
      </c>
      <c r="AV93" s="62">
        <f t="shared" si="64"/>
        <v>0</v>
      </c>
    </row>
    <row r="94" spans="1:48" s="62" customFormat="1" ht="15" customHeight="1">
      <c r="A94" s="203"/>
      <c r="B94" s="203"/>
      <c r="C94" s="201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>
        <f xml:space="preserve"> Q92 - Q91</f>
        <v>133.99765846001051</v>
      </c>
      <c r="R94" s="70">
        <f t="shared" ref="R94:AC94" si="65" xml:space="preserve"> R92 - R91</f>
        <v>18.767662695506274</v>
      </c>
      <c r="S94" s="70">
        <f t="shared" si="65"/>
        <v>50.849163877974661</v>
      </c>
      <c r="T94" s="70">
        <f t="shared" si="65"/>
        <v>54.799599269327025</v>
      </c>
      <c r="U94" s="70">
        <f t="shared" si="65"/>
        <v>25.046399169880939</v>
      </c>
      <c r="V94" s="70">
        <f t="shared" si="65"/>
        <v>12.667323034364081</v>
      </c>
      <c r="W94" s="70">
        <f t="shared" si="65"/>
        <v>18.126757907577769</v>
      </c>
      <c r="X94" s="70">
        <f t="shared" si="65"/>
        <v>10.904829776438389</v>
      </c>
      <c r="Y94" s="70">
        <f t="shared" si="65"/>
        <v>4.3957202432760596</v>
      </c>
      <c r="Z94" s="70">
        <f t="shared" si="65"/>
        <v>-1.312764349281605</v>
      </c>
      <c r="AA94" s="70">
        <f t="shared" si="65"/>
        <v>-8.8000696341495779</v>
      </c>
      <c r="AB94" s="70">
        <f t="shared" si="65"/>
        <v>9.9060564549564685</v>
      </c>
      <c r="AC94" s="70">
        <f t="shared" si="65"/>
        <v>32.703591485157972</v>
      </c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</row>
    <row r="95" spans="1:48" s="62" customFormat="1" ht="15" customHeight="1">
      <c r="A95" s="203"/>
      <c r="B95" s="203" t="s">
        <v>1107</v>
      </c>
      <c r="C95" s="201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</row>
    <row r="96" spans="1:48" s="62" customFormat="1" ht="15" customHeight="1">
      <c r="A96" s="203"/>
      <c r="B96" s="203"/>
      <c r="C96" s="201"/>
      <c r="E96" s="62" t="str">
        <f t="shared" ref="E96:F96" si="66" xml:space="preserve"> E$11</f>
        <v>Chiffre d'Affaires 0.3PC (EITI)</v>
      </c>
      <c r="F96" s="62" t="str">
        <f t="shared" si="66"/>
        <v>yes</v>
      </c>
      <c r="G96" s="62" t="str">
        <f t="shared" ref="G96:AV96" si="67" xml:space="preserve"> G$11</f>
        <v>$ mn</v>
      </c>
      <c r="H96" s="62">
        <f t="shared" si="67"/>
        <v>0</v>
      </c>
      <c r="I96" s="62">
        <f t="shared" si="67"/>
        <v>0</v>
      </c>
      <c r="J96" s="62">
        <f t="shared" si="67"/>
        <v>0</v>
      </c>
      <c r="K96" s="62">
        <f t="shared" si="67"/>
        <v>0</v>
      </c>
      <c r="L96" s="62">
        <f t="shared" si="67"/>
        <v>0</v>
      </c>
      <c r="M96" s="62">
        <f t="shared" si="67"/>
        <v>0</v>
      </c>
      <c r="N96" s="62">
        <f t="shared" si="67"/>
        <v>0</v>
      </c>
      <c r="O96" s="62">
        <f t="shared" si="67"/>
        <v>0</v>
      </c>
      <c r="P96" s="62">
        <f t="shared" si="67"/>
        <v>0</v>
      </c>
      <c r="Q96" s="62">
        <f t="shared" si="67"/>
        <v>0</v>
      </c>
      <c r="R96" s="62">
        <f t="shared" si="67"/>
        <v>0</v>
      </c>
      <c r="S96" s="62">
        <f t="shared" si="67"/>
        <v>0</v>
      </c>
      <c r="T96" s="62">
        <f t="shared" si="67"/>
        <v>0</v>
      </c>
      <c r="U96" s="62">
        <f t="shared" si="67"/>
        <v>0</v>
      </c>
      <c r="V96" s="62">
        <f t="shared" si="67"/>
        <v>0</v>
      </c>
      <c r="W96" s="62">
        <f t="shared" si="67"/>
        <v>0</v>
      </c>
      <c r="X96" s="62">
        <f t="shared" si="67"/>
        <v>0</v>
      </c>
      <c r="Y96" s="62">
        <f t="shared" si="67"/>
        <v>0</v>
      </c>
      <c r="Z96" s="62">
        <f t="shared" si="67"/>
        <v>0</v>
      </c>
      <c r="AA96" s="62">
        <f t="shared" si="67"/>
        <v>0</v>
      </c>
      <c r="AB96" s="62">
        <f t="shared" si="67"/>
        <v>0</v>
      </c>
      <c r="AC96" s="62">
        <f t="shared" si="67"/>
        <v>0</v>
      </c>
      <c r="AD96" s="62">
        <f t="shared" si="67"/>
        <v>0</v>
      </c>
      <c r="AE96" s="62">
        <f t="shared" si="67"/>
        <v>0</v>
      </c>
      <c r="AF96" s="62">
        <f t="shared" si="67"/>
        <v>0</v>
      </c>
      <c r="AG96" s="62">
        <f t="shared" si="67"/>
        <v>0</v>
      </c>
      <c r="AH96" s="62">
        <f t="shared" si="67"/>
        <v>0</v>
      </c>
      <c r="AI96" s="62">
        <f t="shared" si="67"/>
        <v>0</v>
      </c>
      <c r="AJ96" s="62">
        <f t="shared" si="67"/>
        <v>0</v>
      </c>
      <c r="AK96" s="62">
        <f t="shared" si="67"/>
        <v>0</v>
      </c>
      <c r="AL96" s="62">
        <f t="shared" si="67"/>
        <v>0</v>
      </c>
      <c r="AM96" s="62">
        <f t="shared" si="67"/>
        <v>0</v>
      </c>
      <c r="AN96" s="62">
        <f t="shared" si="67"/>
        <v>0</v>
      </c>
      <c r="AO96" s="62">
        <f t="shared" si="67"/>
        <v>0</v>
      </c>
      <c r="AP96" s="62">
        <f t="shared" si="67"/>
        <v>0</v>
      </c>
      <c r="AQ96" s="62">
        <f t="shared" si="67"/>
        <v>0</v>
      </c>
      <c r="AR96" s="62">
        <f t="shared" si="67"/>
        <v>0</v>
      </c>
      <c r="AS96" s="62">
        <f t="shared" si="67"/>
        <v>0</v>
      </c>
      <c r="AT96" s="62">
        <f t="shared" si="67"/>
        <v>0</v>
      </c>
      <c r="AU96" s="62">
        <f t="shared" si="67"/>
        <v>0</v>
      </c>
      <c r="AV96" s="62">
        <f t="shared" si="67"/>
        <v>0</v>
      </c>
    </row>
    <row r="97" spans="1:48" s="62" customFormat="1" ht="15" customHeight="1">
      <c r="A97" s="203"/>
      <c r="B97" s="203"/>
      <c r="C97" s="201"/>
      <c r="E97" s="70" t="str">
        <f xml:space="preserve"> Metalkol_Model1!E$307</f>
        <v>Turnover tax (Chiffre d'Affaires 0.3PC)</v>
      </c>
      <c r="F97" s="70">
        <f xml:space="preserve"> Metalkol_Model1!F$307</f>
        <v>0</v>
      </c>
      <c r="G97" s="70" t="str">
        <f xml:space="preserve"> Metalkol_Model1!G$307</f>
        <v>$ mn</v>
      </c>
      <c r="H97" s="70">
        <f xml:space="preserve"> Metalkol_Model1!H$307</f>
        <v>0</v>
      </c>
      <c r="I97" s="70">
        <f xml:space="preserve"> Metalkol_Model1!I$307</f>
        <v>0</v>
      </c>
      <c r="J97" s="70">
        <f xml:space="preserve"> Metalkol_Model1!J$307</f>
        <v>57.035766295213875</v>
      </c>
      <c r="K97" s="70">
        <f xml:space="preserve"> Metalkol_Model1!K$307</f>
        <v>0</v>
      </c>
      <c r="L97" s="70">
        <f xml:space="preserve"> Metalkol_Model1!L$307</f>
        <v>0</v>
      </c>
      <c r="M97" s="70">
        <f xml:space="preserve"> Metalkol_Model1!M$307</f>
        <v>0</v>
      </c>
      <c r="N97" s="70">
        <f xml:space="preserve"> Metalkol_Model1!N$307</f>
        <v>0</v>
      </c>
      <c r="O97" s="70">
        <f xml:space="preserve"> Metalkol_Model1!O$307</f>
        <v>0</v>
      </c>
      <c r="P97" s="70">
        <f xml:space="preserve"> Metalkol_Model1!P$307</f>
        <v>0.2014087617882824</v>
      </c>
      <c r="Q97" s="70">
        <f xml:space="preserve"> Metalkol_Model1!Q$307</f>
        <v>2.8397867531093386</v>
      </c>
      <c r="R97" s="70">
        <f xml:space="preserve"> Metalkol_Model1!R$307</f>
        <v>2.4029186334589721</v>
      </c>
      <c r="S97" s="70">
        <f xml:space="preserve"> Metalkol_Model1!S$307</f>
        <v>4.6647816973138623</v>
      </c>
      <c r="T97" s="70">
        <f xml:space="preserve"> Metalkol_Model1!T$307</f>
        <v>5.3707620239571421</v>
      </c>
      <c r="U97" s="70">
        <f xml:space="preserve"> Metalkol_Model1!U$307</f>
        <v>3.8609864429442342</v>
      </c>
      <c r="V97" s="70">
        <f xml:space="preserve"> Metalkol_Model1!V$307</f>
        <v>3.5929701648905819</v>
      </c>
      <c r="W97" s="70">
        <f xml:space="preserve"> Metalkol_Model1!W$307</f>
        <v>4.2112770109237267</v>
      </c>
      <c r="X97" s="70">
        <f xml:space="preserve"> Metalkol_Model1!X$307</f>
        <v>4.1734041896755718</v>
      </c>
      <c r="Y97" s="70">
        <f xml:space="preserve"> Metalkol_Model1!Y$307</f>
        <v>4.1076505879026843</v>
      </c>
      <c r="Z97" s="70">
        <f xml:space="preserve"> Metalkol_Model1!Z$307</f>
        <v>4.1950049876038724</v>
      </c>
      <c r="AA97" s="70">
        <f xml:space="preserve"> Metalkol_Model1!AA$307</f>
        <v>4.1800550590593506</v>
      </c>
      <c r="AB97" s="70">
        <f xml:space="preserve"> Metalkol_Model1!AB$307</f>
        <v>4.2019989650855409</v>
      </c>
      <c r="AC97" s="70">
        <f xml:space="preserve"> Metalkol_Model1!AC$307</f>
        <v>4.4714046473635181</v>
      </c>
      <c r="AD97" s="70">
        <f xml:space="preserve"> Metalkol_Model1!AD$307</f>
        <v>4.5613563701371929</v>
      </c>
      <c r="AE97" s="70">
        <f xml:space="preserve"> Metalkol_Model1!AE$307</f>
        <v>0</v>
      </c>
      <c r="AF97" s="70">
        <f xml:space="preserve"> Metalkol_Model1!AF$307</f>
        <v>0</v>
      </c>
      <c r="AG97" s="70">
        <f xml:space="preserve"> Metalkol_Model1!AG$307</f>
        <v>0</v>
      </c>
      <c r="AH97" s="70">
        <f xml:space="preserve"> Metalkol_Model1!AH$307</f>
        <v>0</v>
      </c>
      <c r="AI97" s="70">
        <f xml:space="preserve"> Metalkol_Model1!AI$307</f>
        <v>0</v>
      </c>
      <c r="AJ97" s="70">
        <f xml:space="preserve"> Metalkol_Model1!AJ$307</f>
        <v>0</v>
      </c>
      <c r="AK97" s="70">
        <f xml:space="preserve"> Metalkol_Model1!AK$307</f>
        <v>0</v>
      </c>
      <c r="AL97" s="70">
        <f xml:space="preserve"> Metalkol_Model1!AL$307</f>
        <v>0</v>
      </c>
      <c r="AM97" s="70">
        <f xml:space="preserve"> Metalkol_Model1!AM$307</f>
        <v>0</v>
      </c>
      <c r="AN97" s="70">
        <f xml:space="preserve"> Metalkol_Model1!AN$307</f>
        <v>0</v>
      </c>
      <c r="AO97" s="70">
        <f xml:space="preserve"> Metalkol_Model1!AO$307</f>
        <v>0</v>
      </c>
      <c r="AP97" s="70">
        <f xml:space="preserve"> Metalkol_Model1!AP$307</f>
        <v>0</v>
      </c>
      <c r="AQ97" s="70">
        <f xml:space="preserve"> Metalkol_Model1!AQ$307</f>
        <v>0</v>
      </c>
      <c r="AR97" s="70">
        <f xml:space="preserve"> Metalkol_Model1!AR$307</f>
        <v>0</v>
      </c>
      <c r="AS97" s="70">
        <f xml:space="preserve"> Metalkol_Model1!AS$307</f>
        <v>0</v>
      </c>
      <c r="AT97" s="70">
        <f xml:space="preserve"> Metalkol_Model1!AT$307</f>
        <v>0</v>
      </c>
      <c r="AU97" s="70">
        <f xml:space="preserve"> Metalkol_Model1!AU$307</f>
        <v>0</v>
      </c>
      <c r="AV97" s="70">
        <f xml:space="preserve"> Metalkol_Model1!AV$307</f>
        <v>0</v>
      </c>
    </row>
    <row r="98" spans="1:48" s="62" customFormat="1" ht="15" customHeight="1">
      <c r="A98" s="203"/>
      <c r="B98" s="203"/>
      <c r="C98" s="201"/>
      <c r="E98" s="62" t="s">
        <v>89</v>
      </c>
      <c r="G98" s="62" t="s">
        <v>29</v>
      </c>
      <c r="H98" s="18"/>
      <c r="J98" s="62">
        <f xml:space="preserve"> SUM(L98:AV98)</f>
        <v>0</v>
      </c>
      <c r="L98" s="62">
        <f t="shared" ref="L98:AV98" si="68" xml:space="preserve"> (L96 - L97) * (L96 &gt; 0)</f>
        <v>0</v>
      </c>
      <c r="M98" s="62">
        <f t="shared" si="68"/>
        <v>0</v>
      </c>
      <c r="N98" s="62">
        <f t="shared" si="68"/>
        <v>0</v>
      </c>
      <c r="O98" s="62">
        <f t="shared" si="68"/>
        <v>0</v>
      </c>
      <c r="P98" s="62">
        <f t="shared" si="68"/>
        <v>0</v>
      </c>
      <c r="Q98" s="62">
        <f t="shared" si="68"/>
        <v>0</v>
      </c>
      <c r="R98" s="62">
        <f t="shared" si="68"/>
        <v>0</v>
      </c>
      <c r="S98" s="62">
        <f t="shared" si="68"/>
        <v>0</v>
      </c>
      <c r="T98" s="62">
        <f t="shared" si="68"/>
        <v>0</v>
      </c>
      <c r="U98" s="62">
        <f t="shared" si="68"/>
        <v>0</v>
      </c>
      <c r="V98" s="62">
        <f t="shared" si="68"/>
        <v>0</v>
      </c>
      <c r="W98" s="62">
        <f t="shared" si="68"/>
        <v>0</v>
      </c>
      <c r="X98" s="62">
        <f t="shared" si="68"/>
        <v>0</v>
      </c>
      <c r="Y98" s="62">
        <f t="shared" si="68"/>
        <v>0</v>
      </c>
      <c r="Z98" s="62">
        <f t="shared" si="68"/>
        <v>0</v>
      </c>
      <c r="AA98" s="62">
        <f t="shared" si="68"/>
        <v>0</v>
      </c>
      <c r="AB98" s="62">
        <f t="shared" si="68"/>
        <v>0</v>
      </c>
      <c r="AC98" s="62">
        <f t="shared" si="68"/>
        <v>0</v>
      </c>
      <c r="AD98" s="62">
        <f t="shared" si="68"/>
        <v>0</v>
      </c>
      <c r="AE98" s="62">
        <f t="shared" si="68"/>
        <v>0</v>
      </c>
      <c r="AF98" s="62">
        <f t="shared" si="68"/>
        <v>0</v>
      </c>
      <c r="AG98" s="62">
        <f t="shared" si="68"/>
        <v>0</v>
      </c>
      <c r="AH98" s="62">
        <f t="shared" si="68"/>
        <v>0</v>
      </c>
      <c r="AI98" s="62">
        <f t="shared" si="68"/>
        <v>0</v>
      </c>
      <c r="AJ98" s="62">
        <f t="shared" si="68"/>
        <v>0</v>
      </c>
      <c r="AK98" s="62">
        <f t="shared" si="68"/>
        <v>0</v>
      </c>
      <c r="AL98" s="62">
        <f t="shared" si="68"/>
        <v>0</v>
      </c>
      <c r="AM98" s="62">
        <f t="shared" si="68"/>
        <v>0</v>
      </c>
      <c r="AN98" s="62">
        <f t="shared" si="68"/>
        <v>0</v>
      </c>
      <c r="AO98" s="62">
        <f t="shared" si="68"/>
        <v>0</v>
      </c>
      <c r="AP98" s="62">
        <f t="shared" si="68"/>
        <v>0</v>
      </c>
      <c r="AQ98" s="62">
        <f t="shared" si="68"/>
        <v>0</v>
      </c>
      <c r="AR98" s="62">
        <f t="shared" si="68"/>
        <v>0</v>
      </c>
      <c r="AS98" s="62">
        <f t="shared" si="68"/>
        <v>0</v>
      </c>
      <c r="AT98" s="62">
        <f t="shared" si="68"/>
        <v>0</v>
      </c>
      <c r="AU98" s="62">
        <f t="shared" si="68"/>
        <v>0</v>
      </c>
      <c r="AV98" s="62">
        <f t="shared" si="68"/>
        <v>0</v>
      </c>
    </row>
    <row r="100" spans="1:48" s="233" customFormat="1" ht="15" customHeight="1">
      <c r="A100" s="231" t="s">
        <v>163</v>
      </c>
      <c r="B100" s="231"/>
      <c r="C100" s="232"/>
      <c r="I100" s="234"/>
      <c r="K100" s="243"/>
    </row>
    <row r="104" spans="1:48" ht="15" customHeight="1"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</row>
    <row r="105" spans="1:48" ht="15" customHeight="1"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</row>
    <row r="106" spans="1:48" ht="15" customHeight="1"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</row>
    <row r="107" spans="1:48" ht="15" customHeight="1"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</row>
    <row r="108" spans="1:48" ht="15" customHeight="1"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</row>
    <row r="109" spans="1:48" ht="15" customHeight="1"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</row>
    <row r="110" spans="1:48" ht="15" customHeight="1"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</row>
    <row r="111" spans="1:48" ht="15" customHeight="1"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</row>
    <row r="112" spans="1:48" ht="15" customHeight="1"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</row>
    <row r="113" spans="15:28" ht="15" customHeight="1"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</row>
    <row r="114" spans="15:28" ht="15" customHeight="1"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</row>
    <row r="115" spans="15:28" ht="15" customHeight="1"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</row>
    <row r="116" spans="15:28" ht="15" customHeight="1"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</row>
    <row r="117" spans="15:28" ht="15" customHeight="1"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</row>
    <row r="118" spans="15:28" ht="15" customHeight="1"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</row>
    <row r="119" spans="15:28" ht="15" customHeight="1"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</row>
    <row r="120" spans="15:28" ht="15" customHeight="1"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</row>
    <row r="121" spans="15:28" ht="15" customHeight="1"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</row>
    <row r="122" spans="15:28" ht="15" customHeight="1"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</row>
    <row r="123" spans="15:28" ht="15" customHeight="1"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</row>
    <row r="124" spans="15:28" ht="15" customHeight="1"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</row>
    <row r="125" spans="15:28" ht="15" customHeight="1"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</row>
    <row r="126" spans="15:28" ht="15" customHeight="1"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</row>
  </sheetData>
  <conditionalFormatting sqref="F2">
    <cfRule type="cellIs" dxfId="99" priority="1" stopIfTrue="1" operator="notEqual">
      <formula>0</formula>
    </cfRule>
    <cfRule type="cellIs" dxfId="98" priority="2" stopIfTrue="1" operator="equal">
      <formula>""</formula>
    </cfRule>
  </conditionalFormatting>
  <conditionalFormatting sqref="F3">
    <cfRule type="cellIs" dxfId="97" priority="5" stopIfTrue="1" operator="notEqual">
      <formula>0</formula>
    </cfRule>
    <cfRule type="cellIs" dxfId="96" priority="6" stopIfTrue="1" operator="equal">
      <formula>""</formula>
    </cfRule>
  </conditionalFormatting>
  <conditionalFormatting sqref="L3:AV3">
    <cfRule type="cellIs" dxfId="95" priority="7" stopIfTrue="1" operator="equal">
      <formula>#REF!</formula>
    </cfRule>
    <cfRule type="cellIs" dxfId="94" priority="8" stopIfTrue="1" operator="equal">
      <formula>#REF!</formula>
    </cfRule>
    <cfRule type="cellIs" dxfId="93" priority="9" operator="equal">
      <formula>#REF!</formula>
    </cfRule>
    <cfRule type="cellIs" dxfId="92" priority="10" operator="equal">
      <formula>#REF!</formula>
    </cfRule>
  </conditionalFormatting>
  <conditionalFormatting sqref="M3:AV3">
    <cfRule type="cellIs" dxfId="91" priority="11" stopIfTrue="1" operator="equal">
      <formula>#REF!</formula>
    </cfRule>
    <cfRule type="cellIs" dxfId="90" priority="12" stopIfTrue="1" operator="equal">
      <formula>#REF!</formula>
    </cfRule>
  </conditionalFormatting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EITI_Rev!L98:AV98</xm:f>
              <xm:sqref>H98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EITI_Rev!L59:AV59</xm:f>
              <xm:sqref>H59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EITI_Rev!L76:AV76</xm:f>
              <xm:sqref>H76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EITI_Rev!L88:AV88</xm:f>
              <xm:sqref>H88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EITI_Rev!L93:AV93</xm:f>
              <xm:sqref>H93</xm:sqref>
            </x14:sparkline>
          </x14:sparklines>
        </x14:sparklineGroup>
        <x14:sparklineGroup type="column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EITI_Rev!L50:AV50</xm:f>
              <xm:sqref>H50</xm:sqref>
            </x14:sparkline>
          </x14:sparklines>
        </x14:sparklineGroup>
      </x14:sparklineGroup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BG73"/>
  <sheetViews>
    <sheetView zoomScale="130" zoomScaleNormal="130" workbookViewId="0">
      <pane xSplit="11" ySplit="4" topLeftCell="Y5" activePane="bottomRight" state="frozen"/>
      <selection pane="topRight" activeCell="K1" sqref="K1"/>
      <selection pane="bottomLeft" activeCell="A5" sqref="A5"/>
      <selection pane="bottomRight" activeCell="M10" sqref="M10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93" customWidth="1"/>
    <col min="6" max="6" width="12.69921875" style="18" customWidth="1"/>
    <col min="7" max="7" width="20.69921875" style="18" customWidth="1"/>
    <col min="8" max="8" width="20.69921875" style="18" hidden="1" customWidth="1"/>
    <col min="9" max="9" width="25.09765625" style="20" hidden="1" customWidth="1"/>
    <col min="10" max="10" width="12.69921875" style="18" customWidth="1" collapsed="1"/>
    <col min="11" max="11" width="1.59765625" style="46" customWidth="1"/>
    <col min="12" max="48" width="10.69921875" style="18" customWidth="1"/>
    <col min="49" max="57" width="11.69921875" style="18" hidden="1" customWidth="1"/>
    <col min="58" max="59" width="0" style="18" hidden="1" customWidth="1"/>
    <col min="60" max="16384" width="14.59765625" style="18" hidden="1"/>
  </cols>
  <sheetData>
    <row r="1" spans="1:48" ht="26.25" customHeight="1">
      <c r="A1" s="101" t="str">
        <f ca="1" xml:space="preserve"> RIGHT(CELL("filename", $A$3), LEN(CELL("filename", $A$3)) - SEARCH("]", CELL("filename", $A$3)))</f>
        <v>T&amp;E</v>
      </c>
      <c r="F1" s="19"/>
    </row>
    <row r="2" spans="1:48" ht="15" customHeight="1">
      <c r="F2" s="482">
        <f xml:space="preserve"> Track!$F$85</f>
        <v>0</v>
      </c>
      <c r="G2" s="22" t="s">
        <v>1</v>
      </c>
      <c r="H2" s="22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23" t="s">
        <v>2</v>
      </c>
      <c r="H3" s="23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25" t="s">
        <v>5</v>
      </c>
      <c r="G4" s="16" t="s">
        <v>6</v>
      </c>
      <c r="H4" s="16" t="s">
        <v>7</v>
      </c>
      <c r="I4" s="26" t="s">
        <v>8</v>
      </c>
      <c r="J4" s="27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25"/>
      <c r="G5" s="16"/>
      <c r="H5" s="16"/>
      <c r="I5" s="26"/>
      <c r="J5" s="27"/>
      <c r="K5" s="97"/>
    </row>
    <row r="6" spans="1:48" s="31" customFormat="1" ht="15" customHeight="1" collapsed="1">
      <c r="A6" s="34" t="s">
        <v>1055</v>
      </c>
      <c r="B6" s="28"/>
      <c r="C6" s="29"/>
      <c r="D6" s="30"/>
      <c r="E6" s="701"/>
      <c r="F6" s="28"/>
      <c r="G6" s="28"/>
      <c r="H6" s="28"/>
      <c r="I6" s="28"/>
      <c r="J6" s="28"/>
      <c r="K6" s="4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 ht="15" customHeight="1">
      <c r="D7" s="38"/>
      <c r="I7" s="18"/>
      <c r="K7" s="97"/>
    </row>
    <row r="8" spans="1:48" s="103" customFormat="1" ht="15" customHeight="1">
      <c r="A8" s="246"/>
      <c r="B8" s="246"/>
      <c r="C8" s="247"/>
      <c r="E8" s="535" t="s">
        <v>221</v>
      </c>
      <c r="F8" s="813">
        <v>2014</v>
      </c>
      <c r="G8" s="103" t="s">
        <v>62</v>
      </c>
      <c r="H8" s="246"/>
      <c r="I8" s="246" t="s">
        <v>1079</v>
      </c>
      <c r="J8" s="248"/>
      <c r="K8" s="253"/>
    </row>
    <row r="9" spans="1:48" ht="15" customHeight="1">
      <c r="E9" s="93" t="s">
        <v>222</v>
      </c>
      <c r="F9" s="3"/>
      <c r="G9" s="32" t="s">
        <v>62</v>
      </c>
      <c r="H9" s="16"/>
      <c r="I9" s="26"/>
      <c r="J9" s="27"/>
      <c r="L9" s="93">
        <f t="shared" ref="L9:AV9" si="0" xml:space="preserve"> IF(L11 = 1, $F8, K9 + 1)</f>
        <v>2014</v>
      </c>
      <c r="M9" s="93">
        <f t="shared" si="0"/>
        <v>2015</v>
      </c>
      <c r="N9" s="93">
        <f t="shared" si="0"/>
        <v>2016</v>
      </c>
      <c r="O9" s="93">
        <f t="shared" si="0"/>
        <v>2017</v>
      </c>
      <c r="P9" s="93">
        <f t="shared" si="0"/>
        <v>2018</v>
      </c>
      <c r="Q9" s="93">
        <f t="shared" si="0"/>
        <v>2019</v>
      </c>
      <c r="R9" s="93">
        <f t="shared" si="0"/>
        <v>2020</v>
      </c>
      <c r="S9" s="93">
        <f t="shared" si="0"/>
        <v>2021</v>
      </c>
      <c r="T9" s="93">
        <f t="shared" si="0"/>
        <v>2022</v>
      </c>
      <c r="U9" s="93">
        <f t="shared" si="0"/>
        <v>2023</v>
      </c>
      <c r="V9" s="93">
        <f t="shared" si="0"/>
        <v>2024</v>
      </c>
      <c r="W9" s="93">
        <f t="shared" si="0"/>
        <v>2025</v>
      </c>
      <c r="X9" s="93">
        <f t="shared" si="0"/>
        <v>2026</v>
      </c>
      <c r="Y9" s="93">
        <f t="shared" si="0"/>
        <v>2027</v>
      </c>
      <c r="Z9" s="93">
        <f t="shared" si="0"/>
        <v>2028</v>
      </c>
      <c r="AA9" s="93">
        <f t="shared" si="0"/>
        <v>2029</v>
      </c>
      <c r="AB9" s="93">
        <f t="shared" si="0"/>
        <v>2030</v>
      </c>
      <c r="AC9" s="93">
        <f t="shared" si="0"/>
        <v>2031</v>
      </c>
      <c r="AD9" s="93">
        <f t="shared" si="0"/>
        <v>2032</v>
      </c>
      <c r="AE9" s="93">
        <f t="shared" si="0"/>
        <v>2033</v>
      </c>
      <c r="AF9" s="93">
        <f t="shared" si="0"/>
        <v>2034</v>
      </c>
      <c r="AG9" s="93">
        <f t="shared" si="0"/>
        <v>2035</v>
      </c>
      <c r="AH9" s="93">
        <f t="shared" si="0"/>
        <v>2036</v>
      </c>
      <c r="AI9" s="93">
        <f t="shared" si="0"/>
        <v>2037</v>
      </c>
      <c r="AJ9" s="93">
        <f t="shared" si="0"/>
        <v>2038</v>
      </c>
      <c r="AK9" s="93">
        <f t="shared" si="0"/>
        <v>2039</v>
      </c>
      <c r="AL9" s="93">
        <f t="shared" si="0"/>
        <v>2040</v>
      </c>
      <c r="AM9" s="93">
        <f t="shared" si="0"/>
        <v>2041</v>
      </c>
      <c r="AN9" s="93">
        <f t="shared" si="0"/>
        <v>2042</v>
      </c>
      <c r="AO9" s="93">
        <f t="shared" si="0"/>
        <v>2043</v>
      </c>
      <c r="AP9" s="93">
        <f t="shared" si="0"/>
        <v>2044</v>
      </c>
      <c r="AQ9" s="93">
        <f t="shared" si="0"/>
        <v>2045</v>
      </c>
      <c r="AR9" s="93">
        <f t="shared" si="0"/>
        <v>2046</v>
      </c>
      <c r="AS9" s="93">
        <f t="shared" si="0"/>
        <v>2047</v>
      </c>
      <c r="AT9" s="93">
        <f t="shared" si="0"/>
        <v>2048</v>
      </c>
      <c r="AU9" s="93">
        <f t="shared" si="0"/>
        <v>2049</v>
      </c>
      <c r="AV9" s="93">
        <f t="shared" si="0"/>
        <v>2050</v>
      </c>
    </row>
    <row r="10" spans="1:48" ht="15" customHeight="1">
      <c r="E10" s="93" t="s">
        <v>223</v>
      </c>
      <c r="F10" s="3"/>
      <c r="G10" s="32"/>
      <c r="H10" s="16"/>
      <c r="I10" s="26"/>
      <c r="J10" s="27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</row>
    <row r="11" spans="1:48" ht="15" customHeight="1">
      <c r="E11" s="93" t="s">
        <v>224</v>
      </c>
      <c r="F11" s="3"/>
      <c r="G11" s="32" t="s">
        <v>225</v>
      </c>
      <c r="H11" s="16"/>
      <c r="I11" s="26"/>
      <c r="J11" s="27"/>
      <c r="L11" s="93">
        <f t="shared" ref="L11:AV11" si="1" xml:space="preserve"> K11 + 1</f>
        <v>1</v>
      </c>
      <c r="M11" s="93">
        <f t="shared" si="1"/>
        <v>2</v>
      </c>
      <c r="N11" s="93">
        <f t="shared" si="1"/>
        <v>3</v>
      </c>
      <c r="O11" s="93">
        <f t="shared" si="1"/>
        <v>4</v>
      </c>
      <c r="P11" s="93">
        <f t="shared" si="1"/>
        <v>5</v>
      </c>
      <c r="Q11" s="93">
        <f t="shared" si="1"/>
        <v>6</v>
      </c>
      <c r="R11" s="93">
        <f t="shared" si="1"/>
        <v>7</v>
      </c>
      <c r="S11" s="93">
        <f t="shared" si="1"/>
        <v>8</v>
      </c>
      <c r="T11" s="93">
        <f t="shared" si="1"/>
        <v>9</v>
      </c>
      <c r="U11" s="93">
        <f t="shared" si="1"/>
        <v>10</v>
      </c>
      <c r="V11" s="93">
        <f t="shared" si="1"/>
        <v>11</v>
      </c>
      <c r="W11" s="93">
        <f t="shared" si="1"/>
        <v>12</v>
      </c>
      <c r="X11" s="93">
        <f t="shared" si="1"/>
        <v>13</v>
      </c>
      <c r="Y11" s="93">
        <f t="shared" si="1"/>
        <v>14</v>
      </c>
      <c r="Z11" s="93">
        <f t="shared" si="1"/>
        <v>15</v>
      </c>
      <c r="AA11" s="93">
        <f t="shared" si="1"/>
        <v>16</v>
      </c>
      <c r="AB11" s="93">
        <f t="shared" si="1"/>
        <v>17</v>
      </c>
      <c r="AC11" s="93">
        <f t="shared" si="1"/>
        <v>18</v>
      </c>
      <c r="AD11" s="93">
        <f t="shared" si="1"/>
        <v>19</v>
      </c>
      <c r="AE11" s="93">
        <f t="shared" si="1"/>
        <v>20</v>
      </c>
      <c r="AF11" s="93">
        <f t="shared" si="1"/>
        <v>21</v>
      </c>
      <c r="AG11" s="93">
        <f t="shared" si="1"/>
        <v>22</v>
      </c>
      <c r="AH11" s="93">
        <f t="shared" si="1"/>
        <v>23</v>
      </c>
      <c r="AI11" s="93">
        <f t="shared" si="1"/>
        <v>24</v>
      </c>
      <c r="AJ11" s="93">
        <f t="shared" si="1"/>
        <v>25</v>
      </c>
      <c r="AK11" s="93">
        <f t="shared" si="1"/>
        <v>26</v>
      </c>
      <c r="AL11" s="93">
        <f t="shared" si="1"/>
        <v>27</v>
      </c>
      <c r="AM11" s="93">
        <f t="shared" si="1"/>
        <v>28</v>
      </c>
      <c r="AN11" s="93">
        <f t="shared" si="1"/>
        <v>29</v>
      </c>
      <c r="AO11" s="93">
        <f t="shared" si="1"/>
        <v>30</v>
      </c>
      <c r="AP11" s="93">
        <f t="shared" si="1"/>
        <v>31</v>
      </c>
      <c r="AQ11" s="93">
        <f t="shared" si="1"/>
        <v>32</v>
      </c>
      <c r="AR11" s="93">
        <f t="shared" si="1"/>
        <v>33</v>
      </c>
      <c r="AS11" s="93">
        <f t="shared" si="1"/>
        <v>34</v>
      </c>
      <c r="AT11" s="93">
        <f t="shared" si="1"/>
        <v>35</v>
      </c>
      <c r="AU11" s="93">
        <f t="shared" si="1"/>
        <v>36</v>
      </c>
      <c r="AV11" s="93">
        <f t="shared" si="1"/>
        <v>37</v>
      </c>
    </row>
    <row r="12" spans="1:48" s="283" customFormat="1" ht="15" customHeight="1">
      <c r="C12" s="282"/>
      <c r="E12" s="108" t="str">
        <f xml:space="preserve"> InputsCon!E$22</f>
        <v xml:space="preserve">Forecast / point forward year </v>
      </c>
      <c r="F12" s="108">
        <f xml:space="preserve"> InputsCon!F$22</f>
        <v>2025</v>
      </c>
      <c r="G12" s="108" t="str">
        <f xml:space="preserve"> InputsCon!G$22</f>
        <v>year</v>
      </c>
      <c r="J12" s="284"/>
      <c r="K12" s="412"/>
    </row>
    <row r="13" spans="1:48" s="283" customFormat="1" ht="15" customHeight="1">
      <c r="C13" s="282"/>
      <c r="E13" s="414"/>
      <c r="F13" s="414"/>
      <c r="G13" s="414"/>
      <c r="J13" s="284"/>
      <c r="K13" s="412"/>
    </row>
    <row r="15" spans="1:48" s="31" customFormat="1" ht="15" customHeight="1" collapsed="1">
      <c r="A15" s="34" t="s">
        <v>594</v>
      </c>
      <c r="B15" s="28"/>
      <c r="C15" s="29"/>
      <c r="D15" s="30"/>
      <c r="E15" s="701"/>
      <c r="F15" s="28"/>
      <c r="G15" s="28"/>
      <c r="H15" s="28"/>
      <c r="I15" s="28"/>
      <c r="J15" s="28"/>
      <c r="K15" s="42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7" spans="2:48" ht="15" customHeight="1">
      <c r="B17" s="16" t="s">
        <v>1049</v>
      </c>
    </row>
    <row r="18" spans="2:48" ht="15" customHeight="1">
      <c r="E18" s="601" t="s">
        <v>1044</v>
      </c>
      <c r="F18" s="674"/>
      <c r="G18" s="674"/>
      <c r="I18" s="674"/>
      <c r="K18" s="18"/>
      <c r="L18" s="672">
        <v>2000</v>
      </c>
      <c r="M18" s="672">
        <v>2001</v>
      </c>
      <c r="N18" s="672">
        <v>2002</v>
      </c>
      <c r="O18" s="672">
        <v>2003</v>
      </c>
      <c r="P18" s="672">
        <v>2004</v>
      </c>
      <c r="Q18" s="672">
        <v>2005</v>
      </c>
      <c r="R18" s="672">
        <v>2006</v>
      </c>
      <c r="S18" s="672">
        <v>2007</v>
      </c>
      <c r="T18" s="672">
        <v>2008</v>
      </c>
      <c r="U18" s="672">
        <v>2009</v>
      </c>
      <c r="V18" s="672">
        <v>2010</v>
      </c>
      <c r="W18" s="672">
        <v>2011</v>
      </c>
      <c r="X18" s="672">
        <v>2012</v>
      </c>
      <c r="Y18" s="672">
        <v>2013</v>
      </c>
      <c r="Z18" s="672">
        <v>2014</v>
      </c>
      <c r="AA18" s="672">
        <v>2015</v>
      </c>
      <c r="AB18" s="672">
        <v>2016</v>
      </c>
      <c r="AC18" s="672">
        <v>2017</v>
      </c>
      <c r="AD18" s="672">
        <v>2018</v>
      </c>
      <c r="AE18" s="672">
        <v>2019</v>
      </c>
      <c r="AF18" s="672">
        <v>2020</v>
      </c>
      <c r="AG18" s="672">
        <v>2021</v>
      </c>
      <c r="AH18" s="672">
        <v>2022</v>
      </c>
      <c r="AI18" s="672">
        <v>2023</v>
      </c>
      <c r="AJ18" s="672">
        <v>2024</v>
      </c>
      <c r="AK18" s="672">
        <v>2025</v>
      </c>
      <c r="AL18" s="672">
        <v>2026</v>
      </c>
      <c r="AM18" s="672">
        <v>2027</v>
      </c>
      <c r="AN18" s="672">
        <v>2028</v>
      </c>
      <c r="AO18" s="672">
        <v>2029</v>
      </c>
      <c r="AP18" s="672">
        <v>2030</v>
      </c>
    </row>
    <row r="19" spans="2:48" ht="15" customHeight="1">
      <c r="E19" s="601" t="s">
        <v>1052</v>
      </c>
      <c r="G19" s="674" t="s">
        <v>1045</v>
      </c>
      <c r="I19" s="674" t="s">
        <v>1057</v>
      </c>
      <c r="K19" s="18"/>
      <c r="L19" s="675">
        <v>172.19200000000001</v>
      </c>
      <c r="M19" s="675">
        <v>177.042</v>
      </c>
      <c r="N19" s="675">
        <v>179.86699999999999</v>
      </c>
      <c r="O19" s="675">
        <v>184</v>
      </c>
      <c r="P19" s="675">
        <v>188.90799999999999</v>
      </c>
      <c r="Q19" s="675">
        <v>195.267</v>
      </c>
      <c r="R19" s="675">
        <v>201.55799999999999</v>
      </c>
      <c r="S19" s="675">
        <v>207.34399999999999</v>
      </c>
      <c r="T19" s="675">
        <v>215.25399999999999</v>
      </c>
      <c r="U19" s="675">
        <v>214.565</v>
      </c>
      <c r="V19" s="675">
        <v>218.07599999999999</v>
      </c>
      <c r="W19" s="675">
        <v>224.923</v>
      </c>
      <c r="X19" s="675">
        <v>229.58600000000001</v>
      </c>
      <c r="Y19" s="675">
        <v>232.952</v>
      </c>
      <c r="Z19" s="675">
        <v>236.715</v>
      </c>
      <c r="AA19" s="675">
        <v>237.00200000000001</v>
      </c>
      <c r="AB19" s="675">
        <v>240.005</v>
      </c>
      <c r="AC19" s="675">
        <v>245.12100000000001</v>
      </c>
      <c r="AD19" s="675">
        <v>251.1</v>
      </c>
      <c r="AE19" s="675">
        <v>255.65299999999999</v>
      </c>
      <c r="AF19" s="675">
        <v>258.85599999999999</v>
      </c>
      <c r="AG19" s="675">
        <v>270.96800000000002</v>
      </c>
      <c r="AH19" s="675">
        <v>292.625</v>
      </c>
      <c r="AI19" s="675">
        <v>304.70400000000001</v>
      </c>
      <c r="AJ19" s="675">
        <v>313.69799999999998</v>
      </c>
      <c r="AK19" s="675">
        <v>323.07</v>
      </c>
      <c r="AL19" s="675">
        <v>331.03500000000003</v>
      </c>
      <c r="AM19" s="675">
        <v>338.02100000000002</v>
      </c>
      <c r="AN19" s="675">
        <v>345.30700000000002</v>
      </c>
      <c r="AO19" s="675">
        <v>352.79700000000003</v>
      </c>
      <c r="AP19" s="675">
        <v>360.47</v>
      </c>
    </row>
    <row r="20" spans="2:48" ht="15" customHeight="1">
      <c r="E20" s="601" t="s">
        <v>1053</v>
      </c>
      <c r="F20" s="674"/>
      <c r="G20" s="674" t="s">
        <v>1046</v>
      </c>
      <c r="H20" s="674"/>
      <c r="I20" s="18"/>
      <c r="J20" s="674"/>
      <c r="K20" s="674"/>
      <c r="L20" s="676">
        <v>3.367</v>
      </c>
      <c r="M20" s="676">
        <v>2.8170000000000002</v>
      </c>
      <c r="N20" s="676">
        <v>1.5960000000000001</v>
      </c>
      <c r="O20" s="676">
        <v>2.298</v>
      </c>
      <c r="P20" s="676">
        <v>2.6680000000000001</v>
      </c>
      <c r="Q20" s="676">
        <v>3.3660000000000001</v>
      </c>
      <c r="R20" s="676">
        <v>3.222</v>
      </c>
      <c r="S20" s="676">
        <v>2.871</v>
      </c>
      <c r="T20" s="676">
        <v>3.8149999999999999</v>
      </c>
      <c r="U20" s="676">
        <v>-0.32</v>
      </c>
      <c r="V20" s="676">
        <v>1.637</v>
      </c>
      <c r="W20" s="676">
        <v>3.14</v>
      </c>
      <c r="X20" s="676">
        <v>2.073</v>
      </c>
      <c r="Y20" s="676">
        <v>1.466</v>
      </c>
      <c r="Z20" s="676">
        <v>1.615</v>
      </c>
      <c r="AA20" s="676">
        <v>0.121</v>
      </c>
      <c r="AB20" s="676">
        <v>1.2669999999999999</v>
      </c>
      <c r="AC20" s="676">
        <v>2.1309999999999998</v>
      </c>
      <c r="AD20" s="676">
        <v>2.4390000000000001</v>
      </c>
      <c r="AE20" s="676">
        <v>1.8129999999999999</v>
      </c>
      <c r="AF20" s="676">
        <v>1.2529999999999999</v>
      </c>
      <c r="AG20" s="676">
        <v>4.6790000000000003</v>
      </c>
      <c r="AH20" s="676">
        <v>7.9930000000000003</v>
      </c>
      <c r="AI20" s="676">
        <v>4.1280000000000001</v>
      </c>
      <c r="AJ20" s="676">
        <v>2.952</v>
      </c>
      <c r="AK20" s="676">
        <v>2.988</v>
      </c>
      <c r="AL20" s="676">
        <v>2.4660000000000002</v>
      </c>
      <c r="AM20" s="676">
        <v>2.11</v>
      </c>
      <c r="AN20" s="676">
        <v>2.1549999999999998</v>
      </c>
      <c r="AO20" s="676">
        <v>2.169</v>
      </c>
      <c r="AP20" s="676">
        <v>2.1749999999999998</v>
      </c>
    </row>
    <row r="21" spans="2:48" ht="15" customHeight="1">
      <c r="M21" s="677"/>
    </row>
    <row r="22" spans="2:48" ht="15" customHeight="1">
      <c r="E22" s="93" t="s">
        <v>1050</v>
      </c>
      <c r="F22" s="93">
        <f xml:space="preserve"> MAX(L18:AV18)</f>
        <v>2030</v>
      </c>
      <c r="G22" s="18" t="s">
        <v>62</v>
      </c>
      <c r="M22" s="677"/>
    </row>
    <row r="23" spans="2:48" ht="15" customHeight="1">
      <c r="E23" s="93" t="s">
        <v>1047</v>
      </c>
      <c r="F23" s="137">
        <v>0.02</v>
      </c>
      <c r="G23" s="18" t="s">
        <v>1048</v>
      </c>
    </row>
    <row r="25" spans="2:48" ht="15" customHeight="1">
      <c r="B25" s="16" t="s">
        <v>1059</v>
      </c>
    </row>
    <row r="26" spans="2:48" ht="15" customHeight="1">
      <c r="E26" s="182" t="str">
        <f t="shared" ref="E26:AV26" si="2" xml:space="preserve"> E$9</f>
        <v>Model calendar year</v>
      </c>
      <c r="F26" s="182">
        <f t="shared" si="2"/>
        <v>0</v>
      </c>
      <c r="G26" s="182" t="str">
        <f t="shared" si="2"/>
        <v>year</v>
      </c>
      <c r="H26" s="182">
        <f t="shared" si="2"/>
        <v>0</v>
      </c>
      <c r="I26" s="182">
        <f t="shared" si="2"/>
        <v>0</v>
      </c>
      <c r="J26" s="182">
        <f t="shared" si="2"/>
        <v>0</v>
      </c>
      <c r="K26" s="182">
        <f t="shared" si="2"/>
        <v>0</v>
      </c>
      <c r="L26" s="182">
        <f t="shared" si="2"/>
        <v>2014</v>
      </c>
      <c r="M26" s="182">
        <f t="shared" si="2"/>
        <v>2015</v>
      </c>
      <c r="N26" s="182">
        <f t="shared" si="2"/>
        <v>2016</v>
      </c>
      <c r="O26" s="182">
        <f t="shared" si="2"/>
        <v>2017</v>
      </c>
      <c r="P26" s="182">
        <f t="shared" si="2"/>
        <v>2018</v>
      </c>
      <c r="Q26" s="182">
        <f t="shared" si="2"/>
        <v>2019</v>
      </c>
      <c r="R26" s="182">
        <f t="shared" si="2"/>
        <v>2020</v>
      </c>
      <c r="S26" s="182">
        <f t="shared" si="2"/>
        <v>2021</v>
      </c>
      <c r="T26" s="182">
        <f t="shared" si="2"/>
        <v>2022</v>
      </c>
      <c r="U26" s="182">
        <f t="shared" si="2"/>
        <v>2023</v>
      </c>
      <c r="V26" s="182">
        <f t="shared" si="2"/>
        <v>2024</v>
      </c>
      <c r="W26" s="182">
        <f t="shared" si="2"/>
        <v>2025</v>
      </c>
      <c r="X26" s="182">
        <f t="shared" si="2"/>
        <v>2026</v>
      </c>
      <c r="Y26" s="182">
        <f t="shared" si="2"/>
        <v>2027</v>
      </c>
      <c r="Z26" s="182">
        <f t="shared" si="2"/>
        <v>2028</v>
      </c>
      <c r="AA26" s="182">
        <f t="shared" si="2"/>
        <v>2029</v>
      </c>
      <c r="AB26" s="182">
        <f t="shared" si="2"/>
        <v>2030</v>
      </c>
      <c r="AC26" s="182">
        <f t="shared" si="2"/>
        <v>2031</v>
      </c>
      <c r="AD26" s="182">
        <f t="shared" si="2"/>
        <v>2032</v>
      </c>
      <c r="AE26" s="182">
        <f t="shared" si="2"/>
        <v>2033</v>
      </c>
      <c r="AF26" s="182">
        <f t="shared" si="2"/>
        <v>2034</v>
      </c>
      <c r="AG26" s="182">
        <f t="shared" si="2"/>
        <v>2035</v>
      </c>
      <c r="AH26" s="182">
        <f t="shared" si="2"/>
        <v>2036</v>
      </c>
      <c r="AI26" s="182">
        <f t="shared" si="2"/>
        <v>2037</v>
      </c>
      <c r="AJ26" s="182">
        <f t="shared" si="2"/>
        <v>2038</v>
      </c>
      <c r="AK26" s="182">
        <f t="shared" si="2"/>
        <v>2039</v>
      </c>
      <c r="AL26" s="182">
        <f t="shared" si="2"/>
        <v>2040</v>
      </c>
      <c r="AM26" s="182">
        <f t="shared" si="2"/>
        <v>2041</v>
      </c>
      <c r="AN26" s="182">
        <f t="shared" si="2"/>
        <v>2042</v>
      </c>
      <c r="AO26" s="182">
        <f t="shared" si="2"/>
        <v>2043</v>
      </c>
      <c r="AP26" s="182">
        <f t="shared" si="2"/>
        <v>2044</v>
      </c>
      <c r="AQ26" s="182">
        <f t="shared" si="2"/>
        <v>2045</v>
      </c>
      <c r="AR26" s="182">
        <f t="shared" si="2"/>
        <v>2046</v>
      </c>
      <c r="AS26" s="182">
        <f t="shared" si="2"/>
        <v>2047</v>
      </c>
      <c r="AT26" s="182">
        <f t="shared" si="2"/>
        <v>2048</v>
      </c>
      <c r="AU26" s="182">
        <f t="shared" si="2"/>
        <v>2049</v>
      </c>
      <c r="AV26" s="182">
        <f t="shared" si="2"/>
        <v>2050</v>
      </c>
    </row>
    <row r="27" spans="2:48" ht="15" customHeight="1">
      <c r="E27" s="93" t="str">
        <f xml:space="preserve"> E20</f>
        <v>USD CPI Inflation</v>
      </c>
      <c r="G27" s="18" t="s">
        <v>1045</v>
      </c>
      <c r="I27" s="182" t="s">
        <v>1051</v>
      </c>
      <c r="L27" s="3">
        <f t="shared" ref="L27:AV27" si="3" xml:space="preserve"> INDEX($L$19:$AV$19, , MATCH(L26, $L18:$AV18, 0))</f>
        <v>236.715</v>
      </c>
      <c r="M27" s="3">
        <f t="shared" si="3"/>
        <v>237.00200000000001</v>
      </c>
      <c r="N27" s="3">
        <f t="shared" si="3"/>
        <v>240.005</v>
      </c>
      <c r="O27" s="3">
        <f t="shared" si="3"/>
        <v>245.12100000000001</v>
      </c>
      <c r="P27" s="3">
        <f t="shared" si="3"/>
        <v>251.1</v>
      </c>
      <c r="Q27" s="3">
        <f t="shared" si="3"/>
        <v>255.65299999999999</v>
      </c>
      <c r="R27" s="3">
        <f t="shared" si="3"/>
        <v>258.85599999999999</v>
      </c>
      <c r="S27" s="3">
        <f t="shared" si="3"/>
        <v>270.96800000000002</v>
      </c>
      <c r="T27" s="3">
        <f t="shared" si="3"/>
        <v>292.625</v>
      </c>
      <c r="U27" s="3">
        <f t="shared" si="3"/>
        <v>304.70400000000001</v>
      </c>
      <c r="V27" s="3">
        <f t="shared" si="3"/>
        <v>313.69799999999998</v>
      </c>
      <c r="W27" s="3">
        <f t="shared" si="3"/>
        <v>323.07</v>
      </c>
      <c r="X27" s="3">
        <f t="shared" si="3"/>
        <v>331.03500000000003</v>
      </c>
      <c r="Y27" s="3">
        <f t="shared" si="3"/>
        <v>338.02100000000002</v>
      </c>
      <c r="Z27" s="3">
        <f t="shared" si="3"/>
        <v>345.30700000000002</v>
      </c>
      <c r="AA27" s="3">
        <f t="shared" si="3"/>
        <v>352.79700000000003</v>
      </c>
      <c r="AB27" s="3">
        <f t="shared" si="3"/>
        <v>360.47</v>
      </c>
      <c r="AC27" s="3" t="e">
        <f t="shared" si="3"/>
        <v>#N/A</v>
      </c>
      <c r="AD27" s="3" t="e">
        <f t="shared" si="3"/>
        <v>#N/A</v>
      </c>
      <c r="AE27" s="3" t="e">
        <f t="shared" si="3"/>
        <v>#N/A</v>
      </c>
      <c r="AF27" s="3" t="e">
        <f t="shared" si="3"/>
        <v>#N/A</v>
      </c>
      <c r="AG27" s="3" t="e">
        <f t="shared" si="3"/>
        <v>#N/A</v>
      </c>
      <c r="AH27" s="3" t="e">
        <f t="shared" si="3"/>
        <v>#N/A</v>
      </c>
      <c r="AI27" s="3" t="e">
        <f t="shared" si="3"/>
        <v>#N/A</v>
      </c>
      <c r="AJ27" s="3" t="e">
        <f t="shared" si="3"/>
        <v>#N/A</v>
      </c>
      <c r="AK27" s="3" t="e">
        <f t="shared" si="3"/>
        <v>#N/A</v>
      </c>
      <c r="AL27" s="3" t="e">
        <f t="shared" si="3"/>
        <v>#N/A</v>
      </c>
      <c r="AM27" s="3" t="e">
        <f t="shared" si="3"/>
        <v>#N/A</v>
      </c>
      <c r="AN27" s="3" t="e">
        <f t="shared" si="3"/>
        <v>#N/A</v>
      </c>
      <c r="AO27" s="3" t="e">
        <f t="shared" si="3"/>
        <v>#N/A</v>
      </c>
      <c r="AP27" s="3" t="e">
        <f t="shared" si="3"/>
        <v>#N/A</v>
      </c>
      <c r="AQ27" s="3" t="e">
        <f t="shared" si="3"/>
        <v>#N/A</v>
      </c>
      <c r="AR27" s="3" t="e">
        <f t="shared" si="3"/>
        <v>#N/A</v>
      </c>
      <c r="AS27" s="3" t="e">
        <f t="shared" si="3"/>
        <v>#N/A</v>
      </c>
      <c r="AT27" s="3" t="e">
        <f t="shared" si="3"/>
        <v>#N/A</v>
      </c>
      <c r="AU27" s="3" t="e">
        <f t="shared" si="3"/>
        <v>#N/A</v>
      </c>
      <c r="AV27" s="3" t="e">
        <f t="shared" si="3"/>
        <v>#N/A</v>
      </c>
    </row>
    <row r="28" spans="2:48" ht="15" customHeight="1">
      <c r="E28" s="93" t="str">
        <f xml:space="preserve"> E27 &amp; " (incl forecast)"</f>
        <v>USD CPI Inflation (incl forecast)</v>
      </c>
      <c r="G28" s="18" t="s">
        <v>1045</v>
      </c>
      <c r="L28" s="93">
        <f t="shared" ref="L28:AV28" si="4" xml:space="preserve"> IF(L26 &gt; $F22, K28 * ( 1 + $F23), L27)</f>
        <v>236.715</v>
      </c>
      <c r="M28" s="93">
        <f t="shared" si="4"/>
        <v>237.00200000000001</v>
      </c>
      <c r="N28" s="93">
        <f t="shared" si="4"/>
        <v>240.005</v>
      </c>
      <c r="O28" s="93">
        <f t="shared" si="4"/>
        <v>245.12100000000001</v>
      </c>
      <c r="P28" s="93">
        <f t="shared" si="4"/>
        <v>251.1</v>
      </c>
      <c r="Q28" s="93">
        <f t="shared" si="4"/>
        <v>255.65299999999999</v>
      </c>
      <c r="R28" s="93">
        <f t="shared" si="4"/>
        <v>258.85599999999999</v>
      </c>
      <c r="S28" s="93">
        <f t="shared" si="4"/>
        <v>270.96800000000002</v>
      </c>
      <c r="T28" s="93">
        <f t="shared" si="4"/>
        <v>292.625</v>
      </c>
      <c r="U28" s="93">
        <f t="shared" si="4"/>
        <v>304.70400000000001</v>
      </c>
      <c r="V28" s="93">
        <f t="shared" si="4"/>
        <v>313.69799999999998</v>
      </c>
      <c r="W28" s="93">
        <f t="shared" si="4"/>
        <v>323.07</v>
      </c>
      <c r="X28" s="93">
        <f t="shared" si="4"/>
        <v>331.03500000000003</v>
      </c>
      <c r="Y28" s="93">
        <f t="shared" si="4"/>
        <v>338.02100000000002</v>
      </c>
      <c r="Z28" s="93">
        <f t="shared" si="4"/>
        <v>345.30700000000002</v>
      </c>
      <c r="AA28" s="93">
        <f t="shared" si="4"/>
        <v>352.79700000000003</v>
      </c>
      <c r="AB28" s="93">
        <f t="shared" si="4"/>
        <v>360.47</v>
      </c>
      <c r="AC28" s="93">
        <f t="shared" si="4"/>
        <v>367.67940000000004</v>
      </c>
      <c r="AD28" s="93">
        <f t="shared" si="4"/>
        <v>375.03298800000005</v>
      </c>
      <c r="AE28" s="93">
        <f t="shared" si="4"/>
        <v>382.53364776000006</v>
      </c>
      <c r="AF28" s="93">
        <f t="shared" si="4"/>
        <v>390.18432071520004</v>
      </c>
      <c r="AG28" s="93">
        <f t="shared" si="4"/>
        <v>397.98800712950407</v>
      </c>
      <c r="AH28" s="93">
        <f t="shared" si="4"/>
        <v>405.94776727209415</v>
      </c>
      <c r="AI28" s="93">
        <f t="shared" si="4"/>
        <v>414.06672261753607</v>
      </c>
      <c r="AJ28" s="93">
        <f xml:space="preserve"> IF(AJ26 &gt; $F22, AI28 * ( 1 + $F23), AJ27)</f>
        <v>422.34805706988681</v>
      </c>
      <c r="AK28" s="93">
        <f t="shared" si="4"/>
        <v>430.79501821128457</v>
      </c>
      <c r="AL28" s="93">
        <f t="shared" si="4"/>
        <v>439.41091857551027</v>
      </c>
      <c r="AM28" s="93">
        <f t="shared" si="4"/>
        <v>448.19913694702046</v>
      </c>
      <c r="AN28" s="93">
        <f t="shared" si="4"/>
        <v>457.16311968596091</v>
      </c>
      <c r="AO28" s="93">
        <f t="shared" si="4"/>
        <v>466.30638207968013</v>
      </c>
      <c r="AP28" s="93">
        <f t="shared" si="4"/>
        <v>475.63250972127372</v>
      </c>
      <c r="AQ28" s="93">
        <f t="shared" si="4"/>
        <v>485.1451599156992</v>
      </c>
      <c r="AR28" s="93">
        <f t="shared" si="4"/>
        <v>494.8480631140132</v>
      </c>
      <c r="AS28" s="93">
        <f t="shared" si="4"/>
        <v>504.74502437629349</v>
      </c>
      <c r="AT28" s="93">
        <f t="shared" si="4"/>
        <v>514.83992486381942</v>
      </c>
      <c r="AU28" s="93">
        <f t="shared" si="4"/>
        <v>525.13672336109585</v>
      </c>
      <c r="AV28" s="93">
        <f t="shared" si="4"/>
        <v>535.63945782831775</v>
      </c>
    </row>
    <row r="29" spans="2:48" ht="15" customHeight="1">
      <c r="E29" s="93" t="str">
        <f xml:space="preserve"> E28</f>
        <v>USD CPI Inflation (incl forecast)</v>
      </c>
      <c r="G29" s="18" t="s">
        <v>1054</v>
      </c>
      <c r="L29" s="78">
        <f t="shared" ref="L29:AV29" si="5" xml:space="preserve"> IF(L26 = $F8, $F23, L28 / K28 - 1)</f>
        <v>0.02</v>
      </c>
      <c r="M29" s="78">
        <f t="shared" si="5"/>
        <v>1.2124284477113001E-3</v>
      </c>
      <c r="N29" s="78">
        <f t="shared" si="5"/>
        <v>1.2670779149543066E-2</v>
      </c>
      <c r="O29" s="78">
        <f t="shared" si="5"/>
        <v>2.1316222578696253E-2</v>
      </c>
      <c r="P29" s="78">
        <f t="shared" si="5"/>
        <v>2.4392034954165531E-2</v>
      </c>
      <c r="Q29" s="78">
        <f t="shared" si="5"/>
        <v>1.8132218239745201E-2</v>
      </c>
      <c r="R29" s="78">
        <f t="shared" si="5"/>
        <v>1.2528701012700871E-2</v>
      </c>
      <c r="S29" s="78">
        <f t="shared" si="5"/>
        <v>4.679049355626308E-2</v>
      </c>
      <c r="T29" s="78">
        <f t="shared" si="5"/>
        <v>7.9924566738507785E-2</v>
      </c>
      <c r="U29" s="78">
        <f t="shared" si="5"/>
        <v>4.1278086287911187E-2</v>
      </c>
      <c r="V29" s="78">
        <f t="shared" si="5"/>
        <v>2.9517170762444866E-2</v>
      </c>
      <c r="W29" s="78">
        <f t="shared" si="5"/>
        <v>2.9875867872922512E-2</v>
      </c>
      <c r="X29" s="78">
        <f t="shared" si="5"/>
        <v>2.4654099730708534E-2</v>
      </c>
      <c r="Y29" s="78">
        <f t="shared" si="5"/>
        <v>2.110350869243427E-2</v>
      </c>
      <c r="Z29" s="78">
        <f t="shared" si="5"/>
        <v>2.1554873809615405E-2</v>
      </c>
      <c r="AA29" s="78">
        <f t="shared" si="5"/>
        <v>2.1690843220670386E-2</v>
      </c>
      <c r="AB29" s="78">
        <f t="shared" si="5"/>
        <v>2.1749051154063004E-2</v>
      </c>
      <c r="AC29" s="78">
        <f t="shared" si="5"/>
        <v>2.0000000000000018E-2</v>
      </c>
      <c r="AD29" s="78">
        <f t="shared" si="5"/>
        <v>2.0000000000000018E-2</v>
      </c>
      <c r="AE29" s="78">
        <f t="shared" si="5"/>
        <v>2.0000000000000018E-2</v>
      </c>
      <c r="AF29" s="78">
        <f t="shared" si="5"/>
        <v>2.0000000000000018E-2</v>
      </c>
      <c r="AG29" s="78">
        <f t="shared" si="5"/>
        <v>2.0000000000000018E-2</v>
      </c>
      <c r="AH29" s="78">
        <f t="shared" si="5"/>
        <v>2.0000000000000018E-2</v>
      </c>
      <c r="AI29" s="78">
        <f t="shared" si="5"/>
        <v>2.0000000000000018E-2</v>
      </c>
      <c r="AJ29" s="78">
        <f t="shared" si="5"/>
        <v>2.0000000000000018E-2</v>
      </c>
      <c r="AK29" s="78">
        <f t="shared" si="5"/>
        <v>2.0000000000000018E-2</v>
      </c>
      <c r="AL29" s="78">
        <f t="shared" si="5"/>
        <v>2.0000000000000018E-2</v>
      </c>
      <c r="AM29" s="78">
        <f t="shared" si="5"/>
        <v>2.0000000000000018E-2</v>
      </c>
      <c r="AN29" s="78">
        <f t="shared" si="5"/>
        <v>2.0000000000000018E-2</v>
      </c>
      <c r="AO29" s="78">
        <f t="shared" si="5"/>
        <v>2.0000000000000018E-2</v>
      </c>
      <c r="AP29" s="78">
        <f t="shared" si="5"/>
        <v>2.0000000000000018E-2</v>
      </c>
      <c r="AQ29" s="78">
        <f t="shared" si="5"/>
        <v>2.0000000000000018E-2</v>
      </c>
      <c r="AR29" s="78">
        <f t="shared" si="5"/>
        <v>2.0000000000000018E-2</v>
      </c>
      <c r="AS29" s="78">
        <f t="shared" si="5"/>
        <v>2.0000000000000018E-2</v>
      </c>
      <c r="AT29" s="78">
        <f t="shared" si="5"/>
        <v>2.0000000000000018E-2</v>
      </c>
      <c r="AU29" s="78">
        <f t="shared" si="5"/>
        <v>2.0000000000000018E-2</v>
      </c>
      <c r="AV29" s="78">
        <f t="shared" si="5"/>
        <v>2.0000000000000018E-2</v>
      </c>
    </row>
    <row r="31" spans="2:48" ht="15" customHeight="1">
      <c r="B31" s="16" t="s">
        <v>1211</v>
      </c>
    </row>
    <row r="32" spans="2:48" ht="15" customHeight="1">
      <c r="C32" s="17" t="s">
        <v>1060</v>
      </c>
    </row>
    <row r="33" spans="1:48" ht="15" customHeight="1">
      <c r="E33" s="176" t="str">
        <f xml:space="preserve"> InputsCon!E$21</f>
        <v>First forecast year</v>
      </c>
      <c r="F33" s="176">
        <f xml:space="preserve"> InputsCon!F$21</f>
        <v>2025</v>
      </c>
      <c r="G33" s="176" t="str">
        <f xml:space="preserve"> InputsCon!G$21</f>
        <v>year</v>
      </c>
    </row>
    <row r="34" spans="1:48" ht="15" customHeight="1">
      <c r="E34" s="665" t="str">
        <f>"Index value in " &amp; F33</f>
        <v>Index value in 2025</v>
      </c>
      <c r="F34" s="377" cm="1">
        <f t="array" ref="F34" xml:space="preserve"> INDEX(L27:AV27, , MATCH(F33, L26:AV26, 0))</f>
        <v>323.07</v>
      </c>
      <c r="G34" s="665" t="s">
        <v>596</v>
      </c>
    </row>
    <row r="35" spans="1:48" ht="15" customHeight="1">
      <c r="E35" s="414" t="str">
        <f xml:space="preserve"> Scenarios!B$46</f>
        <v>Inflation switch (1 = on)</v>
      </c>
      <c r="F35" s="659">
        <f xml:space="preserve"> Scenarios!C$46</f>
        <v>1</v>
      </c>
      <c r="G35" s="659" t="str">
        <f xml:space="preserve"> Scenarios!D$46</f>
        <v>flag</v>
      </c>
    </row>
    <row r="36" spans="1:48" ht="15" customHeight="1">
      <c r="E36" s="93" t="str">
        <f xml:space="preserve"> E28 &amp; " from " &amp; $F33</f>
        <v>USD CPI Inflation (incl forecast) from 2025</v>
      </c>
      <c r="G36" s="18" t="str">
        <f xml:space="preserve"> G34</f>
        <v>index</v>
      </c>
      <c r="L36" s="122">
        <f t="shared" ref="L36:AV36" si="6" xml:space="preserve"> IF( $F35 = 1, IF(L26 &lt;= $F33, 1, L28 / $F34), 1)</f>
        <v>1</v>
      </c>
      <c r="M36" s="122">
        <f t="shared" si="6"/>
        <v>1</v>
      </c>
      <c r="N36" s="122">
        <f t="shared" si="6"/>
        <v>1</v>
      </c>
      <c r="O36" s="122">
        <f t="shared" si="6"/>
        <v>1</v>
      </c>
      <c r="P36" s="122">
        <f t="shared" si="6"/>
        <v>1</v>
      </c>
      <c r="Q36" s="122">
        <f t="shared" si="6"/>
        <v>1</v>
      </c>
      <c r="R36" s="122">
        <f t="shared" si="6"/>
        <v>1</v>
      </c>
      <c r="S36" s="122">
        <f t="shared" si="6"/>
        <v>1</v>
      </c>
      <c r="T36" s="122">
        <f t="shared" si="6"/>
        <v>1</v>
      </c>
      <c r="U36" s="122">
        <f t="shared" si="6"/>
        <v>1</v>
      </c>
      <c r="V36" s="122">
        <f t="shared" si="6"/>
        <v>1</v>
      </c>
      <c r="W36" s="122">
        <f t="shared" si="6"/>
        <v>1</v>
      </c>
      <c r="X36" s="122">
        <f t="shared" si="6"/>
        <v>1.0246540997307085</v>
      </c>
      <c r="Y36" s="122">
        <f t="shared" si="6"/>
        <v>1.0462778964311141</v>
      </c>
      <c r="Z36" s="122">
        <f t="shared" si="6"/>
        <v>1.0688302844584765</v>
      </c>
      <c r="AA36" s="122">
        <f t="shared" si="6"/>
        <v>1.0920141145881699</v>
      </c>
      <c r="AB36" s="122">
        <f t="shared" si="6"/>
        <v>1.1157643854273069</v>
      </c>
      <c r="AC36" s="122">
        <f t="shared" si="6"/>
        <v>1.1380796731358531</v>
      </c>
      <c r="AD36" s="122">
        <f t="shared" si="6"/>
        <v>1.1608412665985701</v>
      </c>
      <c r="AE36" s="122">
        <f t="shared" si="6"/>
        <v>1.1840580919305417</v>
      </c>
      <c r="AF36" s="122">
        <f t="shared" si="6"/>
        <v>1.2077392537691523</v>
      </c>
      <c r="AG36" s="122">
        <f t="shared" si="6"/>
        <v>1.2318940388445354</v>
      </c>
      <c r="AH36" s="122">
        <f t="shared" si="6"/>
        <v>1.2565319196214262</v>
      </c>
      <c r="AI36" s="122">
        <f t="shared" si="6"/>
        <v>1.2816625580138548</v>
      </c>
      <c r="AJ36" s="122">
        <f t="shared" si="6"/>
        <v>1.307295809174132</v>
      </c>
      <c r="AK36" s="122">
        <f t="shared" si="6"/>
        <v>1.3334417253576147</v>
      </c>
      <c r="AL36" s="122">
        <f t="shared" si="6"/>
        <v>1.3601105598647669</v>
      </c>
      <c r="AM36" s="122">
        <f t="shared" si="6"/>
        <v>1.3873127710620623</v>
      </c>
      <c r="AN36" s="122">
        <f t="shared" si="6"/>
        <v>1.4150590264833036</v>
      </c>
      <c r="AO36" s="122">
        <f t="shared" si="6"/>
        <v>1.4433602070129699</v>
      </c>
      <c r="AP36" s="122">
        <f t="shared" si="6"/>
        <v>1.4722274111532292</v>
      </c>
      <c r="AQ36" s="122">
        <f t="shared" si="6"/>
        <v>1.5016719593762937</v>
      </c>
      <c r="AR36" s="122">
        <f t="shared" si="6"/>
        <v>1.5317053985638196</v>
      </c>
      <c r="AS36" s="122">
        <f t="shared" si="6"/>
        <v>1.562339506535096</v>
      </c>
      <c r="AT36" s="122">
        <f t="shared" si="6"/>
        <v>1.5935862966657983</v>
      </c>
      <c r="AU36" s="122">
        <f t="shared" si="6"/>
        <v>1.6254580225991142</v>
      </c>
      <c r="AV36" s="122">
        <f t="shared" si="6"/>
        <v>1.6579671830510965</v>
      </c>
    </row>
    <row r="38" spans="1:48" ht="15" customHeight="1">
      <c r="B38" s="16" t="s">
        <v>1212</v>
      </c>
    </row>
    <row r="39" spans="1:48" s="283" customFormat="1" ht="15" customHeight="1">
      <c r="A39" s="516"/>
      <c r="B39" s="516"/>
      <c r="C39" s="282"/>
      <c r="E39" s="665" t="s">
        <v>1213</v>
      </c>
      <c r="F39" s="752">
        <v>2019</v>
      </c>
      <c r="G39" s="665" t="str">
        <f xml:space="preserve"> InputsCon!G$21</f>
        <v>year</v>
      </c>
      <c r="I39" s="520"/>
      <c r="K39" s="412"/>
    </row>
    <row r="40" spans="1:48" ht="15" customHeight="1">
      <c r="E40" s="665" t="str">
        <f>"Index value in " &amp; F39</f>
        <v>Index value in 2019</v>
      </c>
      <c r="F40" s="377" cm="1">
        <f t="array" ref="F40" xml:space="preserve"> INDEX(L27:AV27, , MATCH(F39, L26:AV26, 0))</f>
        <v>255.65299999999999</v>
      </c>
      <c r="G40" s="665" t="s">
        <v>596</v>
      </c>
    </row>
    <row r="41" spans="1:48" ht="15" customHeight="1">
      <c r="E41" s="414" t="str">
        <f xml:space="preserve"> Scenarios!B$46</f>
        <v>Inflation switch (1 = on)</v>
      </c>
      <c r="F41" s="659">
        <f xml:space="preserve"> Scenarios!C$46</f>
        <v>1</v>
      </c>
      <c r="G41" s="659" t="str">
        <f xml:space="preserve"> Scenarios!D$46</f>
        <v>flag</v>
      </c>
    </row>
    <row r="42" spans="1:48" s="103" customFormat="1" ht="15" customHeight="1">
      <c r="A42" s="246"/>
      <c r="B42" s="246"/>
      <c r="C42" s="247"/>
      <c r="E42" s="535" t="str">
        <f xml:space="preserve"> E28 &amp; " from " &amp; $F39</f>
        <v>USD CPI Inflation (incl forecast) from 2019</v>
      </c>
      <c r="G42" s="103" t="str">
        <f xml:space="preserve"> G40</f>
        <v>index</v>
      </c>
      <c r="I42" s="210"/>
      <c r="K42" s="253"/>
      <c r="L42" s="803">
        <f t="shared" ref="L42:AV42" si="7" xml:space="preserve"> IF( $F41 = 1, IF(L26 &lt;= $F39, 1, L28 / $F40), 1)</f>
        <v>1</v>
      </c>
      <c r="M42" s="803">
        <f t="shared" si="7"/>
        <v>1</v>
      </c>
      <c r="N42" s="803">
        <f t="shared" si="7"/>
        <v>1</v>
      </c>
      <c r="O42" s="803">
        <f t="shared" si="7"/>
        <v>1</v>
      </c>
      <c r="P42" s="803">
        <f t="shared" si="7"/>
        <v>1</v>
      </c>
      <c r="Q42" s="803">
        <f t="shared" si="7"/>
        <v>1</v>
      </c>
      <c r="R42" s="803">
        <f t="shared" si="7"/>
        <v>1.0125287010127009</v>
      </c>
      <c r="S42" s="803">
        <f t="shared" si="7"/>
        <v>1.0599054186729671</v>
      </c>
      <c r="T42" s="803">
        <f t="shared" si="7"/>
        <v>1.1446179000442005</v>
      </c>
      <c r="U42" s="803">
        <f t="shared" si="7"/>
        <v>1.1918655364889128</v>
      </c>
      <c r="V42" s="803">
        <f t="shared" si="7"/>
        <v>1.2270460350553289</v>
      </c>
      <c r="W42" s="803">
        <f t="shared" si="7"/>
        <v>1.2637051002726352</v>
      </c>
      <c r="X42" s="803">
        <f t="shared" si="7"/>
        <v>1.2948606118449619</v>
      </c>
      <c r="Y42" s="803">
        <f t="shared" si="7"/>
        <v>1.3221867140225227</v>
      </c>
      <c r="Z42" s="803">
        <f t="shared" si="7"/>
        <v>1.3506862817960283</v>
      </c>
      <c r="AA42" s="803">
        <f t="shared" si="7"/>
        <v>1.379983806174776</v>
      </c>
      <c r="AB42" s="803">
        <f t="shared" si="7"/>
        <v>1.4099971445670501</v>
      </c>
      <c r="AC42" s="803">
        <f t="shared" si="7"/>
        <v>1.4381970874583911</v>
      </c>
      <c r="AD42" s="803">
        <f t="shared" si="7"/>
        <v>1.466961029207559</v>
      </c>
      <c r="AE42" s="803">
        <f t="shared" si="7"/>
        <v>1.4963002497917102</v>
      </c>
      <c r="AF42" s="803">
        <f t="shared" si="7"/>
        <v>1.5262262547875443</v>
      </c>
      <c r="AG42" s="803">
        <f t="shared" si="7"/>
        <v>1.5567507798832954</v>
      </c>
      <c r="AH42" s="803">
        <f t="shared" si="7"/>
        <v>1.5878857954809611</v>
      </c>
      <c r="AI42" s="803">
        <f t="shared" si="7"/>
        <v>1.6196435113905805</v>
      </c>
      <c r="AJ42" s="803">
        <f t="shared" si="7"/>
        <v>1.6520363816183923</v>
      </c>
      <c r="AK42" s="803">
        <f t="shared" si="7"/>
        <v>1.6850771092507602</v>
      </c>
      <c r="AL42" s="803">
        <f t="shared" si="7"/>
        <v>1.7187786514357755</v>
      </c>
      <c r="AM42" s="803">
        <f t="shared" si="7"/>
        <v>1.7531542244644909</v>
      </c>
      <c r="AN42" s="803">
        <f t="shared" si="7"/>
        <v>1.7882173089537807</v>
      </c>
      <c r="AO42" s="803">
        <f t="shared" si="7"/>
        <v>1.8239816551328565</v>
      </c>
      <c r="AP42" s="803">
        <f t="shared" si="7"/>
        <v>1.8604612882355136</v>
      </c>
      <c r="AQ42" s="803">
        <f t="shared" si="7"/>
        <v>1.8976705140002237</v>
      </c>
      <c r="AR42" s="803">
        <f t="shared" si="7"/>
        <v>1.9356239242802284</v>
      </c>
      <c r="AS42" s="803">
        <f t="shared" si="7"/>
        <v>1.974336402765833</v>
      </c>
      <c r="AT42" s="803">
        <f t="shared" si="7"/>
        <v>2.0138231308211498</v>
      </c>
      <c r="AU42" s="803">
        <f t="shared" si="7"/>
        <v>2.0540995934375732</v>
      </c>
      <c r="AV42" s="803">
        <f t="shared" si="7"/>
        <v>2.0951815853063245</v>
      </c>
    </row>
    <row r="44" spans="1:48" ht="15" customHeight="1">
      <c r="B44" s="16" t="s">
        <v>1058</v>
      </c>
    </row>
    <row r="45" spans="1:48" ht="15" customHeight="1">
      <c r="E45" s="176" t="str">
        <f xml:space="preserve"> InputsCon!E$24</f>
        <v>Real terms conversion year</v>
      </c>
      <c r="F45" s="176">
        <f xml:space="preserve"> InputsCon!F$24</f>
        <v>2023</v>
      </c>
      <c r="G45" s="176" t="str">
        <f xml:space="preserve"> InputsCon!G$24</f>
        <v>year</v>
      </c>
    </row>
    <row r="46" spans="1:48" ht="15" customHeight="1">
      <c r="E46" s="414" t="str">
        <f xml:space="preserve"> Scenarios!B$46</f>
        <v>Inflation switch (1 = on)</v>
      </c>
      <c r="F46" s="659">
        <f xml:space="preserve"> Scenarios!C$46</f>
        <v>1</v>
      </c>
      <c r="G46" s="659" t="str">
        <f xml:space="preserve"> Scenarios!D$46</f>
        <v>flag</v>
      </c>
    </row>
    <row r="47" spans="1:48" s="283" customFormat="1" ht="15" customHeight="1">
      <c r="A47" s="516"/>
      <c r="B47" s="516"/>
      <c r="C47" s="282"/>
      <c r="E47" s="665" t="str">
        <f>"Index value in " &amp; F45</f>
        <v>Index value in 2023</v>
      </c>
      <c r="F47" s="377" cm="1">
        <f t="array" ref="F47" xml:space="preserve"> INDEX(L28:AV28, , MATCH(F45, L26:AV26, 0))</f>
        <v>304.70400000000001</v>
      </c>
      <c r="G47" s="665" t="s">
        <v>596</v>
      </c>
      <c r="I47" s="520"/>
      <c r="K47" s="412"/>
    </row>
    <row r="48" spans="1:48" ht="15" customHeight="1">
      <c r="E48" s="416"/>
      <c r="F48" s="416"/>
      <c r="G48" s="416"/>
    </row>
    <row r="49" spans="1:48" s="103" customFormat="1" ht="15" customHeight="1">
      <c r="A49" s="246"/>
      <c r="B49" s="246"/>
      <c r="C49" s="247"/>
      <c r="E49" s="532" t="str">
        <f>"Deflation index rebased to " &amp; F45</f>
        <v>Deflation index rebased to 2023</v>
      </c>
      <c r="F49" s="532"/>
      <c r="G49" s="532" t="s">
        <v>596</v>
      </c>
      <c r="I49" s="210"/>
      <c r="K49" s="253"/>
      <c r="L49" s="803">
        <f t="shared" ref="L49:AV49" si="8" xml:space="preserve"> IF( $F46 = 1, L28 / $F47, 1)</f>
        <v>0.77686869880277254</v>
      </c>
      <c r="M49" s="803">
        <f t="shared" si="8"/>
        <v>0.7778105965133375</v>
      </c>
      <c r="N49" s="803">
        <f t="shared" si="8"/>
        <v>0.7876660628019323</v>
      </c>
      <c r="O49" s="803">
        <f t="shared" si="8"/>
        <v>0.80445612791430376</v>
      </c>
      <c r="P49" s="803">
        <f t="shared" si="8"/>
        <v>0.82407844990548196</v>
      </c>
      <c r="Q49" s="803">
        <f t="shared" si="8"/>
        <v>0.83902082020583901</v>
      </c>
      <c r="R49" s="803">
        <f t="shared" si="8"/>
        <v>0.84953266120562898</v>
      </c>
      <c r="S49" s="803">
        <f t="shared" si="8"/>
        <v>0.88928271371560597</v>
      </c>
      <c r="T49" s="803">
        <f t="shared" si="8"/>
        <v>0.96035824931737024</v>
      </c>
      <c r="U49" s="803">
        <f t="shared" si="8"/>
        <v>1</v>
      </c>
      <c r="V49" s="803">
        <f t="shared" si="8"/>
        <v>1.0295171707624449</v>
      </c>
      <c r="W49" s="803">
        <f t="shared" si="8"/>
        <v>1.0602748897290484</v>
      </c>
      <c r="X49" s="803">
        <f t="shared" si="8"/>
        <v>1.0864150126023946</v>
      </c>
      <c r="Y49" s="803">
        <f t="shared" si="8"/>
        <v>1.1093421812644402</v>
      </c>
      <c r="Z49" s="803">
        <f t="shared" si="8"/>
        <v>1.1332539119932787</v>
      </c>
      <c r="AA49" s="803">
        <f t="shared" si="8"/>
        <v>1.1578351449275364</v>
      </c>
      <c r="AB49" s="803">
        <f t="shared" si="8"/>
        <v>1.1830169607225374</v>
      </c>
      <c r="AC49" s="803">
        <f t="shared" si="8"/>
        <v>1.2066772999369881</v>
      </c>
      <c r="AD49" s="803">
        <f t="shared" si="8"/>
        <v>1.2308108459357279</v>
      </c>
      <c r="AE49" s="803">
        <f t="shared" si="8"/>
        <v>1.2554270628544426</v>
      </c>
      <c r="AF49" s="803">
        <f t="shared" si="8"/>
        <v>1.2805356041115312</v>
      </c>
      <c r="AG49" s="803">
        <f t="shared" si="8"/>
        <v>1.3061463161937621</v>
      </c>
      <c r="AH49" s="803">
        <f t="shared" si="8"/>
        <v>1.3322692425176372</v>
      </c>
      <c r="AI49" s="803">
        <f t="shared" si="8"/>
        <v>1.3589146273679902</v>
      </c>
      <c r="AJ49" s="803">
        <f t="shared" si="8"/>
        <v>1.38609291991535</v>
      </c>
      <c r="AK49" s="803">
        <f t="shared" si="8"/>
        <v>1.413814778313657</v>
      </c>
      <c r="AL49" s="803">
        <f t="shared" si="8"/>
        <v>1.4420910738799302</v>
      </c>
      <c r="AM49" s="803">
        <f t="shared" si="8"/>
        <v>1.4709328953575287</v>
      </c>
      <c r="AN49" s="803">
        <f t="shared" si="8"/>
        <v>1.5003515532646794</v>
      </c>
      <c r="AO49" s="803">
        <f t="shared" si="8"/>
        <v>1.5303585843299732</v>
      </c>
      <c r="AP49" s="803">
        <f t="shared" si="8"/>
        <v>1.5609657560165726</v>
      </c>
      <c r="AQ49" s="803">
        <f t="shared" si="8"/>
        <v>1.5921850711369039</v>
      </c>
      <c r="AR49" s="803">
        <f t="shared" si="8"/>
        <v>1.6240287725596421</v>
      </c>
      <c r="AS49" s="803">
        <f t="shared" si="8"/>
        <v>1.656509348010835</v>
      </c>
      <c r="AT49" s="803">
        <f t="shared" si="8"/>
        <v>1.689639534971052</v>
      </c>
      <c r="AU49" s="803">
        <f t="shared" si="8"/>
        <v>1.7234323256704731</v>
      </c>
      <c r="AV49" s="803">
        <f t="shared" si="8"/>
        <v>1.7579009721838825</v>
      </c>
    </row>
    <row r="51" spans="1:48" ht="15" customHeight="1">
      <c r="B51" s="16" t="s">
        <v>1231</v>
      </c>
    </row>
    <row r="52" spans="1:48" ht="15" customHeight="1">
      <c r="E52" s="814" t="str">
        <f xml:space="preserve"> Metalkol_Model1!E$12</f>
        <v>Copper produced: 2022FS + actuals</v>
      </c>
      <c r="F52" s="814">
        <f xml:space="preserve"> Metalkol_Model1!F$12</f>
        <v>0</v>
      </c>
      <c r="G52" s="814" t="str">
        <f xml:space="preserve"> Metalkol_Model1!G$12</f>
        <v>tonnes</v>
      </c>
      <c r="H52" s="814">
        <f xml:space="preserve"> Metalkol_Model1!H$12</f>
        <v>0</v>
      </c>
      <c r="I52" s="814">
        <f xml:space="preserve"> Metalkol_Model1!I$12</f>
        <v>0</v>
      </c>
      <c r="J52" s="814">
        <f xml:space="preserve"> Metalkol_Model1!J$12</f>
        <v>1421074.3320093753</v>
      </c>
      <c r="K52" s="814">
        <f xml:space="preserve"> Metalkol_Model1!K$12</f>
        <v>0</v>
      </c>
      <c r="L52" s="814">
        <f xml:space="preserve"> Metalkol_Model1!L$12</f>
        <v>0</v>
      </c>
      <c r="M52" s="814">
        <f xml:space="preserve"> Metalkol_Model1!M$12</f>
        <v>0</v>
      </c>
      <c r="N52" s="814">
        <f xml:space="preserve"> Metalkol_Model1!N$12</f>
        <v>0</v>
      </c>
      <c r="O52" s="814">
        <f xml:space="preserve"> Metalkol_Model1!O$12</f>
        <v>0</v>
      </c>
      <c r="P52" s="814">
        <f xml:space="preserve"> Metalkol_Model1!P$12</f>
        <v>9225.5633513999983</v>
      </c>
      <c r="Q52" s="814">
        <f xml:space="preserve"> Metalkol_Model1!Q$12</f>
        <v>95205.768657975364</v>
      </c>
      <c r="R52" s="814">
        <f xml:space="preserve"> Metalkol_Model1!R$12</f>
        <v>80312</v>
      </c>
      <c r="S52" s="814">
        <f xml:space="preserve"> Metalkol_Model1!S$12</f>
        <v>94807</v>
      </c>
      <c r="T52" s="814">
        <f xml:space="preserve"> Metalkol_Model1!T$12</f>
        <v>97940</v>
      </c>
      <c r="U52" s="814">
        <f xml:space="preserve"> Metalkol_Model1!U$12</f>
        <v>102006</v>
      </c>
      <c r="V52" s="814">
        <f xml:space="preserve"> Metalkol_Model1!V$12</f>
        <v>104669</v>
      </c>
      <c r="W52" s="814">
        <f xml:space="preserve"> Metalkol_Model1!W$12</f>
        <v>105101</v>
      </c>
      <c r="X52" s="814">
        <f xml:space="preserve"> Metalkol_Model1!X$12</f>
        <v>105002</v>
      </c>
      <c r="Y52" s="814">
        <f xml:space="preserve"> Metalkol_Model1!Y$12</f>
        <v>105956</v>
      </c>
      <c r="Z52" s="814">
        <f xml:space="preserve"> Metalkol_Model1!Z$12</f>
        <v>105003</v>
      </c>
      <c r="AA52" s="814">
        <f xml:space="preserve"> Metalkol_Model1!AA$12</f>
        <v>104332</v>
      </c>
      <c r="AB52" s="814">
        <f xml:space="preserve"> Metalkol_Model1!AB$12</f>
        <v>105002</v>
      </c>
      <c r="AC52" s="814">
        <f xml:space="preserve"> Metalkol_Model1!AC$12</f>
        <v>104504</v>
      </c>
      <c r="AD52" s="814">
        <f xml:space="preserve"> Metalkol_Model1!AD$12</f>
        <v>102009</v>
      </c>
      <c r="AE52" s="814">
        <f xml:space="preserve"> Metalkol_Model1!AE$12</f>
        <v>0</v>
      </c>
      <c r="AF52" s="814">
        <f xml:space="preserve"> Metalkol_Model1!AF$12</f>
        <v>0</v>
      </c>
      <c r="AG52" s="814">
        <f xml:space="preserve"> Metalkol_Model1!AG$12</f>
        <v>0</v>
      </c>
      <c r="AH52" s="814">
        <f xml:space="preserve"> Metalkol_Model1!AH$12</f>
        <v>0</v>
      </c>
      <c r="AI52" s="814">
        <f xml:space="preserve"> Metalkol_Model1!AI$12</f>
        <v>0</v>
      </c>
      <c r="AJ52" s="814">
        <f xml:space="preserve"> Metalkol_Model1!AJ$12</f>
        <v>0</v>
      </c>
      <c r="AK52" s="814">
        <f xml:space="preserve"> Metalkol_Model1!AK$12</f>
        <v>0</v>
      </c>
      <c r="AL52" s="814">
        <f xml:space="preserve"> Metalkol_Model1!AL$12</f>
        <v>0</v>
      </c>
      <c r="AM52" s="814">
        <f xml:space="preserve"> Metalkol_Model1!AM$12</f>
        <v>0</v>
      </c>
      <c r="AN52" s="814">
        <f xml:space="preserve"> Metalkol_Model1!AN$12</f>
        <v>0</v>
      </c>
      <c r="AO52" s="814">
        <f xml:space="preserve"> Metalkol_Model1!AO$12</f>
        <v>0</v>
      </c>
      <c r="AP52" s="814">
        <f xml:space="preserve"> Metalkol_Model1!AP$12</f>
        <v>0</v>
      </c>
      <c r="AQ52" s="814">
        <f xml:space="preserve"> Metalkol_Model1!AQ$12</f>
        <v>0</v>
      </c>
      <c r="AR52" s="814">
        <f xml:space="preserve"> Metalkol_Model1!AR$12</f>
        <v>0</v>
      </c>
      <c r="AS52" s="814">
        <f xml:space="preserve"> Metalkol_Model1!AS$12</f>
        <v>0</v>
      </c>
      <c r="AT52" s="814">
        <f xml:space="preserve"> Metalkol_Model1!AT$12</f>
        <v>0</v>
      </c>
      <c r="AU52" s="814">
        <f xml:space="preserve"> Metalkol_Model1!AU$12</f>
        <v>0</v>
      </c>
      <c r="AV52" s="814">
        <f xml:space="preserve"> Metalkol_Model1!AV$12</f>
        <v>0</v>
      </c>
    </row>
    <row r="53" spans="1:48" s="820" customFormat="1" ht="15" customHeight="1">
      <c r="E53" s="820" t="str">
        <f xml:space="preserve"> B51</f>
        <v>Production Start Year</v>
      </c>
      <c r="G53" s="820" t="s">
        <v>1223</v>
      </c>
      <c r="L53" s="820">
        <f t="shared" ref="L53:AV53" si="9">IF(AND(K52=0,L52&gt;0),1,0)</f>
        <v>0</v>
      </c>
      <c r="M53" s="820">
        <f t="shared" si="9"/>
        <v>0</v>
      </c>
      <c r="N53" s="820">
        <f t="shared" si="9"/>
        <v>0</v>
      </c>
      <c r="O53" s="820">
        <f t="shared" si="9"/>
        <v>0</v>
      </c>
      <c r="P53" s="820">
        <f t="shared" si="9"/>
        <v>1</v>
      </c>
      <c r="Q53" s="820">
        <f t="shared" si="9"/>
        <v>0</v>
      </c>
      <c r="R53" s="820">
        <f t="shared" si="9"/>
        <v>0</v>
      </c>
      <c r="S53" s="820">
        <f t="shared" si="9"/>
        <v>0</v>
      </c>
      <c r="T53" s="820">
        <f t="shared" si="9"/>
        <v>0</v>
      </c>
      <c r="U53" s="820">
        <f t="shared" si="9"/>
        <v>0</v>
      </c>
      <c r="V53" s="820">
        <f t="shared" si="9"/>
        <v>0</v>
      </c>
      <c r="W53" s="820">
        <f t="shared" si="9"/>
        <v>0</v>
      </c>
      <c r="X53" s="820">
        <f t="shared" si="9"/>
        <v>0</v>
      </c>
      <c r="Y53" s="820">
        <f t="shared" si="9"/>
        <v>0</v>
      </c>
      <c r="Z53" s="820">
        <f t="shared" si="9"/>
        <v>0</v>
      </c>
      <c r="AA53" s="820">
        <f t="shared" si="9"/>
        <v>0</v>
      </c>
      <c r="AB53" s="820">
        <f t="shared" si="9"/>
        <v>0</v>
      </c>
      <c r="AC53" s="820">
        <f t="shared" si="9"/>
        <v>0</v>
      </c>
      <c r="AD53" s="820">
        <f t="shared" si="9"/>
        <v>0</v>
      </c>
      <c r="AE53" s="820">
        <f t="shared" si="9"/>
        <v>0</v>
      </c>
      <c r="AF53" s="820">
        <f t="shared" si="9"/>
        <v>0</v>
      </c>
      <c r="AG53" s="820">
        <f t="shared" si="9"/>
        <v>0</v>
      </c>
      <c r="AH53" s="820">
        <f t="shared" si="9"/>
        <v>0</v>
      </c>
      <c r="AI53" s="820">
        <f t="shared" si="9"/>
        <v>0</v>
      </c>
      <c r="AJ53" s="820">
        <f t="shared" si="9"/>
        <v>0</v>
      </c>
      <c r="AK53" s="820">
        <f t="shared" si="9"/>
        <v>0</v>
      </c>
      <c r="AL53" s="820">
        <f t="shared" si="9"/>
        <v>0</v>
      </c>
      <c r="AM53" s="820">
        <f t="shared" si="9"/>
        <v>0</v>
      </c>
      <c r="AN53" s="820">
        <f t="shared" si="9"/>
        <v>0</v>
      </c>
      <c r="AO53" s="820">
        <f t="shared" si="9"/>
        <v>0</v>
      </c>
      <c r="AP53" s="820">
        <f t="shared" si="9"/>
        <v>0</v>
      </c>
      <c r="AQ53" s="820">
        <f t="shared" si="9"/>
        <v>0</v>
      </c>
      <c r="AR53" s="820">
        <f t="shared" si="9"/>
        <v>0</v>
      </c>
      <c r="AS53" s="820">
        <f t="shared" si="9"/>
        <v>0</v>
      </c>
      <c r="AT53" s="820">
        <f t="shared" si="9"/>
        <v>0</v>
      </c>
      <c r="AU53" s="820">
        <f t="shared" si="9"/>
        <v>0</v>
      </c>
      <c r="AV53" s="820">
        <f t="shared" si="9"/>
        <v>0</v>
      </c>
    </row>
    <row r="54" spans="1:48" s="103" customFormat="1" ht="15" customHeight="1">
      <c r="A54" s="246"/>
      <c r="B54" s="246"/>
      <c r="C54" s="247"/>
      <c r="E54" s="535" t="s">
        <v>1231</v>
      </c>
      <c r="F54" s="532">
        <f>SUMPRODUCT(L2:AV2,L53:AV53)</f>
        <v>2018</v>
      </c>
      <c r="G54" s="103" t="s">
        <v>62</v>
      </c>
      <c r="I54" s="210"/>
      <c r="K54" s="253"/>
    </row>
    <row r="57" spans="1:48" s="31" customFormat="1" ht="15" customHeight="1" collapsed="1">
      <c r="A57" s="34" t="s">
        <v>1096</v>
      </c>
      <c r="B57" s="28"/>
      <c r="C57" s="29"/>
      <c r="D57" s="30"/>
      <c r="E57" s="701"/>
      <c r="F57" s="28"/>
      <c r="G57" s="28"/>
      <c r="H57" s="28"/>
      <c r="I57" s="28"/>
      <c r="J57" s="28"/>
      <c r="K57" s="42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9" spans="1:48" ht="15" customHeight="1">
      <c r="E59" s="93" t="str">
        <f t="shared" ref="E59:AV59" si="10" xml:space="preserve"> E$9</f>
        <v>Model calendar year</v>
      </c>
      <c r="F59" s="93">
        <f t="shared" si="10"/>
        <v>0</v>
      </c>
      <c r="G59" s="93" t="str">
        <f t="shared" si="10"/>
        <v>year</v>
      </c>
      <c r="H59" s="93">
        <f t="shared" si="10"/>
        <v>0</v>
      </c>
      <c r="I59" s="93">
        <f t="shared" si="10"/>
        <v>0</v>
      </c>
      <c r="J59" s="93">
        <f t="shared" si="10"/>
        <v>0</v>
      </c>
      <c r="K59" s="93">
        <f t="shared" si="10"/>
        <v>0</v>
      </c>
      <c r="L59" s="93">
        <f t="shared" si="10"/>
        <v>2014</v>
      </c>
      <c r="M59" s="93">
        <f t="shared" si="10"/>
        <v>2015</v>
      </c>
      <c r="N59" s="93">
        <f t="shared" si="10"/>
        <v>2016</v>
      </c>
      <c r="O59" s="93">
        <f t="shared" si="10"/>
        <v>2017</v>
      </c>
      <c r="P59" s="93">
        <f t="shared" si="10"/>
        <v>2018</v>
      </c>
      <c r="Q59" s="93">
        <f t="shared" si="10"/>
        <v>2019</v>
      </c>
      <c r="R59" s="93">
        <f t="shared" si="10"/>
        <v>2020</v>
      </c>
      <c r="S59" s="93">
        <f t="shared" si="10"/>
        <v>2021</v>
      </c>
      <c r="T59" s="93">
        <f t="shared" si="10"/>
        <v>2022</v>
      </c>
      <c r="U59" s="93">
        <f t="shared" si="10"/>
        <v>2023</v>
      </c>
      <c r="V59" s="93">
        <f t="shared" si="10"/>
        <v>2024</v>
      </c>
      <c r="W59" s="93">
        <f t="shared" si="10"/>
        <v>2025</v>
      </c>
      <c r="X59" s="93">
        <f t="shared" si="10"/>
        <v>2026</v>
      </c>
      <c r="Y59" s="93">
        <f t="shared" si="10"/>
        <v>2027</v>
      </c>
      <c r="Z59" s="93">
        <f t="shared" si="10"/>
        <v>2028</v>
      </c>
      <c r="AA59" s="93">
        <f t="shared" si="10"/>
        <v>2029</v>
      </c>
      <c r="AB59" s="93">
        <f t="shared" si="10"/>
        <v>2030</v>
      </c>
      <c r="AC59" s="93">
        <f t="shared" si="10"/>
        <v>2031</v>
      </c>
      <c r="AD59" s="93">
        <f t="shared" si="10"/>
        <v>2032</v>
      </c>
      <c r="AE59" s="93">
        <f t="shared" si="10"/>
        <v>2033</v>
      </c>
      <c r="AF59" s="93">
        <f t="shared" si="10"/>
        <v>2034</v>
      </c>
      <c r="AG59" s="93">
        <f t="shared" si="10"/>
        <v>2035</v>
      </c>
      <c r="AH59" s="93">
        <f t="shared" si="10"/>
        <v>2036</v>
      </c>
      <c r="AI59" s="93">
        <f t="shared" si="10"/>
        <v>2037</v>
      </c>
      <c r="AJ59" s="93">
        <f t="shared" si="10"/>
        <v>2038</v>
      </c>
      <c r="AK59" s="93">
        <f t="shared" si="10"/>
        <v>2039</v>
      </c>
      <c r="AL59" s="93">
        <f t="shared" si="10"/>
        <v>2040</v>
      </c>
      <c r="AM59" s="93">
        <f t="shared" si="10"/>
        <v>2041</v>
      </c>
      <c r="AN59" s="93">
        <f t="shared" si="10"/>
        <v>2042</v>
      </c>
      <c r="AO59" s="93">
        <f t="shared" si="10"/>
        <v>2043</v>
      </c>
      <c r="AP59" s="93">
        <f t="shared" si="10"/>
        <v>2044</v>
      </c>
      <c r="AQ59" s="93">
        <f t="shared" si="10"/>
        <v>2045</v>
      </c>
      <c r="AR59" s="93">
        <f t="shared" si="10"/>
        <v>2046</v>
      </c>
      <c r="AS59" s="93">
        <f t="shared" si="10"/>
        <v>2047</v>
      </c>
      <c r="AT59" s="93">
        <f t="shared" si="10"/>
        <v>2048</v>
      </c>
      <c r="AU59" s="93">
        <f t="shared" si="10"/>
        <v>2049</v>
      </c>
      <c r="AV59" s="93">
        <f t="shared" si="10"/>
        <v>2050</v>
      </c>
    </row>
    <row r="60" spans="1:48" ht="15" customHeight="1">
      <c r="E60" s="93" t="s">
        <v>1097</v>
      </c>
      <c r="G60" s="18" t="s">
        <v>26</v>
      </c>
      <c r="L60" s="137">
        <v>3.2919249011857648E-3</v>
      </c>
      <c r="M60" s="137">
        <v>4.8515256916996045E-3</v>
      </c>
      <c r="N60" s="137">
        <v>1.0590186507936503E-2</v>
      </c>
      <c r="O60" s="137">
        <v>1.4752334661354583E-2</v>
      </c>
      <c r="P60" s="137">
        <v>2.4859274900398399E-2</v>
      </c>
      <c r="Q60" s="137">
        <v>2.3175798418972337E-2</v>
      </c>
      <c r="R60" s="137">
        <v>8.9388713450292371E-3</v>
      </c>
      <c r="S60" s="184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</row>
    <row r="61" spans="1:48" ht="15" customHeight="1">
      <c r="E61" s="93" t="s">
        <v>1098</v>
      </c>
      <c r="G61" s="18" t="s">
        <v>26</v>
      </c>
      <c r="S61" s="137">
        <v>4.7694199999999984E-4</v>
      </c>
      <c r="T61" s="137">
        <v>8.1812538152610682E-3</v>
      </c>
      <c r="U61" s="137">
        <v>4.5826553413654623E-2</v>
      </c>
      <c r="V61" s="137">
        <v>5.3465279199999986E-2</v>
      </c>
      <c r="W61" s="137">
        <v>4.6147064102564105E-2</v>
      </c>
    </row>
    <row r="62" spans="1:48" ht="15" customHeight="1">
      <c r="E62" s="93" t="s">
        <v>1100</v>
      </c>
      <c r="G62" s="18" t="s">
        <v>26</v>
      </c>
      <c r="L62" s="78">
        <f t="shared" ref="L62:AV62" si="11" xml:space="preserve"> L60 + L61</f>
        <v>3.2919249011857648E-3</v>
      </c>
      <c r="M62" s="78">
        <f t="shared" si="11"/>
        <v>4.8515256916996045E-3</v>
      </c>
      <c r="N62" s="78">
        <f t="shared" si="11"/>
        <v>1.0590186507936503E-2</v>
      </c>
      <c r="O62" s="78">
        <f t="shared" si="11"/>
        <v>1.4752334661354583E-2</v>
      </c>
      <c r="P62" s="78">
        <f t="shared" si="11"/>
        <v>2.4859274900398399E-2</v>
      </c>
      <c r="Q62" s="78">
        <f t="shared" si="11"/>
        <v>2.3175798418972337E-2</v>
      </c>
      <c r="R62" s="78">
        <f t="shared" si="11"/>
        <v>8.9388713450292371E-3</v>
      </c>
      <c r="S62" s="78">
        <f t="shared" si="11"/>
        <v>4.7694199999999984E-4</v>
      </c>
      <c r="T62" s="78">
        <f t="shared" si="11"/>
        <v>8.1812538152610682E-3</v>
      </c>
      <c r="U62" s="78">
        <f t="shared" si="11"/>
        <v>4.5826553413654623E-2</v>
      </c>
      <c r="V62" s="78">
        <f t="shared" si="11"/>
        <v>5.3465279199999986E-2</v>
      </c>
      <c r="W62" s="78">
        <f t="shared" si="11"/>
        <v>4.6147064102564105E-2</v>
      </c>
      <c r="X62" s="78">
        <f t="shared" si="11"/>
        <v>0</v>
      </c>
      <c r="Y62" s="78">
        <f t="shared" si="11"/>
        <v>0</v>
      </c>
      <c r="Z62" s="78">
        <f t="shared" si="11"/>
        <v>0</v>
      </c>
      <c r="AA62" s="78">
        <f t="shared" si="11"/>
        <v>0</v>
      </c>
      <c r="AB62" s="78">
        <f t="shared" si="11"/>
        <v>0</v>
      </c>
      <c r="AC62" s="78">
        <f t="shared" si="11"/>
        <v>0</v>
      </c>
      <c r="AD62" s="78">
        <f t="shared" si="11"/>
        <v>0</v>
      </c>
      <c r="AE62" s="78">
        <f t="shared" si="11"/>
        <v>0</v>
      </c>
      <c r="AF62" s="78">
        <f t="shared" si="11"/>
        <v>0</v>
      </c>
      <c r="AG62" s="78">
        <f t="shared" si="11"/>
        <v>0</v>
      </c>
      <c r="AH62" s="78">
        <f t="shared" si="11"/>
        <v>0</v>
      </c>
      <c r="AI62" s="78">
        <f t="shared" si="11"/>
        <v>0</v>
      </c>
      <c r="AJ62" s="78">
        <f t="shared" si="11"/>
        <v>0</v>
      </c>
      <c r="AK62" s="78">
        <f t="shared" si="11"/>
        <v>0</v>
      </c>
      <c r="AL62" s="78">
        <f t="shared" si="11"/>
        <v>0</v>
      </c>
      <c r="AM62" s="78">
        <f t="shared" si="11"/>
        <v>0</v>
      </c>
      <c r="AN62" s="78">
        <f t="shared" si="11"/>
        <v>0</v>
      </c>
      <c r="AO62" s="78">
        <f t="shared" si="11"/>
        <v>0</v>
      </c>
      <c r="AP62" s="78">
        <f t="shared" si="11"/>
        <v>0</v>
      </c>
      <c r="AQ62" s="78">
        <f t="shared" si="11"/>
        <v>0</v>
      </c>
      <c r="AR62" s="78">
        <f t="shared" si="11"/>
        <v>0</v>
      </c>
      <c r="AS62" s="78">
        <f t="shared" si="11"/>
        <v>0</v>
      </c>
      <c r="AT62" s="78">
        <f t="shared" si="11"/>
        <v>0</v>
      </c>
      <c r="AU62" s="78">
        <f t="shared" si="11"/>
        <v>0</v>
      </c>
      <c r="AV62" s="78">
        <f t="shared" si="11"/>
        <v>0</v>
      </c>
    </row>
    <row r="63" spans="1:48" ht="15" customHeight="1"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</row>
    <row r="64" spans="1:48" ht="15" customHeight="1"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</row>
    <row r="65" spans="1:48" ht="15" customHeight="1">
      <c r="E65" s="78" t="str">
        <f t="shared" ref="E65:AD65" si="12" xml:space="preserve"> E$29</f>
        <v>USD CPI Inflation (incl forecast)</v>
      </c>
      <c r="F65" s="78">
        <f t="shared" si="12"/>
        <v>0</v>
      </c>
      <c r="G65" s="78" t="str">
        <f t="shared" si="12"/>
        <v>% change</v>
      </c>
      <c r="H65" s="78">
        <f t="shared" si="12"/>
        <v>0</v>
      </c>
      <c r="I65" s="78">
        <f t="shared" si="12"/>
        <v>0</v>
      </c>
      <c r="J65" s="78">
        <f t="shared" si="12"/>
        <v>0</v>
      </c>
      <c r="K65" s="78">
        <f t="shared" si="12"/>
        <v>0</v>
      </c>
      <c r="L65" s="78">
        <f t="shared" si="12"/>
        <v>0.02</v>
      </c>
      <c r="M65" s="78">
        <f t="shared" si="12"/>
        <v>1.2124284477113001E-3</v>
      </c>
      <c r="N65" s="78">
        <f t="shared" si="12"/>
        <v>1.2670779149543066E-2</v>
      </c>
      <c r="O65" s="78">
        <f t="shared" si="12"/>
        <v>2.1316222578696253E-2</v>
      </c>
      <c r="P65" s="78">
        <f t="shared" si="12"/>
        <v>2.4392034954165531E-2</v>
      </c>
      <c r="Q65" s="78">
        <f t="shared" si="12"/>
        <v>1.8132218239745201E-2</v>
      </c>
      <c r="R65" s="78">
        <f t="shared" si="12"/>
        <v>1.2528701012700871E-2</v>
      </c>
      <c r="S65" s="78">
        <f t="shared" si="12"/>
        <v>4.679049355626308E-2</v>
      </c>
      <c r="T65" s="78">
        <f t="shared" si="12"/>
        <v>7.9924566738507785E-2</v>
      </c>
      <c r="U65" s="78">
        <f t="shared" si="12"/>
        <v>4.1278086287911187E-2</v>
      </c>
      <c r="V65" s="78">
        <f t="shared" si="12"/>
        <v>2.9517170762444866E-2</v>
      </c>
      <c r="W65" s="78">
        <f t="shared" si="12"/>
        <v>2.9875867872922512E-2</v>
      </c>
      <c r="X65" s="78">
        <f t="shared" si="12"/>
        <v>2.4654099730708534E-2</v>
      </c>
      <c r="Y65" s="78">
        <f t="shared" si="12"/>
        <v>2.110350869243427E-2</v>
      </c>
      <c r="Z65" s="78">
        <f t="shared" si="12"/>
        <v>2.1554873809615405E-2</v>
      </c>
      <c r="AA65" s="78">
        <f t="shared" si="12"/>
        <v>2.1690843220670386E-2</v>
      </c>
      <c r="AB65" s="78">
        <f t="shared" si="12"/>
        <v>2.1749051154063004E-2</v>
      </c>
      <c r="AC65" s="78">
        <f t="shared" si="12"/>
        <v>2.0000000000000018E-2</v>
      </c>
      <c r="AD65" s="78">
        <f t="shared" si="12"/>
        <v>2.0000000000000018E-2</v>
      </c>
      <c r="AE65" s="78">
        <f t="shared" ref="AE65:AV65" si="13" xml:space="preserve"> AE$29</f>
        <v>2.0000000000000018E-2</v>
      </c>
      <c r="AF65" s="78">
        <f t="shared" si="13"/>
        <v>2.0000000000000018E-2</v>
      </c>
      <c r="AG65" s="78">
        <f t="shared" si="13"/>
        <v>2.0000000000000018E-2</v>
      </c>
      <c r="AH65" s="78">
        <f t="shared" si="13"/>
        <v>2.0000000000000018E-2</v>
      </c>
      <c r="AI65" s="78">
        <f t="shared" si="13"/>
        <v>2.0000000000000018E-2</v>
      </c>
      <c r="AJ65" s="78">
        <f t="shared" si="13"/>
        <v>2.0000000000000018E-2</v>
      </c>
      <c r="AK65" s="78">
        <f t="shared" si="13"/>
        <v>2.0000000000000018E-2</v>
      </c>
      <c r="AL65" s="78">
        <f t="shared" si="13"/>
        <v>2.0000000000000018E-2</v>
      </c>
      <c r="AM65" s="78">
        <f t="shared" si="13"/>
        <v>2.0000000000000018E-2</v>
      </c>
      <c r="AN65" s="78">
        <f t="shared" si="13"/>
        <v>2.0000000000000018E-2</v>
      </c>
      <c r="AO65" s="78">
        <f t="shared" si="13"/>
        <v>2.0000000000000018E-2</v>
      </c>
      <c r="AP65" s="78">
        <f t="shared" si="13"/>
        <v>2.0000000000000018E-2</v>
      </c>
      <c r="AQ65" s="78">
        <f t="shared" si="13"/>
        <v>2.0000000000000018E-2</v>
      </c>
      <c r="AR65" s="78">
        <f t="shared" si="13"/>
        <v>2.0000000000000018E-2</v>
      </c>
      <c r="AS65" s="78">
        <f t="shared" si="13"/>
        <v>2.0000000000000018E-2</v>
      </c>
      <c r="AT65" s="78">
        <f t="shared" si="13"/>
        <v>2.0000000000000018E-2</v>
      </c>
      <c r="AU65" s="78">
        <f t="shared" si="13"/>
        <v>2.0000000000000018E-2</v>
      </c>
      <c r="AV65" s="78">
        <f t="shared" si="13"/>
        <v>2.0000000000000018E-2</v>
      </c>
    </row>
    <row r="66" spans="1:48" ht="15" customHeight="1">
      <c r="E66" s="93" t="s">
        <v>1101</v>
      </c>
      <c r="G66" s="18" t="s">
        <v>26</v>
      </c>
      <c r="L66" s="78">
        <f t="shared" ref="L66:AE66" si="14" xml:space="preserve"> ( 1 +L62) / ( 1 + L65) -1</f>
        <v>-1.6380465783151221E-2</v>
      </c>
      <c r="M66" s="78">
        <f t="shared" si="14"/>
        <v>3.6346904418980142E-3</v>
      </c>
      <c r="N66" s="78">
        <f t="shared" si="14"/>
        <v>-2.0545597685299732E-3</v>
      </c>
      <c r="O66" s="78">
        <f t="shared" si="14"/>
        <v>-6.4268908808368108E-3</v>
      </c>
      <c r="P66" s="78">
        <f t="shared" si="14"/>
        <v>4.5611438813430993E-4</v>
      </c>
      <c r="Q66" s="78">
        <f t="shared" si="14"/>
        <v>4.9537575659348576E-3</v>
      </c>
      <c r="R66" s="78">
        <f t="shared" si="14"/>
        <v>-3.5454102822777278E-3</v>
      </c>
      <c r="S66" s="78">
        <f t="shared" si="14"/>
        <v>-4.4243381881432731E-2</v>
      </c>
      <c r="T66" s="78">
        <f t="shared" si="14"/>
        <v>-6.6433633545275761E-2</v>
      </c>
      <c r="U66" s="78">
        <f t="shared" si="14"/>
        <v>4.3681579259564618E-3</v>
      </c>
      <c r="V66" s="78">
        <f t="shared" si="14"/>
        <v>2.3261494919817105E-2</v>
      </c>
      <c r="W66" s="78">
        <f t="shared" si="14"/>
        <v>1.5799181956994257E-2</v>
      </c>
      <c r="X66" s="78">
        <f xml:space="preserve"> ( 1 +X62) / ( 1 + X65) -1</f>
        <v>-2.4060899904843946E-2</v>
      </c>
      <c r="Y66" s="78">
        <f t="shared" si="14"/>
        <v>-2.0667354986820263E-2</v>
      </c>
      <c r="Z66" s="78">
        <f t="shared" si="14"/>
        <v>-2.1100064580214184E-2</v>
      </c>
      <c r="AA66" s="78">
        <f t="shared" si="14"/>
        <v>-2.1230339260254527E-2</v>
      </c>
      <c r="AB66" s="78">
        <f t="shared" si="14"/>
        <v>-2.128609870446907E-2</v>
      </c>
      <c r="AC66" s="78">
        <f t="shared" si="14"/>
        <v>-1.9607843137254943E-2</v>
      </c>
      <c r="AD66" s="78">
        <f t="shared" si="14"/>
        <v>-1.9607843137254943E-2</v>
      </c>
      <c r="AE66" s="78">
        <f t="shared" si="14"/>
        <v>-1.9607843137254943E-2</v>
      </c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</row>
    <row r="67" spans="1:48" ht="15" customHeight="1">
      <c r="AA67"/>
      <c r="AB67"/>
      <c r="AC67"/>
      <c r="AD67"/>
      <c r="AE67"/>
    </row>
    <row r="68" spans="1:48" ht="15" customHeight="1">
      <c r="E68" s="410" t="str">
        <f xml:space="preserve"> InputsCon!E$16</f>
        <v>Real SOFR forecast</v>
      </c>
      <c r="F68" s="410">
        <f xml:space="preserve"> InputsCon!F$16</f>
        <v>1.4999999999999999E-2</v>
      </c>
      <c r="G68" s="410" t="str">
        <f xml:space="preserve"> InputsCon!G$16</f>
        <v>%</v>
      </c>
    </row>
    <row r="69" spans="1:48" ht="15" customHeight="1">
      <c r="E69" s="93" t="s">
        <v>1102</v>
      </c>
      <c r="G69" s="18" t="s">
        <v>26</v>
      </c>
      <c r="L69" s="184">
        <f t="shared" ref="L69:AE69" si="15" xml:space="preserve"> IF( L62 &lt;&gt; 0, 0, ( 1 + L65) * ( 1 + $F68) - 1)</f>
        <v>0</v>
      </c>
      <c r="M69" s="184">
        <f t="shared" si="15"/>
        <v>0</v>
      </c>
      <c r="N69" s="184">
        <f t="shared" si="15"/>
        <v>0</v>
      </c>
      <c r="O69" s="184">
        <f t="shared" si="15"/>
        <v>0</v>
      </c>
      <c r="P69" s="184">
        <f t="shared" si="15"/>
        <v>0</v>
      </c>
      <c r="Q69" s="184">
        <f t="shared" si="15"/>
        <v>0</v>
      </c>
      <c r="R69" s="184">
        <f t="shared" si="15"/>
        <v>0</v>
      </c>
      <c r="S69" s="184">
        <f t="shared" si="15"/>
        <v>0</v>
      </c>
      <c r="T69" s="184">
        <f t="shared" si="15"/>
        <v>0</v>
      </c>
      <c r="U69" s="184">
        <f t="shared" si="15"/>
        <v>0</v>
      </c>
      <c r="V69" s="184">
        <f t="shared" si="15"/>
        <v>0</v>
      </c>
      <c r="W69" s="184">
        <f t="shared" si="15"/>
        <v>0</v>
      </c>
      <c r="X69" s="184">
        <f t="shared" si="15"/>
        <v>4.0023911226669151E-2</v>
      </c>
      <c r="Y69" s="184">
        <f t="shared" si="15"/>
        <v>3.6420061322820718E-2</v>
      </c>
      <c r="Z69" s="184">
        <f t="shared" si="15"/>
        <v>3.6878196916759531E-2</v>
      </c>
      <c r="AA69" s="184">
        <f t="shared" si="15"/>
        <v>3.7016205868980245E-2</v>
      </c>
      <c r="AB69" s="184">
        <f t="shared" si="15"/>
        <v>3.707528692137374E-2</v>
      </c>
      <c r="AC69" s="184">
        <f t="shared" si="15"/>
        <v>3.5299999999999887E-2</v>
      </c>
      <c r="AD69" s="184">
        <f t="shared" si="15"/>
        <v>3.5299999999999887E-2</v>
      </c>
      <c r="AE69" s="184">
        <f t="shared" si="15"/>
        <v>3.5299999999999887E-2</v>
      </c>
      <c r="AF69" s="184">
        <f t="shared" ref="AF69:AV69" si="16" xml:space="preserve"> IF( AF62 &lt;&gt; 0, 0, ( 1 + AF65) * ( 1 + $F68) - 1)</f>
        <v>3.5299999999999887E-2</v>
      </c>
      <c r="AG69" s="184">
        <f t="shared" si="16"/>
        <v>3.5299999999999887E-2</v>
      </c>
      <c r="AH69" s="184">
        <f t="shared" si="16"/>
        <v>3.5299999999999887E-2</v>
      </c>
      <c r="AI69" s="184">
        <f t="shared" si="16"/>
        <v>3.5299999999999887E-2</v>
      </c>
      <c r="AJ69" s="184">
        <f t="shared" si="16"/>
        <v>3.5299999999999887E-2</v>
      </c>
      <c r="AK69" s="184">
        <f t="shared" si="16"/>
        <v>3.5299999999999887E-2</v>
      </c>
      <c r="AL69" s="184">
        <f t="shared" si="16"/>
        <v>3.5299999999999887E-2</v>
      </c>
      <c r="AM69" s="184">
        <f t="shared" si="16"/>
        <v>3.5299999999999887E-2</v>
      </c>
      <c r="AN69" s="184">
        <f t="shared" si="16"/>
        <v>3.5299999999999887E-2</v>
      </c>
      <c r="AO69" s="184">
        <f t="shared" si="16"/>
        <v>3.5299999999999887E-2</v>
      </c>
      <c r="AP69" s="184">
        <f t="shared" si="16"/>
        <v>3.5299999999999887E-2</v>
      </c>
      <c r="AQ69" s="184">
        <f t="shared" si="16"/>
        <v>3.5299999999999887E-2</v>
      </c>
      <c r="AR69" s="184">
        <f t="shared" si="16"/>
        <v>3.5299999999999887E-2</v>
      </c>
      <c r="AS69" s="184">
        <f t="shared" si="16"/>
        <v>3.5299999999999887E-2</v>
      </c>
      <c r="AT69" s="184">
        <f t="shared" si="16"/>
        <v>3.5299999999999887E-2</v>
      </c>
      <c r="AU69" s="184">
        <f t="shared" si="16"/>
        <v>3.5299999999999887E-2</v>
      </c>
      <c r="AV69" s="184">
        <f t="shared" si="16"/>
        <v>3.5299999999999887E-2</v>
      </c>
    </row>
    <row r="71" spans="1:48" s="103" customFormat="1" ht="15" customHeight="1">
      <c r="A71" s="246"/>
      <c r="B71" s="246"/>
      <c r="C71" s="247"/>
      <c r="E71" s="535" t="s">
        <v>1103</v>
      </c>
      <c r="G71" s="103" t="s">
        <v>26</v>
      </c>
      <c r="I71" s="210"/>
      <c r="K71" s="253"/>
      <c r="L71" s="760">
        <f t="shared" ref="L71:AV71" si="17" xml:space="preserve"> IF( L62 &lt;&gt; 0, L62, L69)</f>
        <v>3.2919249011857648E-3</v>
      </c>
      <c r="M71" s="760">
        <f t="shared" si="17"/>
        <v>4.8515256916996045E-3</v>
      </c>
      <c r="N71" s="760">
        <f t="shared" si="17"/>
        <v>1.0590186507936503E-2</v>
      </c>
      <c r="O71" s="760">
        <f t="shared" si="17"/>
        <v>1.4752334661354583E-2</v>
      </c>
      <c r="P71" s="760">
        <f t="shared" si="17"/>
        <v>2.4859274900398399E-2</v>
      </c>
      <c r="Q71" s="760">
        <f t="shared" si="17"/>
        <v>2.3175798418972337E-2</v>
      </c>
      <c r="R71" s="760">
        <f t="shared" si="17"/>
        <v>8.9388713450292371E-3</v>
      </c>
      <c r="S71" s="760">
        <f t="shared" si="17"/>
        <v>4.7694199999999984E-4</v>
      </c>
      <c r="T71" s="760">
        <f t="shared" si="17"/>
        <v>8.1812538152610682E-3</v>
      </c>
      <c r="U71" s="760">
        <f t="shared" si="17"/>
        <v>4.5826553413654623E-2</v>
      </c>
      <c r="V71" s="760">
        <f t="shared" si="17"/>
        <v>5.3465279199999986E-2</v>
      </c>
      <c r="W71" s="760">
        <f t="shared" si="17"/>
        <v>4.6147064102564105E-2</v>
      </c>
      <c r="X71" s="760">
        <f t="shared" si="17"/>
        <v>4.0023911226669151E-2</v>
      </c>
      <c r="Y71" s="760">
        <f t="shared" si="17"/>
        <v>3.6420061322820718E-2</v>
      </c>
      <c r="Z71" s="760">
        <f t="shared" si="17"/>
        <v>3.6878196916759531E-2</v>
      </c>
      <c r="AA71" s="760">
        <f t="shared" si="17"/>
        <v>3.7016205868980245E-2</v>
      </c>
      <c r="AB71" s="760">
        <f t="shared" si="17"/>
        <v>3.707528692137374E-2</v>
      </c>
      <c r="AC71" s="760">
        <f t="shared" si="17"/>
        <v>3.5299999999999887E-2</v>
      </c>
      <c r="AD71" s="760">
        <f t="shared" si="17"/>
        <v>3.5299999999999887E-2</v>
      </c>
      <c r="AE71" s="760">
        <f t="shared" si="17"/>
        <v>3.5299999999999887E-2</v>
      </c>
      <c r="AF71" s="760">
        <f t="shared" si="17"/>
        <v>3.5299999999999887E-2</v>
      </c>
      <c r="AG71" s="760">
        <f t="shared" si="17"/>
        <v>3.5299999999999887E-2</v>
      </c>
      <c r="AH71" s="760">
        <f t="shared" si="17"/>
        <v>3.5299999999999887E-2</v>
      </c>
      <c r="AI71" s="760">
        <f t="shared" si="17"/>
        <v>3.5299999999999887E-2</v>
      </c>
      <c r="AJ71" s="760">
        <f t="shared" si="17"/>
        <v>3.5299999999999887E-2</v>
      </c>
      <c r="AK71" s="760">
        <f t="shared" si="17"/>
        <v>3.5299999999999887E-2</v>
      </c>
      <c r="AL71" s="760">
        <f t="shared" si="17"/>
        <v>3.5299999999999887E-2</v>
      </c>
      <c r="AM71" s="760">
        <f t="shared" si="17"/>
        <v>3.5299999999999887E-2</v>
      </c>
      <c r="AN71" s="760">
        <f t="shared" si="17"/>
        <v>3.5299999999999887E-2</v>
      </c>
      <c r="AO71" s="760">
        <f t="shared" si="17"/>
        <v>3.5299999999999887E-2</v>
      </c>
      <c r="AP71" s="760">
        <f t="shared" si="17"/>
        <v>3.5299999999999887E-2</v>
      </c>
      <c r="AQ71" s="760">
        <f t="shared" si="17"/>
        <v>3.5299999999999887E-2</v>
      </c>
      <c r="AR71" s="760">
        <f t="shared" si="17"/>
        <v>3.5299999999999887E-2</v>
      </c>
      <c r="AS71" s="760">
        <f t="shared" si="17"/>
        <v>3.5299999999999887E-2</v>
      </c>
      <c r="AT71" s="760">
        <f t="shared" si="17"/>
        <v>3.5299999999999887E-2</v>
      </c>
      <c r="AU71" s="760">
        <f t="shared" si="17"/>
        <v>3.5299999999999887E-2</v>
      </c>
      <c r="AV71" s="760">
        <f t="shared" si="17"/>
        <v>3.5299999999999887E-2</v>
      </c>
    </row>
    <row r="73" spans="1:48" s="233" customFormat="1" ht="15" customHeight="1">
      <c r="A73" s="231" t="s">
        <v>163</v>
      </c>
      <c r="B73" s="231"/>
      <c r="C73" s="232"/>
      <c r="E73" s="706"/>
      <c r="I73" s="234"/>
      <c r="K73" s="243"/>
    </row>
  </sheetData>
  <conditionalFormatting sqref="F2">
    <cfRule type="cellIs" dxfId="89" priority="1" stopIfTrue="1" operator="notEqual">
      <formula>0</formula>
    </cfRule>
    <cfRule type="cellIs" dxfId="88" priority="2" stopIfTrue="1" operator="equal">
      <formula>""</formula>
    </cfRule>
  </conditionalFormatting>
  <conditionalFormatting sqref="F3">
    <cfRule type="cellIs" dxfId="87" priority="5" stopIfTrue="1" operator="notEqual">
      <formula>0</formula>
    </cfRule>
    <cfRule type="cellIs" dxfId="86" priority="6" stopIfTrue="1" operator="equal">
      <formula>""</formula>
    </cfRule>
  </conditionalFormatting>
  <conditionalFormatting sqref="L3:AV3">
    <cfRule type="cellIs" dxfId="85" priority="7" stopIfTrue="1" operator="equal">
      <formula>#REF!</formula>
    </cfRule>
    <cfRule type="cellIs" dxfId="84" priority="8" stopIfTrue="1" operator="equal">
      <formula>#REF!</formula>
    </cfRule>
    <cfRule type="cellIs" dxfId="83" priority="9" operator="equal">
      <formula>#REF!</formula>
    </cfRule>
    <cfRule type="cellIs" dxfId="82" priority="10" operator="equal">
      <formula>#REF!</formula>
    </cfRule>
  </conditionalFormatting>
  <conditionalFormatting sqref="M3:AV3">
    <cfRule type="cellIs" dxfId="81" priority="11" stopIfTrue="1" operator="equal">
      <formula>#REF!</formula>
    </cfRule>
    <cfRule type="cellIs" dxfId="80" priority="12" stopIfTrue="1" operator="equal">
      <formula>#REF!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7F"/>
  </sheetPr>
  <dimension ref="A1:BG482"/>
  <sheetViews>
    <sheetView zoomScaleNormal="100" workbookViewId="0">
      <pane xSplit="11" ySplit="4" topLeftCell="L190" activePane="bottomRight" state="frozen"/>
      <selection pane="topRight" activeCell="L1" sqref="L1"/>
      <selection pane="bottomLeft" activeCell="A5" sqref="A5"/>
      <selection pane="bottomRight" activeCell="L1" sqref="L1:L1048576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93" customWidth="1"/>
    <col min="6" max="6" width="12.69921875" style="93" customWidth="1"/>
    <col min="7" max="7" width="20.69921875" style="93" customWidth="1"/>
    <col min="8" max="8" width="20.69921875" style="18" customWidth="1"/>
    <col min="9" max="9" width="25.09765625" style="20" customWidth="1"/>
    <col min="10" max="10" width="12.69921875" style="18" customWidth="1" collapsed="1"/>
    <col min="11" max="11" width="1.59765625" style="45" customWidth="1"/>
    <col min="12" max="48" width="10.69921875" style="18" customWidth="1"/>
    <col min="49" max="57" width="11.69921875" style="18" hidden="1" customWidth="1"/>
    <col min="58" max="59" width="0" style="18" hidden="1" customWidth="1"/>
    <col min="60" max="16384" width="14.59765625" style="18" hidden="1"/>
  </cols>
  <sheetData>
    <row r="1" spans="1:48" ht="26.25" customHeight="1">
      <c r="A1" s="101" t="str">
        <f ca="1" xml:space="preserve"> RIGHT(CELL("filename", $A$3), LEN(CELL("filename", $A$3)) - SEARCH("]", CELL("filename", $A$3)))</f>
        <v>InputsTS</v>
      </c>
      <c r="F1" s="711"/>
      <c r="K1" s="46"/>
    </row>
    <row r="2" spans="1:48" ht="15" customHeight="1">
      <c r="A2" s="32"/>
      <c r="B2" s="32"/>
      <c r="F2" s="482">
        <f xml:space="preserve"> Track!$F$85</f>
        <v>0</v>
      </c>
      <c r="G2" s="699" t="s">
        <v>1</v>
      </c>
      <c r="H2" s="22"/>
      <c r="K2" s="46"/>
      <c r="L2" s="180">
        <f xml:space="preserve"> 'T&amp;E'!L$9</f>
        <v>2014</v>
      </c>
      <c r="M2" s="180">
        <f xml:space="preserve"> 'T&amp;E'!M$9</f>
        <v>2015</v>
      </c>
      <c r="N2" s="180">
        <f xml:space="preserve"> 'T&amp;E'!N$9</f>
        <v>2016</v>
      </c>
      <c r="O2" s="180">
        <f xml:space="preserve"> 'T&amp;E'!O$9</f>
        <v>2017</v>
      </c>
      <c r="P2" s="180">
        <f xml:space="preserve"> 'T&amp;E'!P$9</f>
        <v>2018</v>
      </c>
      <c r="Q2" s="180">
        <f xml:space="preserve"> 'T&amp;E'!Q$9</f>
        <v>2019</v>
      </c>
      <c r="R2" s="180">
        <f xml:space="preserve"> 'T&amp;E'!R$9</f>
        <v>2020</v>
      </c>
      <c r="S2" s="180">
        <f xml:space="preserve"> 'T&amp;E'!S$9</f>
        <v>2021</v>
      </c>
      <c r="T2" s="180">
        <f xml:space="preserve"> 'T&amp;E'!T$9</f>
        <v>2022</v>
      </c>
      <c r="U2" s="180">
        <f xml:space="preserve"> 'T&amp;E'!U$9</f>
        <v>2023</v>
      </c>
      <c r="V2" s="180">
        <f xml:space="preserve"> 'T&amp;E'!V$9</f>
        <v>2024</v>
      </c>
      <c r="W2" s="180">
        <f xml:space="preserve"> 'T&amp;E'!W$9</f>
        <v>2025</v>
      </c>
      <c r="X2" s="180">
        <f xml:space="preserve"> 'T&amp;E'!X$9</f>
        <v>2026</v>
      </c>
      <c r="Y2" s="180">
        <f xml:space="preserve"> 'T&amp;E'!Y$9</f>
        <v>2027</v>
      </c>
      <c r="Z2" s="180">
        <f xml:space="preserve"> 'T&amp;E'!Z$9</f>
        <v>2028</v>
      </c>
      <c r="AA2" s="180">
        <f xml:space="preserve"> 'T&amp;E'!AA$9</f>
        <v>2029</v>
      </c>
      <c r="AB2" s="180">
        <f xml:space="preserve"> 'T&amp;E'!AB$9</f>
        <v>2030</v>
      </c>
      <c r="AC2" s="180">
        <f xml:space="preserve"> 'T&amp;E'!AC$9</f>
        <v>2031</v>
      </c>
      <c r="AD2" s="180">
        <f xml:space="preserve"> 'T&amp;E'!AD$9</f>
        <v>2032</v>
      </c>
      <c r="AE2" s="180">
        <f xml:space="preserve"> 'T&amp;E'!AE$9</f>
        <v>2033</v>
      </c>
      <c r="AF2" s="180">
        <f xml:space="preserve"> 'T&amp;E'!AF$9</f>
        <v>2034</v>
      </c>
      <c r="AG2" s="180">
        <f xml:space="preserve"> 'T&amp;E'!AG$9</f>
        <v>2035</v>
      </c>
      <c r="AH2" s="180">
        <f xml:space="preserve"> 'T&amp;E'!AH$9</f>
        <v>2036</v>
      </c>
      <c r="AI2" s="180">
        <f xml:space="preserve"> 'T&amp;E'!AI$9</f>
        <v>2037</v>
      </c>
      <c r="AJ2" s="180">
        <f xml:space="preserve"> 'T&amp;E'!AJ$9</f>
        <v>2038</v>
      </c>
      <c r="AK2" s="180">
        <f xml:space="preserve"> 'T&amp;E'!AK$9</f>
        <v>2039</v>
      </c>
      <c r="AL2" s="180">
        <f xml:space="preserve"> 'T&amp;E'!AL$9</f>
        <v>2040</v>
      </c>
      <c r="AM2" s="180">
        <f xml:space="preserve"> 'T&amp;E'!AM$9</f>
        <v>2041</v>
      </c>
      <c r="AN2" s="180">
        <f xml:space="preserve"> 'T&amp;E'!AN$9</f>
        <v>2042</v>
      </c>
      <c r="AO2" s="180">
        <f xml:space="preserve"> 'T&amp;E'!AO$9</f>
        <v>2043</v>
      </c>
      <c r="AP2" s="180">
        <f xml:space="preserve"> 'T&amp;E'!AP$9</f>
        <v>2044</v>
      </c>
      <c r="AQ2" s="180">
        <f xml:space="preserve"> 'T&amp;E'!AQ$9</f>
        <v>2045</v>
      </c>
      <c r="AR2" s="180">
        <f xml:space="preserve"> 'T&amp;E'!AR$9</f>
        <v>2046</v>
      </c>
      <c r="AS2" s="180">
        <f xml:space="preserve"> 'T&amp;E'!AS$9</f>
        <v>2047</v>
      </c>
      <c r="AT2" s="180">
        <f xml:space="preserve"> 'T&amp;E'!AT$9</f>
        <v>2048</v>
      </c>
      <c r="AU2" s="180">
        <f xml:space="preserve"> 'T&amp;E'!AU$9</f>
        <v>2049</v>
      </c>
      <c r="AV2" s="180">
        <f xml:space="preserve"> 'T&amp;E'!AV$9</f>
        <v>2050</v>
      </c>
    </row>
    <row r="3" spans="1:48" ht="15" customHeight="1">
      <c r="F3" s="482">
        <f xml:space="preserve"> Track!$F$3</f>
        <v>0</v>
      </c>
      <c r="G3" s="700" t="s">
        <v>2</v>
      </c>
      <c r="H3" s="23"/>
      <c r="K3" s="46"/>
      <c r="L3" s="24" t="s">
        <v>3</v>
      </c>
      <c r="M3" s="24" t="s">
        <v>3</v>
      </c>
      <c r="N3" s="24" t="s">
        <v>3</v>
      </c>
      <c r="O3" s="24" t="s">
        <v>3</v>
      </c>
      <c r="P3" s="24" t="s">
        <v>3</v>
      </c>
      <c r="Q3" s="24" t="s">
        <v>3</v>
      </c>
      <c r="R3" s="24" t="s">
        <v>3</v>
      </c>
      <c r="S3" s="24" t="s">
        <v>3</v>
      </c>
      <c r="T3" s="24" t="s">
        <v>3</v>
      </c>
      <c r="U3" s="24" t="s">
        <v>3</v>
      </c>
      <c r="V3" s="24" t="s">
        <v>3</v>
      </c>
      <c r="W3" s="24" t="s">
        <v>3</v>
      </c>
      <c r="X3" s="24" t="s">
        <v>3</v>
      </c>
      <c r="Y3" s="24" t="s">
        <v>3</v>
      </c>
      <c r="Z3" s="24" t="s">
        <v>3</v>
      </c>
      <c r="AA3" s="24" t="s">
        <v>3</v>
      </c>
      <c r="AB3" s="24" t="s">
        <v>3</v>
      </c>
      <c r="AC3" s="24" t="s">
        <v>3</v>
      </c>
      <c r="AD3" s="24" t="s">
        <v>3</v>
      </c>
      <c r="AE3" s="24" t="s">
        <v>4</v>
      </c>
      <c r="AF3" s="24" t="s">
        <v>4</v>
      </c>
      <c r="AG3" s="24" t="s">
        <v>4</v>
      </c>
      <c r="AH3" s="24" t="s">
        <v>4</v>
      </c>
      <c r="AI3" s="24" t="s">
        <v>4</v>
      </c>
      <c r="AJ3" s="24" t="s">
        <v>4</v>
      </c>
      <c r="AK3" s="24" t="s">
        <v>4</v>
      </c>
      <c r="AL3" s="24" t="s">
        <v>4</v>
      </c>
      <c r="AM3" s="24" t="s">
        <v>4</v>
      </c>
      <c r="AN3" s="24" t="s">
        <v>4</v>
      </c>
      <c r="AO3" s="24" t="s">
        <v>4</v>
      </c>
      <c r="AP3" s="24" t="s">
        <v>4</v>
      </c>
      <c r="AQ3" s="24" t="s">
        <v>4</v>
      </c>
      <c r="AR3" s="24" t="s">
        <v>4</v>
      </c>
      <c r="AS3" s="24" t="s">
        <v>4</v>
      </c>
      <c r="AT3" s="24" t="s">
        <v>4</v>
      </c>
      <c r="AU3" s="24" t="s">
        <v>4</v>
      </c>
      <c r="AV3" s="24" t="s">
        <v>4</v>
      </c>
    </row>
    <row r="4" spans="1:48" ht="15" customHeight="1">
      <c r="F4" s="92" t="s">
        <v>5</v>
      </c>
      <c r="G4" s="92" t="s">
        <v>6</v>
      </c>
      <c r="H4" s="16" t="s">
        <v>220</v>
      </c>
      <c r="I4" s="26" t="s">
        <v>8</v>
      </c>
      <c r="J4" s="27"/>
      <c r="K4" s="46"/>
      <c r="L4" s="18">
        <f xml:space="preserve"> 'T&amp;E'!L$11</f>
        <v>1</v>
      </c>
      <c r="M4" s="18">
        <f xml:space="preserve"> 'T&amp;E'!M$11</f>
        <v>2</v>
      </c>
      <c r="N4" s="18">
        <f xml:space="preserve"> 'T&amp;E'!N$11</f>
        <v>3</v>
      </c>
      <c r="O4" s="18">
        <f xml:space="preserve"> 'T&amp;E'!O$11</f>
        <v>4</v>
      </c>
      <c r="P4" s="18">
        <f xml:space="preserve"> 'T&amp;E'!P$11</f>
        <v>5</v>
      </c>
      <c r="Q4" s="18">
        <f xml:space="preserve"> 'T&amp;E'!Q$11</f>
        <v>6</v>
      </c>
      <c r="R4" s="18">
        <f xml:space="preserve"> 'T&amp;E'!R$11</f>
        <v>7</v>
      </c>
      <c r="S4" s="18">
        <f xml:space="preserve"> 'T&amp;E'!S$11</f>
        <v>8</v>
      </c>
      <c r="T4" s="18">
        <f xml:space="preserve"> 'T&amp;E'!T$11</f>
        <v>9</v>
      </c>
      <c r="U4" s="18">
        <f xml:space="preserve"> 'T&amp;E'!U$11</f>
        <v>10</v>
      </c>
      <c r="V4" s="18">
        <f xml:space="preserve"> 'T&amp;E'!V$11</f>
        <v>11</v>
      </c>
      <c r="W4" s="18">
        <f xml:space="preserve"> 'T&amp;E'!W$11</f>
        <v>12</v>
      </c>
      <c r="X4" s="18">
        <f xml:space="preserve"> 'T&amp;E'!X$11</f>
        <v>13</v>
      </c>
      <c r="Y4" s="18">
        <f xml:space="preserve"> 'T&amp;E'!Y$11</f>
        <v>14</v>
      </c>
      <c r="Z4" s="18">
        <f xml:space="preserve"> 'T&amp;E'!Z$11</f>
        <v>15</v>
      </c>
      <c r="AA4" s="18">
        <f xml:space="preserve"> 'T&amp;E'!AA$11</f>
        <v>16</v>
      </c>
      <c r="AB4" s="18">
        <f xml:space="preserve"> 'T&amp;E'!AB$11</f>
        <v>17</v>
      </c>
      <c r="AC4" s="18">
        <f xml:space="preserve"> 'T&amp;E'!AC$11</f>
        <v>18</v>
      </c>
      <c r="AD4" s="18">
        <f xml:space="preserve"> 'T&amp;E'!AD$11</f>
        <v>19</v>
      </c>
      <c r="AE4" s="18">
        <f xml:space="preserve"> 'T&amp;E'!AE$11</f>
        <v>20</v>
      </c>
      <c r="AF4" s="18">
        <f xml:space="preserve"> 'T&amp;E'!AF$11</f>
        <v>21</v>
      </c>
      <c r="AG4" s="18">
        <f xml:space="preserve"> 'T&amp;E'!AG$11</f>
        <v>22</v>
      </c>
      <c r="AH4" s="18">
        <f xml:space="preserve"> 'T&amp;E'!AH$11</f>
        <v>23</v>
      </c>
      <c r="AI4" s="18">
        <f xml:space="preserve"> 'T&amp;E'!AI$11</f>
        <v>24</v>
      </c>
      <c r="AJ4" s="18">
        <f xml:space="preserve"> 'T&amp;E'!AJ$11</f>
        <v>25</v>
      </c>
      <c r="AK4" s="18">
        <f xml:space="preserve"> 'T&amp;E'!AK$11</f>
        <v>26</v>
      </c>
      <c r="AL4" s="18">
        <f xml:space="preserve"> 'T&amp;E'!AL$11</f>
        <v>27</v>
      </c>
      <c r="AM4" s="18">
        <f xml:space="preserve"> 'T&amp;E'!AM$11</f>
        <v>28</v>
      </c>
      <c r="AN4" s="18">
        <f xml:space="preserve"> 'T&amp;E'!AN$11</f>
        <v>29</v>
      </c>
      <c r="AO4" s="18">
        <f xml:space="preserve"> 'T&amp;E'!AO$11</f>
        <v>30</v>
      </c>
      <c r="AP4" s="18">
        <f xml:space="preserve"> 'T&amp;E'!AP$11</f>
        <v>31</v>
      </c>
      <c r="AQ4" s="18">
        <f xml:space="preserve"> 'T&amp;E'!AQ$11</f>
        <v>32</v>
      </c>
      <c r="AR4" s="18">
        <f xml:space="preserve"> 'T&amp;E'!AR$11</f>
        <v>33</v>
      </c>
      <c r="AS4" s="18">
        <f xml:space="preserve"> 'T&amp;E'!AS$11</f>
        <v>34</v>
      </c>
      <c r="AT4" s="18">
        <f xml:space="preserve"> 'T&amp;E'!AT$11</f>
        <v>35</v>
      </c>
      <c r="AU4" s="18">
        <f xml:space="preserve"> 'T&amp;E'!AU$11</f>
        <v>36</v>
      </c>
      <c r="AV4" s="18">
        <f xml:space="preserve"> 'T&amp;E'!AV$11</f>
        <v>37</v>
      </c>
    </row>
    <row r="5" spans="1:48" ht="15" customHeight="1">
      <c r="F5" s="92"/>
      <c r="G5" s="92"/>
      <c r="H5" s="16"/>
      <c r="I5" s="26"/>
      <c r="J5" s="27"/>
      <c r="K5" s="46"/>
    </row>
    <row r="6" spans="1:48" s="31" customFormat="1" ht="15" customHeight="1">
      <c r="A6" s="34" t="s">
        <v>594</v>
      </c>
      <c r="B6" s="28"/>
      <c r="C6" s="29"/>
      <c r="D6" s="30"/>
      <c r="E6" s="701"/>
      <c r="F6" s="701"/>
      <c r="G6" s="701"/>
      <c r="H6" s="28"/>
      <c r="K6" s="46"/>
    </row>
    <row r="7" spans="1:48" ht="15" customHeight="1">
      <c r="F7" s="92"/>
      <c r="G7" s="92"/>
      <c r="H7" s="16"/>
      <c r="I7" s="26"/>
      <c r="J7" s="27"/>
      <c r="K7" s="46"/>
    </row>
    <row r="8" spans="1:48" ht="15" customHeight="1">
      <c r="E8" s="93" t="s">
        <v>595</v>
      </c>
      <c r="F8" s="92"/>
      <c r="G8" s="183" t="s">
        <v>596</v>
      </c>
      <c r="H8" s="16"/>
      <c r="I8" s="286" t="s">
        <v>598</v>
      </c>
      <c r="J8" s="27"/>
      <c r="K8" s="46"/>
      <c r="L8" s="104">
        <v>201.55799999999999</v>
      </c>
      <c r="M8" s="104">
        <v>207.34399999999999</v>
      </c>
      <c r="N8" s="104">
        <v>215.25399999999999</v>
      </c>
      <c r="O8" s="104">
        <v>214.565</v>
      </c>
      <c r="P8" s="104">
        <v>218.07599999999999</v>
      </c>
      <c r="Q8" s="104">
        <v>224.923</v>
      </c>
      <c r="R8" s="104">
        <v>229.58600000000001</v>
      </c>
      <c r="S8" s="104">
        <v>232.952</v>
      </c>
      <c r="T8" s="104">
        <v>236.715</v>
      </c>
      <c r="U8" s="104">
        <v>237.00200000000001</v>
      </c>
      <c r="V8" s="104">
        <v>240.005</v>
      </c>
      <c r="W8" s="104">
        <v>245.12100000000001</v>
      </c>
      <c r="X8" s="104">
        <v>251.1</v>
      </c>
      <c r="Y8" s="104">
        <v>255.65299999999999</v>
      </c>
      <c r="Z8" s="104">
        <v>258.846</v>
      </c>
      <c r="AA8" s="104">
        <v>270.96600000000001</v>
      </c>
      <c r="AB8" s="104">
        <v>292.62099999999998</v>
      </c>
      <c r="AC8" s="104">
        <v>304.70100000000002</v>
      </c>
      <c r="AD8" s="104">
        <v>313.55900000000003</v>
      </c>
      <c r="AE8" s="104">
        <v>319.83100000000002</v>
      </c>
      <c r="AF8" s="104">
        <v>326.416</v>
      </c>
      <c r="AG8" s="104">
        <v>333.27</v>
      </c>
      <c r="AH8" s="104">
        <v>340.32400000000001</v>
      </c>
      <c r="AI8" s="104">
        <v>347.61700000000002</v>
      </c>
    </row>
    <row r="9" spans="1:48" s="283" customFormat="1" ht="15" customHeight="1">
      <c r="C9" s="282"/>
      <c r="E9" s="108" t="str">
        <f xml:space="preserve"> InputsCon!E$13</f>
        <v>USD CPI beyond IMF WEO</v>
      </c>
      <c r="F9" s="268">
        <f xml:space="preserve"> InputsCon!F$13</f>
        <v>0.02</v>
      </c>
      <c r="G9" s="148"/>
      <c r="I9" s="286" t="s">
        <v>598</v>
      </c>
      <c r="J9" s="284"/>
      <c r="K9" s="412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04"/>
      <c r="AR9" s="204"/>
      <c r="AS9" s="204"/>
      <c r="AT9" s="204"/>
      <c r="AU9" s="204"/>
      <c r="AV9" s="204"/>
    </row>
    <row r="10" spans="1:48" ht="15" customHeight="1">
      <c r="A10" s="32"/>
      <c r="B10" s="32"/>
      <c r="E10" s="93" t="str">
        <f xml:space="preserve"> E8 &amp; " Act + forecast"</f>
        <v>US Inflation, average consumer prices Act + forecast</v>
      </c>
      <c r="F10" s="183"/>
      <c r="G10" s="183" t="str">
        <f xml:space="preserve"> G8</f>
        <v>index</v>
      </c>
      <c r="H10" s="32"/>
      <c r="I10" s="286" t="s">
        <v>598</v>
      </c>
      <c r="J10" s="285"/>
      <c r="K10" s="46"/>
      <c r="L10" s="18">
        <f t="shared" ref="L10:AV10" si="0" xml:space="preserve"> IF(L8 &lt;&gt; 0, L8, K10 * ( 1 + $F9))</f>
        <v>201.55799999999999</v>
      </c>
      <c r="M10" s="18">
        <f t="shared" si="0"/>
        <v>207.34399999999999</v>
      </c>
      <c r="N10" s="18">
        <f t="shared" si="0"/>
        <v>215.25399999999999</v>
      </c>
      <c r="O10" s="18">
        <f t="shared" si="0"/>
        <v>214.565</v>
      </c>
      <c r="P10" s="18">
        <f t="shared" si="0"/>
        <v>218.07599999999999</v>
      </c>
      <c r="Q10" s="18">
        <f t="shared" si="0"/>
        <v>224.923</v>
      </c>
      <c r="R10" s="18">
        <f t="shared" si="0"/>
        <v>229.58600000000001</v>
      </c>
      <c r="S10" s="18">
        <f t="shared" si="0"/>
        <v>232.952</v>
      </c>
      <c r="T10" s="18">
        <f t="shared" si="0"/>
        <v>236.715</v>
      </c>
      <c r="U10" s="18">
        <f t="shared" si="0"/>
        <v>237.00200000000001</v>
      </c>
      <c r="V10" s="18">
        <f t="shared" si="0"/>
        <v>240.005</v>
      </c>
      <c r="W10" s="18">
        <f t="shared" si="0"/>
        <v>245.12100000000001</v>
      </c>
      <c r="X10" s="18">
        <f t="shared" si="0"/>
        <v>251.1</v>
      </c>
      <c r="Y10" s="18">
        <f t="shared" si="0"/>
        <v>255.65299999999999</v>
      </c>
      <c r="Z10" s="18">
        <f t="shared" si="0"/>
        <v>258.846</v>
      </c>
      <c r="AA10" s="18">
        <f t="shared" si="0"/>
        <v>270.96600000000001</v>
      </c>
      <c r="AB10" s="18">
        <f t="shared" si="0"/>
        <v>292.62099999999998</v>
      </c>
      <c r="AC10" s="18">
        <f t="shared" si="0"/>
        <v>304.70100000000002</v>
      </c>
      <c r="AD10" s="18">
        <f t="shared" si="0"/>
        <v>313.55900000000003</v>
      </c>
      <c r="AE10" s="18">
        <f t="shared" si="0"/>
        <v>319.83100000000002</v>
      </c>
      <c r="AF10" s="18">
        <f t="shared" si="0"/>
        <v>326.416</v>
      </c>
      <c r="AG10" s="18">
        <f t="shared" si="0"/>
        <v>333.27</v>
      </c>
      <c r="AH10" s="18">
        <f t="shared" si="0"/>
        <v>340.32400000000001</v>
      </c>
      <c r="AI10" s="18">
        <f t="shared" si="0"/>
        <v>347.61700000000002</v>
      </c>
      <c r="AJ10" s="18">
        <f t="shared" si="0"/>
        <v>354.56934000000001</v>
      </c>
      <c r="AK10" s="18">
        <f t="shared" si="0"/>
        <v>361.66072680000002</v>
      </c>
      <c r="AL10" s="18">
        <f t="shared" si="0"/>
        <v>368.89394133600001</v>
      </c>
      <c r="AM10" s="18">
        <f t="shared" si="0"/>
        <v>376.27182016272002</v>
      </c>
      <c r="AN10" s="18">
        <f t="shared" si="0"/>
        <v>383.79725656597441</v>
      </c>
      <c r="AO10" s="18">
        <f t="shared" si="0"/>
        <v>391.47320169729392</v>
      </c>
      <c r="AP10" s="18">
        <f t="shared" si="0"/>
        <v>399.30266573123981</v>
      </c>
      <c r="AQ10" s="18">
        <f t="shared" si="0"/>
        <v>407.28871904586464</v>
      </c>
      <c r="AR10" s="18">
        <f t="shared" si="0"/>
        <v>415.43449342678196</v>
      </c>
      <c r="AS10" s="18">
        <f t="shared" si="0"/>
        <v>423.74318329531758</v>
      </c>
      <c r="AT10" s="18">
        <f t="shared" si="0"/>
        <v>432.21804696122393</v>
      </c>
      <c r="AU10" s="18">
        <f t="shared" si="0"/>
        <v>440.86240790044843</v>
      </c>
      <c r="AV10" s="18">
        <f t="shared" si="0"/>
        <v>449.6796560584574</v>
      </c>
    </row>
    <row r="11" spans="1:48" ht="15" customHeight="1">
      <c r="A11" s="32"/>
      <c r="B11" s="32"/>
      <c r="E11" s="93" t="str">
        <f xml:space="preserve"> E8</f>
        <v>US Inflation, average consumer prices</v>
      </c>
      <c r="F11" s="183"/>
      <c r="G11" s="183" t="s">
        <v>26</v>
      </c>
      <c r="H11" s="32"/>
      <c r="I11" s="286" t="s">
        <v>598</v>
      </c>
      <c r="J11" s="285"/>
      <c r="K11" s="46"/>
      <c r="M11" s="78">
        <f t="shared" ref="M11:AV11" si="1" xml:space="preserve"> IFERROR(M10 / L10 - 1, 0)</f>
        <v>2.8706377320671939E-2</v>
      </c>
      <c r="N11" s="78">
        <f t="shared" si="1"/>
        <v>3.81491627440389E-2</v>
      </c>
      <c r="O11" s="78">
        <f t="shared" si="1"/>
        <v>-3.2008696702500172E-3</v>
      </c>
      <c r="P11" s="78">
        <f t="shared" si="1"/>
        <v>1.6363339780486097E-2</v>
      </c>
      <c r="Q11" s="78">
        <f t="shared" si="1"/>
        <v>3.1397311029182529E-2</v>
      </c>
      <c r="R11" s="78">
        <f t="shared" si="1"/>
        <v>2.0731539237872632E-2</v>
      </c>
      <c r="S11" s="78">
        <f t="shared" si="1"/>
        <v>1.4661172719590887E-2</v>
      </c>
      <c r="T11" s="78">
        <f t="shared" si="1"/>
        <v>1.6153542360658024E-2</v>
      </c>
      <c r="U11" s="78">
        <f t="shared" si="1"/>
        <v>1.2124284477113001E-3</v>
      </c>
      <c r="V11" s="78">
        <f t="shared" si="1"/>
        <v>1.2670779149543066E-2</v>
      </c>
      <c r="W11" s="78">
        <f t="shared" si="1"/>
        <v>2.1316222578696253E-2</v>
      </c>
      <c r="X11" s="78">
        <f t="shared" si="1"/>
        <v>2.4392034954165531E-2</v>
      </c>
      <c r="Y11" s="78">
        <f t="shared" si="1"/>
        <v>1.8132218239745201E-2</v>
      </c>
      <c r="Z11" s="78">
        <f t="shared" si="1"/>
        <v>1.2489585492835964E-2</v>
      </c>
      <c r="AA11" s="78">
        <f t="shared" si="1"/>
        <v>4.6823207621520258E-2</v>
      </c>
      <c r="AB11" s="78">
        <f t="shared" si="1"/>
        <v>7.9917775661890955E-2</v>
      </c>
      <c r="AC11" s="78">
        <f t="shared" si="1"/>
        <v>4.128206793087319E-2</v>
      </c>
      <c r="AD11" s="78">
        <f t="shared" si="1"/>
        <v>2.9071122182073639E-2</v>
      </c>
      <c r="AE11" s="78">
        <f t="shared" si="1"/>
        <v>2.0002615137820978E-2</v>
      </c>
      <c r="AF11" s="78">
        <f t="shared" si="1"/>
        <v>2.0588998564867067E-2</v>
      </c>
      <c r="AG11" s="78">
        <f t="shared" si="1"/>
        <v>2.0997745208568119E-2</v>
      </c>
      <c r="AH11" s="78">
        <f t="shared" si="1"/>
        <v>2.1166021544093416E-2</v>
      </c>
      <c r="AI11" s="78">
        <f t="shared" si="1"/>
        <v>2.1429578871898558E-2</v>
      </c>
      <c r="AJ11" s="78">
        <f t="shared" si="1"/>
        <v>2.0000000000000018E-2</v>
      </c>
      <c r="AK11" s="78">
        <f t="shared" si="1"/>
        <v>2.0000000000000018E-2</v>
      </c>
      <c r="AL11" s="78">
        <f t="shared" si="1"/>
        <v>2.0000000000000018E-2</v>
      </c>
      <c r="AM11" s="78">
        <f t="shared" si="1"/>
        <v>2.0000000000000018E-2</v>
      </c>
      <c r="AN11" s="78">
        <f t="shared" si="1"/>
        <v>2.0000000000000018E-2</v>
      </c>
      <c r="AO11" s="78">
        <f t="shared" si="1"/>
        <v>2.0000000000000018E-2</v>
      </c>
      <c r="AP11" s="78">
        <f t="shared" si="1"/>
        <v>2.0000000000000018E-2</v>
      </c>
      <c r="AQ11" s="78">
        <f t="shared" si="1"/>
        <v>2.0000000000000018E-2</v>
      </c>
      <c r="AR11" s="78">
        <f t="shared" si="1"/>
        <v>2.0000000000000018E-2</v>
      </c>
      <c r="AS11" s="78">
        <f t="shared" si="1"/>
        <v>2.0000000000000018E-2</v>
      </c>
      <c r="AT11" s="78">
        <f t="shared" si="1"/>
        <v>2.0000000000000018E-2</v>
      </c>
      <c r="AU11" s="78">
        <f t="shared" si="1"/>
        <v>2.0000000000000018E-2</v>
      </c>
      <c r="AV11" s="78">
        <f t="shared" si="1"/>
        <v>2.0000000000000018E-2</v>
      </c>
    </row>
    <row r="12" spans="1:48" ht="15" customHeight="1">
      <c r="A12" s="32"/>
      <c r="B12" s="32"/>
      <c r="F12" s="183"/>
      <c r="G12" s="183"/>
      <c r="H12" s="32"/>
      <c r="I12" s="18"/>
      <c r="J12" s="285"/>
      <c r="K12" s="46"/>
    </row>
    <row r="13" spans="1:48" ht="15" customHeight="1">
      <c r="A13" s="32"/>
      <c r="B13" s="32"/>
      <c r="F13" s="183"/>
      <c r="G13" s="183"/>
      <c r="H13" s="32"/>
      <c r="I13" s="18"/>
      <c r="J13" s="285"/>
      <c r="K13" s="46"/>
    </row>
    <row r="14" spans="1:48" s="31" customFormat="1" ht="15" customHeight="1">
      <c r="A14" s="34" t="s">
        <v>696</v>
      </c>
      <c r="B14" s="28"/>
      <c r="C14" s="29"/>
      <c r="D14" s="30"/>
      <c r="E14" s="701"/>
      <c r="F14" s="701"/>
      <c r="G14" s="701"/>
      <c r="H14" s="28"/>
      <c r="K14" s="46"/>
    </row>
    <row r="15" spans="1:48" ht="15" customHeight="1">
      <c r="A15" s="32"/>
      <c r="B15" s="32"/>
      <c r="F15" s="183"/>
      <c r="G15" s="183"/>
      <c r="H15" s="32"/>
      <c r="I15" s="18"/>
      <c r="J15" s="285"/>
      <c r="K15" s="46"/>
    </row>
    <row r="16" spans="1:48" s="108" customFormat="1" ht="15" customHeight="1">
      <c r="C16" s="415"/>
      <c r="E16" s="108" t="str">
        <f xml:space="preserve"> 'T&amp;E'!E$9</f>
        <v>Model calendar year</v>
      </c>
      <c r="F16" s="108">
        <f xml:space="preserve"> 'T&amp;E'!F$9</f>
        <v>0</v>
      </c>
      <c r="G16" s="108" t="str">
        <f xml:space="preserve"> 'T&amp;E'!G$9</f>
        <v>year</v>
      </c>
      <c r="H16" s="108">
        <f xml:space="preserve"> 'T&amp;E'!H$9</f>
        <v>0</v>
      </c>
      <c r="I16" s="108">
        <f xml:space="preserve"> 'T&amp;E'!I$9</f>
        <v>0</v>
      </c>
      <c r="J16" s="108">
        <f xml:space="preserve"> 'T&amp;E'!J$9</f>
        <v>0</v>
      </c>
      <c r="K16" s="176">
        <f xml:space="preserve"> 'T&amp;E'!K$9</f>
        <v>0</v>
      </c>
      <c r="L16" s="108">
        <f xml:space="preserve"> 'T&amp;E'!L$9</f>
        <v>2014</v>
      </c>
      <c r="M16" s="108">
        <f xml:space="preserve"> 'T&amp;E'!M$9</f>
        <v>2015</v>
      </c>
      <c r="N16" s="108">
        <f xml:space="preserve"> 'T&amp;E'!N$9</f>
        <v>2016</v>
      </c>
      <c r="O16" s="108">
        <f xml:space="preserve"> 'T&amp;E'!O$9</f>
        <v>2017</v>
      </c>
      <c r="P16" s="108">
        <f xml:space="preserve"> 'T&amp;E'!P$9</f>
        <v>2018</v>
      </c>
      <c r="Q16" s="108">
        <f xml:space="preserve"> 'T&amp;E'!Q$9</f>
        <v>2019</v>
      </c>
      <c r="R16" s="108">
        <f xml:space="preserve"> 'T&amp;E'!R$9</f>
        <v>2020</v>
      </c>
      <c r="S16" s="108">
        <f xml:space="preserve"> 'T&amp;E'!S$9</f>
        <v>2021</v>
      </c>
      <c r="T16" s="108">
        <f xml:space="preserve"> 'T&amp;E'!T$9</f>
        <v>2022</v>
      </c>
      <c r="U16" s="108">
        <f xml:space="preserve"> 'T&amp;E'!U$9</f>
        <v>2023</v>
      </c>
      <c r="V16" s="108">
        <f xml:space="preserve"> 'T&amp;E'!V$9</f>
        <v>2024</v>
      </c>
      <c r="W16" s="108">
        <f xml:space="preserve"> 'T&amp;E'!W$9</f>
        <v>2025</v>
      </c>
      <c r="X16" s="108">
        <f xml:space="preserve"> 'T&amp;E'!X$9</f>
        <v>2026</v>
      </c>
      <c r="Y16" s="108">
        <f xml:space="preserve"> 'T&amp;E'!Y$9</f>
        <v>2027</v>
      </c>
      <c r="Z16" s="108">
        <f xml:space="preserve"> 'T&amp;E'!Z$9</f>
        <v>2028</v>
      </c>
      <c r="AA16" s="108">
        <f xml:space="preserve"> 'T&amp;E'!AA$9</f>
        <v>2029</v>
      </c>
      <c r="AB16" s="108">
        <f xml:space="preserve"> 'T&amp;E'!AB$9</f>
        <v>2030</v>
      </c>
      <c r="AC16" s="108">
        <f xml:space="preserve"> 'T&amp;E'!AC$9</f>
        <v>2031</v>
      </c>
      <c r="AD16" s="108">
        <f xml:space="preserve"> 'T&amp;E'!AD$9</f>
        <v>2032</v>
      </c>
      <c r="AE16" s="108">
        <f xml:space="preserve"> 'T&amp;E'!AE$9</f>
        <v>2033</v>
      </c>
      <c r="AF16" s="108">
        <f xml:space="preserve"> 'T&amp;E'!AF$9</f>
        <v>2034</v>
      </c>
      <c r="AG16" s="108">
        <f xml:space="preserve"> 'T&amp;E'!AG$9</f>
        <v>2035</v>
      </c>
      <c r="AH16" s="108">
        <f xml:space="preserve"> 'T&amp;E'!AH$9</f>
        <v>2036</v>
      </c>
      <c r="AI16" s="108">
        <f xml:space="preserve"> 'T&amp;E'!AI$9</f>
        <v>2037</v>
      </c>
      <c r="AJ16" s="108">
        <f xml:space="preserve"> 'T&amp;E'!AJ$9</f>
        <v>2038</v>
      </c>
      <c r="AK16" s="108">
        <f xml:space="preserve"> 'T&amp;E'!AK$9</f>
        <v>2039</v>
      </c>
      <c r="AL16" s="108">
        <f xml:space="preserve"> 'T&amp;E'!AL$9</f>
        <v>2040</v>
      </c>
      <c r="AM16" s="108">
        <f xml:space="preserve"> 'T&amp;E'!AM$9</f>
        <v>2041</v>
      </c>
      <c r="AN16" s="108">
        <f xml:space="preserve"> 'T&amp;E'!AN$9</f>
        <v>2042</v>
      </c>
      <c r="AO16" s="108">
        <f xml:space="preserve"> 'T&amp;E'!AO$9</f>
        <v>2043</v>
      </c>
      <c r="AP16" s="108">
        <f xml:space="preserve"> 'T&amp;E'!AP$9</f>
        <v>2044</v>
      </c>
      <c r="AQ16" s="108">
        <f xml:space="preserve"> 'T&amp;E'!AQ$9</f>
        <v>2045</v>
      </c>
      <c r="AR16" s="108">
        <f xml:space="preserve"> 'T&amp;E'!AR$9</f>
        <v>2046</v>
      </c>
      <c r="AS16" s="108">
        <f xml:space="preserve"> 'T&amp;E'!AS$9</f>
        <v>2047</v>
      </c>
      <c r="AT16" s="108">
        <f xml:space="preserve"> 'T&amp;E'!AT$9</f>
        <v>2048</v>
      </c>
      <c r="AU16" s="108">
        <f xml:space="preserve"> 'T&amp;E'!AU$9</f>
        <v>2049</v>
      </c>
      <c r="AV16" s="108">
        <f xml:space="preserve"> 'T&amp;E'!AV$9</f>
        <v>2050</v>
      </c>
    </row>
    <row r="17" spans="1:48" s="98" customFormat="1" ht="15" customHeight="1">
      <c r="A17" s="385"/>
      <c r="B17" s="357"/>
      <c r="C17" s="366"/>
      <c r="E17" s="323" t="str">
        <f xml:space="preserve"> InputsCon!E$26</f>
        <v>Copper production sensitivity (forecast period)</v>
      </c>
      <c r="F17" s="94"/>
      <c r="G17" s="323" t="s">
        <v>26</v>
      </c>
      <c r="L17" s="269">
        <f xml:space="preserve"> IF(L16 &lt; InputsCon!$F22, 1, InputsCon!$F26)</f>
        <v>1</v>
      </c>
      <c r="M17" s="269">
        <f xml:space="preserve"> IF(M16 &lt; InputsCon!$F22, 1, InputsCon!$F26)</f>
        <v>1</v>
      </c>
      <c r="N17" s="269">
        <f xml:space="preserve"> IF(N16 &lt; InputsCon!$F22, 1, InputsCon!$F26)</f>
        <v>1</v>
      </c>
      <c r="O17" s="269">
        <f xml:space="preserve"> IF(O16 &lt; InputsCon!$F22, 1, InputsCon!$F26)</f>
        <v>1</v>
      </c>
      <c r="P17" s="269">
        <f xml:space="preserve"> IF(P16 &lt; InputsCon!$F22, 1, InputsCon!$F26)</f>
        <v>1</v>
      </c>
      <c r="Q17" s="269">
        <f xml:space="preserve"> IF(Q16 &lt; InputsCon!$F22, 1, InputsCon!$F26)</f>
        <v>1</v>
      </c>
      <c r="R17" s="269">
        <f xml:space="preserve"> IF(R16 &lt; InputsCon!$F22, 1, InputsCon!$F26)</f>
        <v>1</v>
      </c>
      <c r="S17" s="269">
        <f xml:space="preserve"> IF(S16 &lt; InputsCon!$F22, 1, InputsCon!$F26)</f>
        <v>1</v>
      </c>
      <c r="T17" s="269">
        <f xml:space="preserve"> IF(T16 &lt; InputsCon!$F22, 1, InputsCon!$F26)</f>
        <v>1</v>
      </c>
      <c r="U17" s="269">
        <f xml:space="preserve"> IF(U16 &lt; InputsCon!$F22, 1, InputsCon!$F26)</f>
        <v>1</v>
      </c>
      <c r="V17" s="269">
        <f xml:space="preserve"> IF(V16 &lt; InputsCon!$F22, 1, InputsCon!$F26)</f>
        <v>1</v>
      </c>
      <c r="W17" s="269">
        <f xml:space="preserve"> IF(W16 &lt; InputsCon!$F22, 1, InputsCon!$F26)</f>
        <v>1</v>
      </c>
      <c r="X17" s="269">
        <f xml:space="preserve"> IF(X16 &lt; InputsCon!$F22, 1, InputsCon!$F26)</f>
        <v>1</v>
      </c>
      <c r="Y17" s="269">
        <f xml:space="preserve"> IF(Y16 &lt; InputsCon!$F22, 1, InputsCon!$F26)</f>
        <v>1</v>
      </c>
      <c r="Z17" s="269">
        <f xml:space="preserve"> IF(Z16 &lt; InputsCon!$F22, 1, InputsCon!$F26)</f>
        <v>1</v>
      </c>
      <c r="AA17" s="269">
        <f xml:space="preserve"> IF(AA16 &lt; InputsCon!$F22, 1, InputsCon!$F26)</f>
        <v>1</v>
      </c>
      <c r="AB17" s="269">
        <f xml:space="preserve"> IF(AB16 &lt; InputsCon!$F22, 1, InputsCon!$F26)</f>
        <v>1</v>
      </c>
      <c r="AC17" s="269">
        <f xml:space="preserve"> IF(AC16 &lt; InputsCon!$F22, 1, InputsCon!$F26)</f>
        <v>1</v>
      </c>
      <c r="AD17" s="269">
        <f xml:space="preserve"> IF(AD16 &lt; InputsCon!$F22, 1, InputsCon!$F26)</f>
        <v>1</v>
      </c>
      <c r="AE17" s="269">
        <f xml:space="preserve"> IF(AE16 &lt; InputsCon!$F22, 1, InputsCon!$F26)</f>
        <v>1</v>
      </c>
      <c r="AF17" s="269">
        <f xml:space="preserve"> IF(AF16 &lt; InputsCon!$F22, 1, InputsCon!$F26)</f>
        <v>1</v>
      </c>
      <c r="AG17" s="269">
        <f xml:space="preserve"> IF(AG16 &lt; InputsCon!$F22, 1, InputsCon!$F26)</f>
        <v>1</v>
      </c>
      <c r="AH17" s="269">
        <f xml:space="preserve"> IF(AH16 &lt; InputsCon!$F22, 1, InputsCon!$F26)</f>
        <v>1</v>
      </c>
      <c r="AI17" s="269">
        <f xml:space="preserve"> IF(AI16 &lt; InputsCon!$F22, 1, InputsCon!$F26)</f>
        <v>1</v>
      </c>
      <c r="AJ17" s="269">
        <f xml:space="preserve"> IF(AJ16 &lt; InputsCon!$F22, 1, InputsCon!$F26)</f>
        <v>1</v>
      </c>
      <c r="AK17" s="269">
        <f xml:space="preserve"> IF(AK16 &lt; InputsCon!$F22, 1, InputsCon!$F26)</f>
        <v>1</v>
      </c>
      <c r="AL17" s="269">
        <f xml:space="preserve"> IF(AL16 &lt; InputsCon!$F22, 1, InputsCon!$F26)</f>
        <v>1</v>
      </c>
      <c r="AM17" s="269">
        <f xml:space="preserve"> IF(AM16 &lt; InputsCon!$F22, 1, InputsCon!$F26)</f>
        <v>1</v>
      </c>
      <c r="AN17" s="269">
        <f xml:space="preserve"> IF(AN16 &lt; InputsCon!$F22, 1, InputsCon!$F26)</f>
        <v>1</v>
      </c>
      <c r="AO17" s="269">
        <f xml:space="preserve"> IF(AO16 &lt; InputsCon!$F22, 1, InputsCon!$F26)</f>
        <v>1</v>
      </c>
      <c r="AP17" s="269">
        <f xml:space="preserve"> IF(AP16 &lt; InputsCon!$F22, 1, InputsCon!$F26)</f>
        <v>1</v>
      </c>
      <c r="AQ17" s="269">
        <f xml:space="preserve"> IF(AQ16 &lt; InputsCon!$F22, 1, InputsCon!$F26)</f>
        <v>1</v>
      </c>
      <c r="AR17" s="269">
        <f xml:space="preserve"> IF(AR16 &lt; InputsCon!$F22, 1, InputsCon!$F26)</f>
        <v>1</v>
      </c>
      <c r="AS17" s="269">
        <f xml:space="preserve"> IF(AS16 &lt; InputsCon!$F22, 1, InputsCon!$F26)</f>
        <v>1</v>
      </c>
      <c r="AT17" s="269">
        <f xml:space="preserve"> IF(AT16 &lt; InputsCon!$F22, 1, InputsCon!$F26)</f>
        <v>1</v>
      </c>
      <c r="AU17" s="269">
        <f xml:space="preserve"> IF(AU16 &lt; InputsCon!$F22, 1, InputsCon!$F26)</f>
        <v>1</v>
      </c>
      <c r="AV17" s="269">
        <f xml:space="preserve"> IF(AV16 &lt; InputsCon!$F22, 1, InputsCon!$F26)</f>
        <v>1</v>
      </c>
    </row>
    <row r="18" spans="1:48" s="8" customFormat="1" ht="15" customHeight="1">
      <c r="A18" s="413"/>
      <c r="B18" s="413"/>
      <c r="C18" s="478"/>
      <c r="E18" s="532" t="str">
        <f xml:space="preserve"> InputsCon!E27</f>
        <v>Cobalt production sensitivity (forecast period)</v>
      </c>
      <c r="F18" s="532"/>
      <c r="G18" s="532" t="s">
        <v>26</v>
      </c>
      <c r="K18" s="102"/>
      <c r="L18" s="791">
        <f xml:space="preserve"> IF(L16 &lt; InputsCon!$F22, 1, InputsCon!$F27)</f>
        <v>1</v>
      </c>
      <c r="M18" s="791">
        <f xml:space="preserve"> IF(M16 &lt; InputsCon!$F22, 1, InputsCon!$F27)</f>
        <v>1</v>
      </c>
      <c r="N18" s="791">
        <f xml:space="preserve"> IF(N16 &lt; InputsCon!$F22, 1, InputsCon!$F27)</f>
        <v>1</v>
      </c>
      <c r="O18" s="791">
        <f xml:space="preserve"> IF(O16 &lt; InputsCon!$F22, 1, InputsCon!$F27)</f>
        <v>1</v>
      </c>
      <c r="P18" s="791">
        <f xml:space="preserve"> IF(P16 &lt; InputsCon!$F22, 1, InputsCon!$F27)</f>
        <v>1</v>
      </c>
      <c r="Q18" s="791">
        <f xml:space="preserve"> IF(Q16 &lt; InputsCon!$F22, 1, InputsCon!$F27)</f>
        <v>1</v>
      </c>
      <c r="R18" s="791">
        <f xml:space="preserve"> IF(R16 &lt; InputsCon!$F22, 1, InputsCon!$F27)</f>
        <v>1</v>
      </c>
      <c r="S18" s="791">
        <f xml:space="preserve"> IF(S16 &lt; InputsCon!$F22, 1, InputsCon!$F27)</f>
        <v>1</v>
      </c>
      <c r="T18" s="791">
        <f xml:space="preserve"> IF(T16 &lt; InputsCon!$F22, 1, InputsCon!$F27)</f>
        <v>1</v>
      </c>
      <c r="U18" s="791">
        <f xml:space="preserve"> IF(U16 &lt; InputsCon!$F22, 1, InputsCon!$F27)</f>
        <v>1</v>
      </c>
      <c r="V18" s="791">
        <f xml:space="preserve"> IF(V16 &lt; InputsCon!$F22, 1, InputsCon!$F27)</f>
        <v>1</v>
      </c>
      <c r="W18" s="791">
        <f xml:space="preserve"> IF(W16 &lt; InputsCon!$F22, 1, InputsCon!$F27)</f>
        <v>1</v>
      </c>
      <c r="X18" s="791">
        <f xml:space="preserve"> IF(X16 &lt; InputsCon!$F22, 1, InputsCon!$F27)</f>
        <v>1</v>
      </c>
      <c r="Y18" s="791">
        <f xml:space="preserve"> IF(Y16 &lt; InputsCon!$F22, 1, InputsCon!$F27)</f>
        <v>1</v>
      </c>
      <c r="Z18" s="791">
        <f xml:space="preserve"> IF(Z16 &lt; InputsCon!$F22, 1, InputsCon!$F27)</f>
        <v>1</v>
      </c>
      <c r="AA18" s="791">
        <f xml:space="preserve"> IF(AA16 &lt; InputsCon!$F22, 1, InputsCon!$F27)</f>
        <v>1</v>
      </c>
      <c r="AB18" s="791">
        <f xml:space="preserve"> IF(AB16 &lt; InputsCon!$F22, 1, InputsCon!$F27)</f>
        <v>1</v>
      </c>
      <c r="AC18" s="791">
        <f xml:space="preserve"> IF(AC16 &lt; InputsCon!$F22, 1, InputsCon!$F27)</f>
        <v>1</v>
      </c>
      <c r="AD18" s="791">
        <f xml:space="preserve"> IF(AD16 &lt; InputsCon!$F22, 1, InputsCon!$F27)</f>
        <v>1</v>
      </c>
      <c r="AE18" s="791">
        <f xml:space="preserve"> IF(AE16 &lt; InputsCon!$F22, 1, InputsCon!$F27)</f>
        <v>1</v>
      </c>
      <c r="AF18" s="791">
        <f xml:space="preserve"> IF(AF16 &lt; InputsCon!$F22, 1, InputsCon!$F27)</f>
        <v>1</v>
      </c>
      <c r="AG18" s="791">
        <f xml:space="preserve"> IF(AG16 &lt; InputsCon!$F22, 1, InputsCon!$F27)</f>
        <v>1</v>
      </c>
      <c r="AH18" s="791">
        <f xml:space="preserve"> IF(AH16 &lt; InputsCon!$F22, 1, InputsCon!$F27)</f>
        <v>1</v>
      </c>
      <c r="AI18" s="791">
        <f xml:space="preserve"> IF(AI16 &lt; InputsCon!$F22, 1, InputsCon!$F27)</f>
        <v>1</v>
      </c>
      <c r="AJ18" s="791">
        <f xml:space="preserve"> IF(AJ16 &lt; InputsCon!$F22, 1, InputsCon!$F27)</f>
        <v>1</v>
      </c>
      <c r="AK18" s="791">
        <f xml:space="preserve"> IF(AK16 &lt; InputsCon!$F22, 1, InputsCon!$F27)</f>
        <v>1</v>
      </c>
      <c r="AL18" s="791">
        <f xml:space="preserve"> IF(AL16 &lt; InputsCon!$F22, 1, InputsCon!$F27)</f>
        <v>1</v>
      </c>
      <c r="AM18" s="791">
        <f xml:space="preserve"> IF(AM16 &lt; InputsCon!$F22, 1, InputsCon!$F27)</f>
        <v>1</v>
      </c>
      <c r="AN18" s="791">
        <f xml:space="preserve"> IF(AN16 &lt; InputsCon!$F22, 1, InputsCon!$F27)</f>
        <v>1</v>
      </c>
      <c r="AO18" s="791">
        <f xml:space="preserve"> IF(AO16 &lt; InputsCon!$F22, 1, InputsCon!$F27)</f>
        <v>1</v>
      </c>
      <c r="AP18" s="791">
        <f xml:space="preserve"> IF(AP16 &lt; InputsCon!$F22, 1, InputsCon!$F27)</f>
        <v>1</v>
      </c>
      <c r="AQ18" s="791">
        <f xml:space="preserve"> IF(AQ16 &lt; InputsCon!$F22, 1, InputsCon!$F27)</f>
        <v>1</v>
      </c>
      <c r="AR18" s="791">
        <f xml:space="preserve"> IF(AR16 &lt; InputsCon!$F22, 1, InputsCon!$F27)</f>
        <v>1</v>
      </c>
      <c r="AS18" s="791">
        <f xml:space="preserve"> IF(AS16 &lt; InputsCon!$F22, 1, InputsCon!$F27)</f>
        <v>1</v>
      </c>
      <c r="AT18" s="791">
        <f xml:space="preserve"> IF(AT16 &lt; InputsCon!$F22, 1, InputsCon!$F27)</f>
        <v>1</v>
      </c>
      <c r="AU18" s="791">
        <f xml:space="preserve"> IF(AU16 &lt; InputsCon!$F22, 1, InputsCon!$F27)</f>
        <v>1</v>
      </c>
      <c r="AV18" s="791">
        <f xml:space="preserve"> IF(AV16 &lt; InputsCon!$F22, 1, InputsCon!$F27)</f>
        <v>1</v>
      </c>
    </row>
    <row r="19" spans="1:48" s="103" customFormat="1" ht="15" customHeight="1">
      <c r="C19" s="247"/>
      <c r="E19" s="535" t="str">
        <f xml:space="preserve"> InputsCon!E$28</f>
        <v>Operating cost Sensitivity (forecast period)</v>
      </c>
      <c r="F19" s="535"/>
      <c r="G19" s="532" t="s">
        <v>26</v>
      </c>
      <c r="J19" s="806"/>
      <c r="K19" s="253"/>
      <c r="L19" s="760">
        <f xml:space="preserve"> IF(L16 &lt;= InputsCon!$F22, 1, InputsCon!$F28)</f>
        <v>1</v>
      </c>
      <c r="M19" s="760">
        <f xml:space="preserve"> IF(M16 &lt;= InputsCon!$F22, 1, InputsCon!$F28)</f>
        <v>1</v>
      </c>
      <c r="N19" s="760">
        <f xml:space="preserve"> IF(N16 &lt;= InputsCon!$F22, 1, InputsCon!$F28)</f>
        <v>1</v>
      </c>
      <c r="O19" s="760">
        <f xml:space="preserve"> IF(O16 &lt;= InputsCon!$F22, 1, InputsCon!$F28)</f>
        <v>1</v>
      </c>
      <c r="P19" s="760">
        <f xml:space="preserve"> IF(P16 &lt;= InputsCon!$F22, 1, InputsCon!$F28)</f>
        <v>1</v>
      </c>
      <c r="Q19" s="760">
        <f xml:space="preserve"> IF(Q16 &lt;= InputsCon!$F22, 1, InputsCon!$F28)</f>
        <v>1</v>
      </c>
      <c r="R19" s="760">
        <f xml:space="preserve"> IF(R16 &lt;= InputsCon!$F22, 1, InputsCon!$F28)</f>
        <v>1</v>
      </c>
      <c r="S19" s="760">
        <f xml:space="preserve"> IF(S16 &lt;= InputsCon!$F22, 1, InputsCon!$F28)</f>
        <v>1</v>
      </c>
      <c r="T19" s="760">
        <f xml:space="preserve"> IF(T16 &lt;= InputsCon!$F22, 1, InputsCon!$F28)</f>
        <v>1</v>
      </c>
      <c r="U19" s="760">
        <f xml:space="preserve"> IF(U16 &lt;= InputsCon!$F22, 1, InputsCon!$F28)</f>
        <v>1</v>
      </c>
      <c r="V19" s="760">
        <f xml:space="preserve"> IF(V16 &lt;= InputsCon!$F22, 1, InputsCon!$F28)</f>
        <v>1</v>
      </c>
      <c r="W19" s="760">
        <f xml:space="preserve"> IF(W16 &lt;= InputsCon!$F22, 1, InputsCon!$F28)</f>
        <v>1</v>
      </c>
      <c r="X19" s="760">
        <f xml:space="preserve"> IF(X16 &lt;= InputsCon!$F22, 1, InputsCon!$F28)</f>
        <v>1</v>
      </c>
      <c r="Y19" s="760">
        <f xml:space="preserve"> IF(Y16 &lt;= InputsCon!$F22, 1, InputsCon!$F28)</f>
        <v>1</v>
      </c>
      <c r="Z19" s="760">
        <f xml:space="preserve"> IF(Z16 &lt;= InputsCon!$F22, 1, InputsCon!$F28)</f>
        <v>1</v>
      </c>
      <c r="AA19" s="760">
        <f xml:space="preserve"> IF(AA16 &lt;= InputsCon!$F22, 1, InputsCon!$F28)</f>
        <v>1</v>
      </c>
      <c r="AB19" s="760">
        <f xml:space="preserve"> IF(AB16 &lt;= InputsCon!$F22, 1, InputsCon!$F28)</f>
        <v>1</v>
      </c>
      <c r="AC19" s="760">
        <f xml:space="preserve"> IF(AC16 &lt;= InputsCon!$F22, 1, InputsCon!$F28)</f>
        <v>1</v>
      </c>
      <c r="AD19" s="760">
        <f xml:space="preserve"> IF(AD16 &lt;= InputsCon!$F22, 1, InputsCon!$F28)</f>
        <v>1</v>
      </c>
      <c r="AE19" s="760">
        <f xml:space="preserve"> IF(AE16 &lt;= InputsCon!$F22, 1, InputsCon!$F28)</f>
        <v>1</v>
      </c>
      <c r="AF19" s="760">
        <f xml:space="preserve"> IF(AF16 &lt;= InputsCon!$F22, 1, InputsCon!$F28)</f>
        <v>1</v>
      </c>
      <c r="AG19" s="760">
        <f xml:space="preserve"> IF(AG16 &lt;= InputsCon!$F22, 1, InputsCon!$F28)</f>
        <v>1</v>
      </c>
      <c r="AH19" s="760">
        <f xml:space="preserve"> IF(AH16 &lt;= InputsCon!$F22, 1, InputsCon!$F28)</f>
        <v>1</v>
      </c>
      <c r="AI19" s="760">
        <f xml:space="preserve"> IF(AI16 &lt;= InputsCon!$F22, 1, InputsCon!$F28)</f>
        <v>1</v>
      </c>
      <c r="AJ19" s="760">
        <f xml:space="preserve"> IF(AJ16 &lt;= InputsCon!$F22, 1, InputsCon!$F28)</f>
        <v>1</v>
      </c>
      <c r="AK19" s="760">
        <f xml:space="preserve"> IF(AK16 &lt;= InputsCon!$F22, 1, InputsCon!$F28)</f>
        <v>1</v>
      </c>
      <c r="AL19" s="760">
        <f xml:space="preserve"> IF(AL16 &lt;= InputsCon!$F22, 1, InputsCon!$F28)</f>
        <v>1</v>
      </c>
      <c r="AM19" s="760">
        <f xml:space="preserve"> IF(AM16 &lt;= InputsCon!$F22, 1, InputsCon!$F28)</f>
        <v>1</v>
      </c>
      <c r="AN19" s="760">
        <f xml:space="preserve"> IF(AN16 &lt;= InputsCon!$F22, 1, InputsCon!$F28)</f>
        <v>1</v>
      </c>
      <c r="AO19" s="760">
        <f xml:space="preserve"> IF(AO16 &lt;= InputsCon!$F22, 1, InputsCon!$F28)</f>
        <v>1</v>
      </c>
      <c r="AP19" s="760">
        <f xml:space="preserve"> IF(AP16 &lt;= InputsCon!$F22, 1, InputsCon!$F28)</f>
        <v>1</v>
      </c>
      <c r="AQ19" s="760">
        <f xml:space="preserve"> IF(AQ16 &lt;= InputsCon!$F22, 1, InputsCon!$F28)</f>
        <v>1</v>
      </c>
      <c r="AR19" s="760">
        <f xml:space="preserve"> IF(AR16 &lt;= InputsCon!$F22, 1, InputsCon!$F28)</f>
        <v>1</v>
      </c>
      <c r="AS19" s="760">
        <f xml:space="preserve"> IF(AS16 &lt;= InputsCon!$F22, 1, InputsCon!$F28)</f>
        <v>1</v>
      </c>
      <c r="AT19" s="760">
        <f xml:space="preserve"> IF(AT16 &lt;= InputsCon!$F22, 1, InputsCon!$F28)</f>
        <v>1</v>
      </c>
      <c r="AU19" s="760">
        <f xml:space="preserve"> IF(AU16 &lt;= InputsCon!$F22, 1, InputsCon!$F28)</f>
        <v>1</v>
      </c>
      <c r="AV19" s="760">
        <f xml:space="preserve"> IF(AV16 &lt;= InputsCon!$F22, 1, InputsCon!$F28)</f>
        <v>1</v>
      </c>
    </row>
    <row r="20" spans="1:48" ht="15" customHeight="1">
      <c r="A20" s="32"/>
      <c r="B20" s="32"/>
      <c r="E20" s="93" t="str">
        <f xml:space="preserve"> InputsCon!E$29</f>
        <v>Capital cost sensitivity (forecast period)</v>
      </c>
      <c r="F20" s="183"/>
      <c r="G20" s="323" t="s">
        <v>26</v>
      </c>
      <c r="H20" s="32"/>
      <c r="I20" s="18"/>
      <c r="J20" s="285"/>
      <c r="K20" s="46"/>
      <c r="L20" s="78">
        <f xml:space="preserve"> IF(L16 &lt; InputsCon!$F22, 1, InputsCon!$F29)</f>
        <v>1</v>
      </c>
      <c r="M20" s="78">
        <f xml:space="preserve"> IF(M16 &lt; InputsCon!$F22, 1, InputsCon!$F29)</f>
        <v>1</v>
      </c>
      <c r="N20" s="78">
        <f xml:space="preserve"> IF(N16 &lt; InputsCon!$F22, 1, InputsCon!$F29)</f>
        <v>1</v>
      </c>
      <c r="O20" s="78">
        <f xml:space="preserve"> IF(O16 &lt; InputsCon!$F22, 1, InputsCon!$F29)</f>
        <v>1</v>
      </c>
      <c r="P20" s="78">
        <f xml:space="preserve"> IF(P16 &lt; InputsCon!$F22, 1, InputsCon!$F29)</f>
        <v>1</v>
      </c>
      <c r="Q20" s="78">
        <f xml:space="preserve"> IF(Q16 &lt; InputsCon!$F22, 1, InputsCon!$F29)</f>
        <v>1</v>
      </c>
      <c r="R20" s="78">
        <f xml:space="preserve"> IF(R16 &lt; InputsCon!$F22, 1, InputsCon!$F29)</f>
        <v>1</v>
      </c>
      <c r="S20" s="78">
        <f xml:space="preserve"> IF(S16 &lt; InputsCon!$F22, 1, InputsCon!$F29)</f>
        <v>1</v>
      </c>
      <c r="T20" s="78">
        <f xml:space="preserve"> IF(T16 &lt; InputsCon!$F22, 1, InputsCon!$F29)</f>
        <v>1</v>
      </c>
      <c r="U20" s="78">
        <f xml:space="preserve"> IF(U16 &lt; InputsCon!$F22, 1, InputsCon!$F29)</f>
        <v>1</v>
      </c>
      <c r="V20" s="78">
        <f xml:space="preserve"> IF(V16 &lt; InputsCon!$F22, 1, InputsCon!$F29)</f>
        <v>1</v>
      </c>
      <c r="W20" s="78">
        <f xml:space="preserve"> IF(W16 &lt; InputsCon!$F22, 1, InputsCon!$F29)</f>
        <v>1</v>
      </c>
      <c r="X20" s="78">
        <f xml:space="preserve"> IF(X16 &lt; InputsCon!$F22, 1, InputsCon!$F29)</f>
        <v>1</v>
      </c>
      <c r="Y20" s="78">
        <f xml:space="preserve"> IF(Y16 &lt; InputsCon!$F22, 1, InputsCon!$F29)</f>
        <v>1</v>
      </c>
      <c r="Z20" s="78">
        <f xml:space="preserve"> IF(Z16 &lt; InputsCon!$F22, 1, InputsCon!$F29)</f>
        <v>1</v>
      </c>
      <c r="AA20" s="78">
        <f xml:space="preserve"> IF(AA16 &lt; InputsCon!$F22, 1, InputsCon!$F29)</f>
        <v>1</v>
      </c>
      <c r="AB20" s="78">
        <f xml:space="preserve"> IF(AB16 &lt; InputsCon!$F22, 1, InputsCon!$F29)</f>
        <v>1</v>
      </c>
      <c r="AC20" s="78">
        <f xml:space="preserve"> IF(AC16 &lt; InputsCon!$F22, 1, InputsCon!$F29)</f>
        <v>1</v>
      </c>
      <c r="AD20" s="78">
        <f xml:space="preserve"> IF(AD16 &lt; InputsCon!$F22, 1, InputsCon!$F29)</f>
        <v>1</v>
      </c>
      <c r="AE20" s="78">
        <f xml:space="preserve"> IF(AE16 &lt; InputsCon!$F22, 1, InputsCon!$F29)</f>
        <v>1</v>
      </c>
      <c r="AF20" s="78">
        <f xml:space="preserve"> IF(AF16 &lt; InputsCon!$F22, 1, InputsCon!$F29)</f>
        <v>1</v>
      </c>
      <c r="AG20" s="78">
        <f xml:space="preserve"> IF(AG16 &lt; InputsCon!$F22, 1, InputsCon!$F29)</f>
        <v>1</v>
      </c>
      <c r="AH20" s="78">
        <f xml:space="preserve"> IF(AH16 &lt; InputsCon!$F22, 1, InputsCon!$F29)</f>
        <v>1</v>
      </c>
      <c r="AI20" s="78">
        <f xml:space="preserve"> IF(AI16 &lt; InputsCon!$F22, 1, InputsCon!$F29)</f>
        <v>1</v>
      </c>
      <c r="AJ20" s="78">
        <f xml:space="preserve"> IF(AJ16 &lt; InputsCon!$F22, 1, InputsCon!$F29)</f>
        <v>1</v>
      </c>
      <c r="AK20" s="78">
        <f xml:space="preserve"> IF(AK16 &lt; InputsCon!$F22, 1, InputsCon!$F29)</f>
        <v>1</v>
      </c>
      <c r="AL20" s="78">
        <f xml:space="preserve"> IF(AL16 &lt; InputsCon!$F22, 1, InputsCon!$F29)</f>
        <v>1</v>
      </c>
      <c r="AM20" s="78">
        <f xml:space="preserve"> IF(AM16 &lt; InputsCon!$F22, 1, InputsCon!$F29)</f>
        <v>1</v>
      </c>
      <c r="AN20" s="78">
        <f xml:space="preserve"> IF(AN16 &lt; InputsCon!$F22, 1, InputsCon!$F29)</f>
        <v>1</v>
      </c>
      <c r="AO20" s="78">
        <f xml:space="preserve"> IF(AO16 &lt; InputsCon!$F22, 1, InputsCon!$F29)</f>
        <v>1</v>
      </c>
      <c r="AP20" s="78">
        <f xml:space="preserve"> IF(AP16 &lt; InputsCon!$F22, 1, InputsCon!$F29)</f>
        <v>1</v>
      </c>
      <c r="AQ20" s="78">
        <f xml:space="preserve"> IF(AQ16 &lt; InputsCon!$F22, 1, InputsCon!$F29)</f>
        <v>1</v>
      </c>
      <c r="AR20" s="78">
        <f xml:space="preserve"> IF(AR16 &lt; InputsCon!$F22, 1, InputsCon!$F29)</f>
        <v>1</v>
      </c>
      <c r="AS20" s="78">
        <f xml:space="preserve"> IF(AS16 &lt; InputsCon!$F22, 1, InputsCon!$F29)</f>
        <v>1</v>
      </c>
      <c r="AT20" s="78">
        <f xml:space="preserve"> IF(AT16 &lt; InputsCon!$F22, 1, InputsCon!$F29)</f>
        <v>1</v>
      </c>
      <c r="AU20" s="78">
        <f xml:space="preserve"> IF(AU16 &lt; InputsCon!$F22, 1, InputsCon!$F29)</f>
        <v>1</v>
      </c>
      <c r="AV20" s="78">
        <f xml:space="preserve"> IF(AV16 &lt; InputsCon!$F22, 1, InputsCon!$F29)</f>
        <v>1</v>
      </c>
    </row>
    <row r="21" spans="1:48" ht="15" customHeight="1">
      <c r="A21" s="32"/>
      <c r="B21" s="32"/>
      <c r="F21" s="183"/>
      <c r="G21" s="183"/>
      <c r="H21" s="32"/>
      <c r="I21" s="18"/>
      <c r="J21" s="285"/>
      <c r="K21" s="46"/>
    </row>
    <row r="22" spans="1:48" s="31" customFormat="1" ht="15" customHeight="1">
      <c r="A22" s="34" t="s">
        <v>228</v>
      </c>
      <c r="B22" s="28"/>
      <c r="C22" s="29"/>
      <c r="D22" s="30"/>
      <c r="E22" s="701"/>
      <c r="F22" s="701"/>
      <c r="G22" s="701"/>
      <c r="H22" s="28"/>
      <c r="K22" s="46"/>
    </row>
    <row r="23" spans="1:48" ht="15" customHeight="1">
      <c r="E23" s="92"/>
      <c r="K23" s="46"/>
    </row>
    <row r="24" spans="1:48" ht="15" customHeight="1">
      <c r="A24" s="32"/>
      <c r="B24" s="32"/>
      <c r="C24" s="17" t="s">
        <v>229</v>
      </c>
      <c r="E24" s="183"/>
      <c r="K24" s="46"/>
    </row>
    <row r="25" spans="1:48" ht="15" customHeight="1">
      <c r="A25" s="32"/>
      <c r="B25" s="32"/>
      <c r="E25" s="183" t="s">
        <v>230</v>
      </c>
      <c r="F25" s="489">
        <v>5670</v>
      </c>
      <c r="G25" s="702" t="s">
        <v>231</v>
      </c>
      <c r="H25" s="65"/>
      <c r="I25" s="69" t="str">
        <f xml:space="preserve"> Sources!I$14</f>
        <v>X</v>
      </c>
      <c r="K25" s="46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</row>
    <row r="26" spans="1:48" ht="15" customHeight="1">
      <c r="A26" s="32"/>
      <c r="B26" s="32"/>
      <c r="E26" s="183" t="s">
        <v>232</v>
      </c>
      <c r="F26" s="68">
        <v>3.5000000000000003E-2</v>
      </c>
      <c r="G26" s="702" t="s">
        <v>26</v>
      </c>
      <c r="H26" s="65"/>
      <c r="I26" s="69" t="str">
        <f xml:space="preserve"> Sources!I$14</f>
        <v>X</v>
      </c>
      <c r="K26" s="46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</row>
    <row r="27" spans="1:48" ht="15" customHeight="1">
      <c r="A27" s="32"/>
      <c r="B27" s="32"/>
      <c r="E27" s="183" t="s">
        <v>233</v>
      </c>
      <c r="F27" s="713">
        <v>614</v>
      </c>
      <c r="G27" s="702" t="s">
        <v>231</v>
      </c>
      <c r="H27" s="65"/>
      <c r="I27" s="69" t="str">
        <f xml:space="preserve"> Sources!I$14</f>
        <v>X</v>
      </c>
      <c r="K27" s="46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</row>
    <row r="28" spans="1:48" ht="15" customHeight="1">
      <c r="A28" s="32"/>
      <c r="B28" s="32"/>
      <c r="E28" s="183" t="s">
        <v>234</v>
      </c>
      <c r="F28" s="68">
        <v>3.8E-3</v>
      </c>
      <c r="G28" s="702" t="s">
        <v>26</v>
      </c>
      <c r="H28" s="65"/>
      <c r="I28" s="69" t="str">
        <f xml:space="preserve"> Sources!I$14</f>
        <v>X</v>
      </c>
      <c r="K28" s="46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</row>
    <row r="29" spans="1:48" s="45" customFormat="1" ht="15" customHeight="1">
      <c r="A29" s="46"/>
      <c r="B29" s="46"/>
      <c r="C29" s="43"/>
      <c r="E29" s="323"/>
      <c r="F29" s="708"/>
      <c r="G29" s="703"/>
      <c r="H29" s="75"/>
      <c r="I29" s="69"/>
      <c r="K29" s="46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</row>
    <row r="30" spans="1:48" ht="15" customHeight="1">
      <c r="A30" s="32"/>
      <c r="B30" s="32"/>
      <c r="C30" s="17" t="s">
        <v>235</v>
      </c>
      <c r="E30" s="183"/>
      <c r="G30" s="702"/>
      <c r="H30" s="65"/>
      <c r="K30" s="46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</row>
    <row r="31" spans="1:48" ht="15" customHeight="1">
      <c r="A31" s="32"/>
      <c r="B31" s="32"/>
      <c r="E31" s="183" t="s">
        <v>236</v>
      </c>
      <c r="F31" s="712">
        <v>14.6</v>
      </c>
      <c r="G31" s="702" t="s">
        <v>237</v>
      </c>
      <c r="H31" s="65"/>
      <c r="I31" s="69" t="str">
        <f xml:space="preserve"> Sources!I$19</f>
        <v>XIV</v>
      </c>
      <c r="K31" s="46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</row>
    <row r="32" spans="1:48" ht="15" customHeight="1">
      <c r="A32" s="32"/>
      <c r="B32" s="32"/>
      <c r="E32" s="183" t="s">
        <v>238</v>
      </c>
      <c r="F32" s="68">
        <v>3.4700000000000002E-2</v>
      </c>
      <c r="G32" s="702" t="s">
        <v>26</v>
      </c>
      <c r="H32" s="65"/>
      <c r="I32" s="69" t="str">
        <f xml:space="preserve"> Sources!I$19</f>
        <v>XIV</v>
      </c>
      <c r="K32" s="46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</row>
    <row r="33" spans="1:50" ht="15" customHeight="1">
      <c r="A33" s="32"/>
      <c r="B33" s="32"/>
      <c r="E33" s="183" t="s">
        <v>239</v>
      </c>
      <c r="F33" s="68">
        <v>5.1000000000000004E-3</v>
      </c>
      <c r="G33" s="702" t="s">
        <v>26</v>
      </c>
      <c r="H33" s="65"/>
      <c r="I33" s="69" t="str">
        <f xml:space="preserve"> Sources!I$19</f>
        <v>XIV</v>
      </c>
      <c r="K33" s="46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</row>
    <row r="34" spans="1:50" ht="15" customHeight="1">
      <c r="A34" s="32"/>
      <c r="B34" s="32"/>
      <c r="E34" s="183" t="s">
        <v>240</v>
      </c>
      <c r="F34" s="712">
        <v>82.4</v>
      </c>
      <c r="G34" s="702" t="s">
        <v>237</v>
      </c>
      <c r="H34" s="65"/>
      <c r="I34" s="69" t="str">
        <f xml:space="preserve"> Sources!I$19</f>
        <v>XIV</v>
      </c>
      <c r="K34" s="46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</row>
    <row r="35" spans="1:50" ht="15" customHeight="1">
      <c r="A35" s="32"/>
      <c r="B35" s="32"/>
      <c r="E35" s="183" t="s">
        <v>241</v>
      </c>
      <c r="F35" s="68">
        <v>4.3299999999999998E-2</v>
      </c>
      <c r="G35" s="702" t="s">
        <v>26</v>
      </c>
      <c r="H35" s="65"/>
      <c r="I35" s="69" t="str">
        <f xml:space="preserve"> Sources!I$19</f>
        <v>XIV</v>
      </c>
      <c r="K35" s="46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</row>
    <row r="36" spans="1:50" ht="15" customHeight="1">
      <c r="A36" s="32"/>
      <c r="B36" s="32"/>
      <c r="E36" s="183" t="s">
        <v>242</v>
      </c>
      <c r="F36" s="68">
        <v>4.5999999999999999E-3</v>
      </c>
      <c r="G36" s="702" t="s">
        <v>26</v>
      </c>
      <c r="H36" s="65"/>
      <c r="I36" s="69" t="str">
        <f xml:space="preserve"> Sources!I$19</f>
        <v>XIV</v>
      </c>
      <c r="K36" s="46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</row>
    <row r="37" spans="1:50" s="45" customFormat="1" ht="15" customHeight="1">
      <c r="A37" s="46"/>
      <c r="B37" s="46"/>
      <c r="C37" s="43"/>
      <c r="E37" s="323"/>
      <c r="F37" s="708"/>
      <c r="G37" s="703"/>
      <c r="H37" s="75"/>
      <c r="I37" s="69"/>
      <c r="K37" s="46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</row>
    <row r="38" spans="1:50" ht="15" customHeight="1">
      <c r="A38" s="32"/>
      <c r="B38" s="32"/>
      <c r="C38" s="17" t="s">
        <v>243</v>
      </c>
      <c r="E38" s="183"/>
      <c r="G38" s="702"/>
      <c r="H38" s="65"/>
      <c r="K38" s="46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</row>
    <row r="39" spans="1:50" ht="15" customHeight="1">
      <c r="A39" s="32"/>
      <c r="B39" s="32"/>
      <c r="E39" s="183" t="s">
        <v>236</v>
      </c>
      <c r="F39" s="712">
        <v>8.6999999999999993</v>
      </c>
      <c r="G39" s="702" t="s">
        <v>237</v>
      </c>
      <c r="H39" s="65"/>
      <c r="I39" s="69" t="str">
        <f xml:space="preserve"> Sources!I$26</f>
        <v>XXI</v>
      </c>
      <c r="K39" s="46"/>
      <c r="L39" s="67"/>
      <c r="M39" s="3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</row>
    <row r="40" spans="1:50" ht="15" customHeight="1">
      <c r="A40" s="32"/>
      <c r="B40" s="32"/>
      <c r="E40" s="183" t="s">
        <v>238</v>
      </c>
      <c r="F40" s="68">
        <v>3.56E-2</v>
      </c>
      <c r="G40" s="702" t="s">
        <v>26</v>
      </c>
      <c r="H40" s="65"/>
      <c r="I40" s="69" t="str">
        <f xml:space="preserve"> Sources!I$26</f>
        <v>XXI</v>
      </c>
      <c r="K40" s="46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</row>
    <row r="41" spans="1:50" ht="15" customHeight="1">
      <c r="A41" s="32"/>
      <c r="B41" s="32"/>
      <c r="E41" s="183" t="s">
        <v>239</v>
      </c>
      <c r="F41" s="68">
        <v>5.4999999999999997E-3</v>
      </c>
      <c r="G41" s="702" t="s">
        <v>26</v>
      </c>
      <c r="H41" s="65"/>
      <c r="I41" s="69" t="str">
        <f xml:space="preserve"> Sources!I$26</f>
        <v>XXI</v>
      </c>
      <c r="K41" s="46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</row>
    <row r="42" spans="1:50" ht="15" customHeight="1">
      <c r="A42" s="32"/>
      <c r="B42" s="32"/>
      <c r="E42" s="183" t="s">
        <v>240</v>
      </c>
      <c r="F42" s="712">
        <v>124</v>
      </c>
      <c r="G42" s="702" t="s">
        <v>237</v>
      </c>
      <c r="H42" s="65"/>
      <c r="I42" s="69" t="str">
        <f xml:space="preserve"> Sources!I$26</f>
        <v>XXI</v>
      </c>
      <c r="K42" s="46"/>
      <c r="L42" s="67"/>
      <c r="M42" s="3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</row>
    <row r="43" spans="1:50" ht="15" customHeight="1">
      <c r="A43" s="32"/>
      <c r="B43" s="32"/>
      <c r="E43" s="183" t="s">
        <v>241</v>
      </c>
      <c r="F43" s="68">
        <v>3.15E-2</v>
      </c>
      <c r="G43" s="702" t="s">
        <v>26</v>
      </c>
      <c r="H43" s="65"/>
      <c r="I43" s="69" t="str">
        <f xml:space="preserve"> Sources!I$26</f>
        <v>XXI</v>
      </c>
      <c r="K43" s="46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</row>
    <row r="44" spans="1:50" ht="15" customHeight="1">
      <c r="A44" s="32"/>
      <c r="B44" s="32"/>
      <c r="E44" s="183" t="s">
        <v>242</v>
      </c>
      <c r="F44" s="68">
        <v>5.1000000000000004E-3</v>
      </c>
      <c r="G44" s="702" t="s">
        <v>26</v>
      </c>
      <c r="H44" s="65"/>
      <c r="I44" s="69" t="str">
        <f xml:space="preserve"> Sources!I$26</f>
        <v>XXI</v>
      </c>
      <c r="K44" s="46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</row>
    <row r="45" spans="1:50" ht="15" customHeight="1">
      <c r="E45" s="92"/>
      <c r="K45" s="46"/>
    </row>
    <row r="46" spans="1:50" s="767" customFormat="1" ht="15" customHeight="1">
      <c r="A46" s="765" t="s">
        <v>1146</v>
      </c>
      <c r="B46" s="765"/>
      <c r="C46" s="765"/>
      <c r="D46" s="765"/>
      <c r="E46" s="765"/>
      <c r="F46" s="765"/>
      <c r="G46" s="765"/>
      <c r="H46" s="765"/>
      <c r="I46" s="765"/>
      <c r="J46" s="765"/>
      <c r="K46" s="765"/>
      <c r="L46" s="765"/>
      <c r="M46" s="765"/>
      <c r="N46" s="765"/>
      <c r="O46" s="765"/>
      <c r="P46" s="765"/>
      <c r="Q46" s="765"/>
      <c r="R46" s="765"/>
      <c r="S46" s="765"/>
      <c r="T46" s="765"/>
      <c r="U46" s="765"/>
      <c r="V46" s="765"/>
      <c r="W46" s="765"/>
      <c r="X46" s="765"/>
      <c r="Y46" s="765"/>
      <c r="Z46" s="765"/>
      <c r="AA46" s="765"/>
      <c r="AB46" s="765"/>
      <c r="AC46" s="765"/>
      <c r="AD46" s="765"/>
      <c r="AE46" s="765"/>
      <c r="AF46" s="765"/>
      <c r="AG46" s="765"/>
      <c r="AH46" s="765"/>
      <c r="AI46" s="765"/>
      <c r="AJ46" s="765"/>
      <c r="AK46" s="765"/>
      <c r="AL46" s="765"/>
      <c r="AM46" s="765"/>
      <c r="AN46" s="765"/>
      <c r="AO46" s="765"/>
      <c r="AP46" s="766"/>
      <c r="AQ46" s="766"/>
      <c r="AR46" s="766"/>
      <c r="AS46" s="766"/>
      <c r="AT46" s="766"/>
      <c r="AU46" s="766"/>
      <c r="AV46" s="766"/>
      <c r="AW46" s="766"/>
      <c r="AX46" s="766"/>
    </row>
    <row r="47" spans="1:50" s="767" customFormat="1" ht="15" customHeight="1">
      <c r="A47" s="768"/>
      <c r="B47" s="768"/>
      <c r="C47" s="769"/>
      <c r="H47" s="770"/>
      <c r="J47" s="778"/>
      <c r="K47" s="779"/>
    </row>
    <row r="48" spans="1:50" s="767" customFormat="1" ht="15" customHeight="1">
      <c r="A48" s="768"/>
      <c r="B48" s="768" t="s">
        <v>1147</v>
      </c>
      <c r="C48" s="769"/>
      <c r="H48" s="770"/>
      <c r="J48" s="778"/>
      <c r="K48" s="779"/>
    </row>
    <row r="49" spans="1:41" s="773" customFormat="1" ht="15" customHeight="1">
      <c r="A49" s="771"/>
      <c r="B49" s="771"/>
      <c r="C49" s="772"/>
      <c r="E49" s="773" t="s">
        <v>1148</v>
      </c>
      <c r="G49" s="773" t="s">
        <v>168</v>
      </c>
      <c r="H49" s="774"/>
      <c r="J49" s="789"/>
      <c r="K49" s="780"/>
      <c r="L49" s="775"/>
      <c r="M49" s="775"/>
      <c r="N49" s="775"/>
      <c r="O49" s="775"/>
      <c r="P49" s="775"/>
      <c r="Q49" s="775"/>
      <c r="R49" s="785">
        <v>80312</v>
      </c>
      <c r="S49" s="775">
        <v>94807</v>
      </c>
      <c r="T49" s="775">
        <v>97940</v>
      </c>
      <c r="U49" s="775">
        <v>102006</v>
      </c>
      <c r="V49" s="775">
        <v>104669</v>
      </c>
      <c r="W49" s="775">
        <v>105101</v>
      </c>
      <c r="X49" s="775">
        <v>105002</v>
      </c>
      <c r="Y49" s="775">
        <v>105956</v>
      </c>
      <c r="Z49" s="775">
        <v>105003</v>
      </c>
      <c r="AA49" s="775">
        <v>104332</v>
      </c>
      <c r="AB49" s="775">
        <v>105002</v>
      </c>
      <c r="AC49" s="775">
        <v>104504</v>
      </c>
      <c r="AD49" s="775">
        <v>102009</v>
      </c>
      <c r="AE49" s="775"/>
      <c r="AF49" s="775"/>
      <c r="AG49" s="775"/>
      <c r="AH49" s="775"/>
      <c r="AI49" s="775"/>
      <c r="AJ49" s="775"/>
      <c r="AK49" s="775"/>
      <c r="AL49" s="775"/>
      <c r="AM49" s="775"/>
      <c r="AN49" s="775"/>
      <c r="AO49" s="775"/>
    </row>
    <row r="50" spans="1:41" s="773" customFormat="1" ht="15" customHeight="1">
      <c r="A50" s="771"/>
      <c r="B50" s="771"/>
      <c r="C50" s="772"/>
      <c r="E50" s="773" t="s">
        <v>1149</v>
      </c>
      <c r="G50" s="773" t="s">
        <v>168</v>
      </c>
      <c r="H50" s="774"/>
      <c r="J50" s="789"/>
      <c r="K50" s="780"/>
      <c r="L50" s="775"/>
      <c r="M50" s="775"/>
      <c r="N50" s="775"/>
      <c r="O50" s="775"/>
      <c r="P50" s="775"/>
      <c r="Q50" s="775"/>
      <c r="R50" s="785">
        <v>16392</v>
      </c>
      <c r="S50" s="775">
        <v>20740</v>
      </c>
      <c r="T50" s="775">
        <v>22473</v>
      </c>
      <c r="U50" s="775">
        <v>20558</v>
      </c>
      <c r="V50" s="775">
        <v>20343</v>
      </c>
      <c r="W50" s="775">
        <v>20257</v>
      </c>
      <c r="X50" s="775">
        <v>19749</v>
      </c>
      <c r="Y50" s="775">
        <v>18650</v>
      </c>
      <c r="Z50" s="775">
        <v>20104</v>
      </c>
      <c r="AA50" s="775">
        <v>20075</v>
      </c>
      <c r="AB50" s="775">
        <v>18960</v>
      </c>
      <c r="AC50" s="775">
        <v>21319</v>
      </c>
      <c r="AD50" s="775">
        <v>22064</v>
      </c>
      <c r="AE50" s="775"/>
      <c r="AF50" s="775"/>
      <c r="AG50" s="775"/>
      <c r="AH50" s="775"/>
      <c r="AI50" s="775"/>
      <c r="AJ50" s="775"/>
      <c r="AK50" s="775"/>
      <c r="AL50" s="775"/>
      <c r="AM50" s="775"/>
      <c r="AN50" s="775"/>
      <c r="AO50" s="775"/>
    </row>
    <row r="51" spans="1:41" s="773" customFormat="1" ht="15" customHeight="1">
      <c r="A51" s="771"/>
      <c r="B51" s="771"/>
      <c r="C51" s="772"/>
      <c r="E51" s="773" t="s">
        <v>1150</v>
      </c>
      <c r="G51" s="773" t="s">
        <v>14</v>
      </c>
      <c r="H51" s="774"/>
      <c r="J51" s="789"/>
      <c r="K51" s="780"/>
      <c r="L51" s="775"/>
      <c r="M51" s="775"/>
      <c r="N51" s="775"/>
      <c r="O51" s="775"/>
      <c r="P51" s="775"/>
      <c r="Q51" s="775"/>
      <c r="R51" s="785">
        <v>6169</v>
      </c>
      <c r="S51" s="775">
        <v>9315</v>
      </c>
      <c r="T51" s="775">
        <v>8803</v>
      </c>
      <c r="U51" s="775">
        <v>11155</v>
      </c>
      <c r="V51" s="775">
        <v>13228</v>
      </c>
      <c r="W51" s="775">
        <v>14330</v>
      </c>
      <c r="X51" s="775">
        <v>13228</v>
      </c>
      <c r="Y51" s="775">
        <v>12125</v>
      </c>
      <c r="Z51" s="775">
        <v>11023</v>
      </c>
      <c r="AA51" s="775">
        <v>10472</v>
      </c>
      <c r="AB51" s="775">
        <v>9921</v>
      </c>
      <c r="AC51" s="775">
        <v>10119</v>
      </c>
      <c r="AD51" s="775">
        <v>10322</v>
      </c>
      <c r="AE51" s="775"/>
      <c r="AF51" s="775"/>
      <c r="AG51" s="775"/>
      <c r="AH51" s="775"/>
      <c r="AI51" s="775"/>
      <c r="AJ51" s="775"/>
      <c r="AK51" s="775"/>
      <c r="AL51" s="775"/>
      <c r="AM51" s="775"/>
      <c r="AN51" s="775"/>
      <c r="AO51" s="775"/>
    </row>
    <row r="52" spans="1:41" s="773" customFormat="1" ht="15" customHeight="1">
      <c r="A52" s="771"/>
      <c r="B52" s="771"/>
      <c r="C52" s="772"/>
      <c r="E52" s="773" t="s">
        <v>1151</v>
      </c>
      <c r="G52" s="773" t="s">
        <v>14</v>
      </c>
      <c r="H52" s="774"/>
      <c r="J52" s="789"/>
      <c r="K52" s="780"/>
      <c r="L52" s="775"/>
      <c r="M52" s="775"/>
      <c r="N52" s="775"/>
      <c r="O52" s="775"/>
      <c r="P52" s="775"/>
      <c r="Q52" s="775"/>
      <c r="R52" s="785">
        <v>33958</v>
      </c>
      <c r="S52" s="775">
        <v>52698</v>
      </c>
      <c r="T52" s="775">
        <v>67984</v>
      </c>
      <c r="U52" s="775">
        <v>60627</v>
      </c>
      <c r="V52" s="775">
        <v>82673</v>
      </c>
      <c r="W52" s="775">
        <v>110231</v>
      </c>
      <c r="X52" s="775">
        <v>121254</v>
      </c>
      <c r="Y52" s="775">
        <v>77162</v>
      </c>
      <c r="Z52" s="775">
        <v>78705</v>
      </c>
      <c r="AA52" s="775">
        <v>80279</v>
      </c>
      <c r="AB52" s="775">
        <v>81885</v>
      </c>
      <c r="AC52" s="775">
        <v>83522</v>
      </c>
      <c r="AD52" s="775">
        <v>85193</v>
      </c>
      <c r="AE52" s="775"/>
      <c r="AF52" s="775"/>
      <c r="AG52" s="775"/>
      <c r="AH52" s="775"/>
      <c r="AI52" s="775"/>
      <c r="AJ52" s="775"/>
      <c r="AK52" s="775"/>
      <c r="AL52" s="775"/>
      <c r="AM52" s="775"/>
      <c r="AN52" s="775"/>
      <c r="AO52" s="775"/>
    </row>
    <row r="53" spans="1:41" s="767" customFormat="1" ht="15" customHeight="1">
      <c r="A53" s="768"/>
      <c r="B53" s="768"/>
      <c r="C53" s="769"/>
      <c r="E53" s="767" t="s">
        <v>1152</v>
      </c>
      <c r="G53" s="767" t="s">
        <v>29</v>
      </c>
      <c r="H53" s="770"/>
      <c r="J53" s="778"/>
      <c r="K53" s="781"/>
      <c r="L53" s="776"/>
      <c r="M53" s="776"/>
      <c r="N53" s="776"/>
      <c r="O53" s="776"/>
      <c r="P53" s="776"/>
      <c r="Q53" s="776"/>
      <c r="R53" s="786">
        <v>786</v>
      </c>
      <c r="S53" s="776">
        <v>1647</v>
      </c>
      <c r="T53" s="776">
        <v>1537</v>
      </c>
      <c r="U53" s="776">
        <v>2001</v>
      </c>
      <c r="V53" s="776">
        <v>2420</v>
      </c>
      <c r="W53" s="776">
        <v>2986</v>
      </c>
      <c r="X53" s="776">
        <v>2979</v>
      </c>
      <c r="Y53" s="776">
        <v>2215</v>
      </c>
      <c r="Z53" s="776">
        <v>2178</v>
      </c>
      <c r="AA53" s="776">
        <v>2139</v>
      </c>
      <c r="AB53" s="776">
        <v>2051</v>
      </c>
      <c r="AC53" s="776">
        <v>2212</v>
      </c>
      <c r="AD53" s="776">
        <v>2283</v>
      </c>
      <c r="AE53" s="776"/>
      <c r="AF53" s="776"/>
      <c r="AG53" s="776"/>
      <c r="AH53" s="776"/>
      <c r="AI53" s="776"/>
      <c r="AJ53" s="776"/>
      <c r="AK53" s="776"/>
      <c r="AL53" s="776"/>
      <c r="AM53" s="776"/>
      <c r="AN53" s="776"/>
      <c r="AO53" s="776"/>
    </row>
    <row r="54" spans="1:41" s="767" customFormat="1" ht="15" customHeight="1">
      <c r="A54" s="768"/>
      <c r="B54" s="768"/>
      <c r="C54" s="769"/>
      <c r="E54" s="767" t="s">
        <v>1153</v>
      </c>
      <c r="G54" s="767" t="s">
        <v>29</v>
      </c>
      <c r="H54" s="770"/>
      <c r="J54" s="778"/>
      <c r="K54" s="781"/>
      <c r="L54" s="776"/>
      <c r="M54" s="776"/>
      <c r="N54" s="776"/>
      <c r="O54" s="776"/>
      <c r="P54" s="776"/>
      <c r="Q54" s="776"/>
      <c r="R54" s="786">
        <v>-455</v>
      </c>
      <c r="S54" s="776">
        <v>-572</v>
      </c>
      <c r="T54" s="776">
        <v>-587</v>
      </c>
      <c r="U54" s="776">
        <v>-890</v>
      </c>
      <c r="V54" s="776">
        <v>-919</v>
      </c>
      <c r="W54" s="776">
        <v>-1018</v>
      </c>
      <c r="X54" s="776">
        <v>-1023</v>
      </c>
      <c r="Y54" s="776">
        <v>-923</v>
      </c>
      <c r="Z54" s="776">
        <v>-914</v>
      </c>
      <c r="AA54" s="776">
        <v>-928</v>
      </c>
      <c r="AB54" s="776">
        <v>-912</v>
      </c>
      <c r="AC54" s="776">
        <v>-965</v>
      </c>
      <c r="AD54" s="776">
        <v>-986</v>
      </c>
      <c r="AE54" s="776"/>
      <c r="AF54" s="776"/>
      <c r="AG54" s="776"/>
      <c r="AH54" s="776"/>
      <c r="AI54" s="776"/>
      <c r="AJ54" s="776"/>
      <c r="AK54" s="776"/>
      <c r="AL54" s="776"/>
      <c r="AM54" s="776"/>
      <c r="AN54" s="776"/>
      <c r="AO54" s="776"/>
    </row>
    <row r="55" spans="1:41" s="767" customFormat="1" ht="15" customHeight="1">
      <c r="A55" s="768"/>
      <c r="B55" s="768"/>
      <c r="C55" s="769"/>
      <c r="E55" s="767" t="s">
        <v>1154</v>
      </c>
      <c r="G55" s="767" t="s">
        <v>29</v>
      </c>
      <c r="H55" s="770"/>
      <c r="J55" s="778"/>
      <c r="K55" s="781"/>
      <c r="L55" s="776"/>
      <c r="M55" s="776"/>
      <c r="N55" s="776"/>
      <c r="O55" s="776"/>
      <c r="P55" s="776"/>
      <c r="Q55" s="776"/>
      <c r="R55" s="786">
        <v>331</v>
      </c>
      <c r="S55" s="776">
        <v>1075</v>
      </c>
      <c r="T55" s="776">
        <v>950</v>
      </c>
      <c r="U55" s="776">
        <v>1111</v>
      </c>
      <c r="V55" s="776">
        <v>1501</v>
      </c>
      <c r="W55" s="776">
        <v>1969</v>
      </c>
      <c r="X55" s="776">
        <v>1956</v>
      </c>
      <c r="Y55" s="776">
        <v>1292</v>
      </c>
      <c r="Z55" s="776">
        <v>1264</v>
      </c>
      <c r="AA55" s="776">
        <v>1211</v>
      </c>
      <c r="AB55" s="776">
        <v>1139</v>
      </c>
      <c r="AC55" s="776">
        <v>1247</v>
      </c>
      <c r="AD55" s="776">
        <v>1297</v>
      </c>
      <c r="AE55" s="776"/>
      <c r="AF55" s="776"/>
      <c r="AG55" s="776"/>
      <c r="AH55" s="776"/>
      <c r="AI55" s="776"/>
      <c r="AJ55" s="776"/>
      <c r="AK55" s="776"/>
      <c r="AL55" s="776"/>
      <c r="AM55" s="776"/>
      <c r="AN55" s="776"/>
      <c r="AO55" s="776"/>
    </row>
    <row r="56" spans="1:41" s="767" customFormat="1" ht="15" customHeight="1">
      <c r="A56" s="768"/>
      <c r="B56" s="768"/>
      <c r="C56" s="769"/>
      <c r="E56" s="767" t="s">
        <v>1155</v>
      </c>
      <c r="G56" s="767" t="s">
        <v>29</v>
      </c>
      <c r="H56" s="770"/>
      <c r="J56" s="778"/>
      <c r="K56" s="781"/>
      <c r="L56" s="776"/>
      <c r="M56" s="776"/>
      <c r="N56" s="776"/>
      <c r="O56" s="776"/>
      <c r="P56" s="776"/>
      <c r="Q56" s="776"/>
      <c r="R56" s="786">
        <v>-179</v>
      </c>
      <c r="S56" s="776">
        <v>-232</v>
      </c>
      <c r="T56" s="776">
        <v>-248</v>
      </c>
      <c r="U56" s="776">
        <v>-263</v>
      </c>
      <c r="V56" s="776">
        <v>-236</v>
      </c>
      <c r="W56" s="776">
        <v>-239</v>
      </c>
      <c r="X56" s="776">
        <v>-235</v>
      </c>
      <c r="Y56" s="776">
        <v>-218</v>
      </c>
      <c r="Z56" s="776">
        <v>-206</v>
      </c>
      <c r="AA56" s="776">
        <v>-81</v>
      </c>
      <c r="AB56" s="776">
        <v>-77</v>
      </c>
      <c r="AC56" s="776">
        <v>-50</v>
      </c>
      <c r="AD56" s="776">
        <v>-51</v>
      </c>
      <c r="AE56" s="776"/>
      <c r="AF56" s="776"/>
      <c r="AG56" s="776"/>
      <c r="AH56" s="776"/>
      <c r="AI56" s="776"/>
      <c r="AJ56" s="776"/>
      <c r="AK56" s="776"/>
      <c r="AL56" s="776"/>
      <c r="AM56" s="776"/>
      <c r="AN56" s="776"/>
      <c r="AO56" s="776"/>
    </row>
    <row r="57" spans="1:41" s="767" customFormat="1" ht="15" customHeight="1">
      <c r="A57" s="768"/>
      <c r="B57" s="768"/>
      <c r="C57" s="769"/>
      <c r="E57" s="767" t="s">
        <v>1156</v>
      </c>
      <c r="G57" s="767" t="s">
        <v>29</v>
      </c>
      <c r="H57" s="770"/>
      <c r="J57" s="778"/>
      <c r="K57" s="781"/>
      <c r="L57" s="776"/>
      <c r="M57" s="776"/>
      <c r="N57" s="776"/>
      <c r="O57" s="776"/>
      <c r="P57" s="776"/>
      <c r="Q57" s="776"/>
      <c r="R57" s="786">
        <v>-131</v>
      </c>
      <c r="S57" s="776">
        <v>-163</v>
      </c>
      <c r="T57" s="776">
        <v>-165</v>
      </c>
      <c r="U57" s="776">
        <v>-172</v>
      </c>
      <c r="V57" s="776">
        <v>-171</v>
      </c>
      <c r="W57" s="776">
        <v>-164</v>
      </c>
      <c r="X57" s="776">
        <v>-137</v>
      </c>
      <c r="Y57" s="776">
        <v>-110</v>
      </c>
      <c r="Z57" s="776">
        <v>-84</v>
      </c>
      <c r="AA57" s="776">
        <v>-55</v>
      </c>
      <c r="AB57" s="776">
        <v>-22</v>
      </c>
      <c r="AC57" s="776"/>
      <c r="AD57" s="776"/>
      <c r="AE57" s="776"/>
      <c r="AF57" s="776"/>
      <c r="AG57" s="776"/>
      <c r="AH57" s="776"/>
      <c r="AI57" s="776"/>
      <c r="AJ57" s="776"/>
      <c r="AK57" s="776"/>
      <c r="AL57" s="776"/>
      <c r="AM57" s="776"/>
      <c r="AN57" s="776"/>
      <c r="AO57" s="776"/>
    </row>
    <row r="58" spans="1:41" s="767" customFormat="1" ht="15" customHeight="1">
      <c r="A58" s="768"/>
      <c r="B58" s="768"/>
      <c r="C58" s="769"/>
      <c r="E58" s="767" t="s">
        <v>1157</v>
      </c>
      <c r="G58" s="767" t="s">
        <v>29</v>
      </c>
      <c r="H58" s="770"/>
      <c r="J58" s="778"/>
      <c r="K58" s="781"/>
      <c r="L58" s="776"/>
      <c r="M58" s="776"/>
      <c r="N58" s="776"/>
      <c r="O58" s="776"/>
      <c r="P58" s="776"/>
      <c r="Q58" s="776"/>
      <c r="R58" s="786">
        <v>21</v>
      </c>
      <c r="S58" s="776">
        <v>680</v>
      </c>
      <c r="T58" s="776">
        <v>537</v>
      </c>
      <c r="U58" s="776">
        <v>677</v>
      </c>
      <c r="V58" s="776">
        <v>1094</v>
      </c>
      <c r="W58" s="776">
        <v>1566</v>
      </c>
      <c r="X58" s="776">
        <v>1585</v>
      </c>
      <c r="Y58" s="776">
        <v>964</v>
      </c>
      <c r="Z58" s="776">
        <v>974</v>
      </c>
      <c r="AA58" s="776">
        <v>1075</v>
      </c>
      <c r="AB58" s="776">
        <v>1040</v>
      </c>
      <c r="AC58" s="776">
        <v>1197</v>
      </c>
      <c r="AD58" s="776">
        <v>1246</v>
      </c>
      <c r="AE58" s="776"/>
      <c r="AF58" s="776"/>
      <c r="AG58" s="776"/>
      <c r="AH58" s="776"/>
      <c r="AI58" s="776"/>
      <c r="AJ58" s="776"/>
      <c r="AK58" s="776"/>
      <c r="AL58" s="776"/>
      <c r="AM58" s="776"/>
      <c r="AN58" s="776"/>
      <c r="AO58" s="776"/>
    </row>
    <row r="59" spans="1:41" s="767" customFormat="1" ht="15" customHeight="1">
      <c r="A59" s="768"/>
      <c r="B59" s="768"/>
      <c r="C59" s="769"/>
      <c r="E59" s="767" t="s">
        <v>1158</v>
      </c>
      <c r="G59" s="767" t="s">
        <v>29</v>
      </c>
      <c r="H59" s="770"/>
      <c r="J59" s="778"/>
      <c r="K59" s="781"/>
      <c r="L59" s="776"/>
      <c r="M59" s="776"/>
      <c r="N59" s="776"/>
      <c r="O59" s="776"/>
      <c r="P59" s="776"/>
      <c r="Q59" s="776"/>
      <c r="R59" s="786">
        <v>-9</v>
      </c>
      <c r="S59" s="776">
        <v>-202</v>
      </c>
      <c r="T59" s="776">
        <v>-162</v>
      </c>
      <c r="U59" s="776">
        <v>-234</v>
      </c>
      <c r="V59" s="776">
        <v>-360</v>
      </c>
      <c r="W59" s="776">
        <v>-502</v>
      </c>
      <c r="X59" s="776">
        <v>-514</v>
      </c>
      <c r="Y59" s="776">
        <v>-335</v>
      </c>
      <c r="Z59" s="776">
        <v>-338</v>
      </c>
      <c r="AA59" s="776">
        <v>-357</v>
      </c>
      <c r="AB59" s="776">
        <v>-346</v>
      </c>
      <c r="AC59" s="776">
        <v>-393</v>
      </c>
      <c r="AD59" s="776">
        <v>-406</v>
      </c>
      <c r="AE59" s="776"/>
      <c r="AF59" s="776"/>
      <c r="AG59" s="776"/>
      <c r="AH59" s="776"/>
      <c r="AI59" s="776"/>
      <c r="AJ59" s="776"/>
      <c r="AK59" s="776"/>
      <c r="AL59" s="776"/>
      <c r="AM59" s="776"/>
      <c r="AN59" s="776"/>
      <c r="AO59" s="776"/>
    </row>
    <row r="60" spans="1:41" s="767" customFormat="1" ht="15" customHeight="1">
      <c r="A60" s="768"/>
      <c r="B60" s="768"/>
      <c r="C60" s="769"/>
      <c r="E60" s="767" t="s">
        <v>1159</v>
      </c>
      <c r="G60" s="767" t="s">
        <v>29</v>
      </c>
      <c r="H60" s="770"/>
      <c r="J60" s="778"/>
      <c r="K60" s="781"/>
      <c r="L60" s="776"/>
      <c r="M60" s="776"/>
      <c r="N60" s="776"/>
      <c r="O60" s="776"/>
      <c r="P60" s="776"/>
      <c r="Q60" s="776"/>
      <c r="R60" s="786">
        <v>12</v>
      </c>
      <c r="S60" s="776">
        <v>479</v>
      </c>
      <c r="T60" s="776">
        <v>375</v>
      </c>
      <c r="U60" s="776">
        <v>442</v>
      </c>
      <c r="V60" s="776">
        <v>734</v>
      </c>
      <c r="W60" s="776">
        <v>1064</v>
      </c>
      <c r="X60" s="776">
        <v>1071</v>
      </c>
      <c r="Y60" s="776">
        <v>629</v>
      </c>
      <c r="Z60" s="776">
        <v>636</v>
      </c>
      <c r="AA60" s="776">
        <v>718</v>
      </c>
      <c r="AB60" s="776">
        <v>694</v>
      </c>
      <c r="AC60" s="776">
        <v>804</v>
      </c>
      <c r="AD60" s="776">
        <v>840</v>
      </c>
      <c r="AE60" s="776"/>
      <c r="AF60" s="776"/>
      <c r="AG60" s="776"/>
      <c r="AH60" s="776"/>
      <c r="AI60" s="776"/>
      <c r="AJ60" s="776"/>
      <c r="AK60" s="776"/>
      <c r="AL60" s="776"/>
      <c r="AM60" s="776"/>
      <c r="AN60" s="776"/>
      <c r="AO60" s="776"/>
    </row>
    <row r="61" spans="1:41" s="767" customFormat="1" ht="15" customHeight="1">
      <c r="A61" s="768"/>
      <c r="B61" s="768"/>
      <c r="C61" s="769"/>
      <c r="H61" s="770"/>
      <c r="J61" s="778"/>
      <c r="K61" s="779"/>
    </row>
    <row r="62" spans="1:41" s="767" customFormat="1" ht="15" customHeight="1">
      <c r="A62" s="768"/>
      <c r="B62" s="768" t="s">
        <v>1160</v>
      </c>
      <c r="C62" s="769"/>
      <c r="H62" s="770"/>
      <c r="J62" s="778"/>
      <c r="K62" s="779"/>
    </row>
    <row r="63" spans="1:41" s="773" customFormat="1" ht="15" customHeight="1">
      <c r="A63" s="771"/>
      <c r="B63" s="771"/>
      <c r="C63" s="772"/>
      <c r="E63" s="773" t="s">
        <v>1161</v>
      </c>
      <c r="G63" s="773" t="s">
        <v>1214</v>
      </c>
      <c r="H63" s="774"/>
      <c r="J63" s="789"/>
      <c r="K63" s="780"/>
      <c r="L63" s="775"/>
      <c r="M63" s="775"/>
      <c r="N63" s="775"/>
      <c r="O63" s="775"/>
      <c r="P63" s="775"/>
      <c r="Q63" s="775"/>
      <c r="R63" s="785">
        <v>3</v>
      </c>
      <c r="S63" s="775">
        <v>5</v>
      </c>
      <c r="T63" s="775">
        <v>5</v>
      </c>
      <c r="U63" s="775">
        <v>5</v>
      </c>
      <c r="V63" s="775">
        <v>5</v>
      </c>
      <c r="W63" s="775">
        <v>5</v>
      </c>
      <c r="X63" s="775">
        <v>5</v>
      </c>
      <c r="Y63" s="775">
        <v>5</v>
      </c>
      <c r="Z63" s="775">
        <v>5</v>
      </c>
      <c r="AA63" s="775">
        <v>5</v>
      </c>
      <c r="AB63" s="775">
        <v>5</v>
      </c>
      <c r="AC63" s="775">
        <v>5</v>
      </c>
      <c r="AD63" s="783">
        <v>6</v>
      </c>
      <c r="AE63" s="775"/>
      <c r="AF63" s="775"/>
      <c r="AG63" s="785"/>
      <c r="AH63" s="775"/>
      <c r="AI63" s="775"/>
      <c r="AJ63" s="775"/>
      <c r="AK63" s="775"/>
      <c r="AL63" s="775"/>
      <c r="AM63" s="775"/>
      <c r="AN63" s="775"/>
      <c r="AO63" s="775"/>
    </row>
    <row r="64" spans="1:41" s="773" customFormat="1" ht="15" customHeight="1">
      <c r="A64" s="771"/>
      <c r="B64" s="771"/>
      <c r="C64" s="772"/>
      <c r="E64" s="773" t="s">
        <v>1162</v>
      </c>
      <c r="G64" s="773" t="s">
        <v>1214</v>
      </c>
      <c r="H64" s="774"/>
      <c r="J64" s="789"/>
      <c r="K64" s="780"/>
      <c r="L64" s="775"/>
      <c r="M64" s="775"/>
      <c r="N64" s="775"/>
      <c r="O64" s="775"/>
      <c r="P64" s="775"/>
      <c r="Q64" s="775"/>
      <c r="R64" s="785">
        <v>6</v>
      </c>
      <c r="S64" s="775">
        <v>16</v>
      </c>
      <c r="T64" s="775">
        <v>26</v>
      </c>
      <c r="U64" s="775">
        <v>27</v>
      </c>
      <c r="V64" s="775">
        <v>27</v>
      </c>
      <c r="W64" s="775">
        <v>28</v>
      </c>
      <c r="X64" s="775">
        <v>29</v>
      </c>
      <c r="Y64" s="775">
        <v>29</v>
      </c>
      <c r="Z64" s="775">
        <v>30</v>
      </c>
      <c r="AA64" s="775">
        <v>31</v>
      </c>
      <c r="AB64" s="775">
        <v>31</v>
      </c>
      <c r="AC64" s="775">
        <v>32</v>
      </c>
      <c r="AD64" s="783">
        <v>33</v>
      </c>
      <c r="AE64" s="775"/>
      <c r="AF64" s="775"/>
      <c r="AG64" s="785"/>
      <c r="AH64" s="775"/>
      <c r="AI64" s="775"/>
      <c r="AJ64" s="775"/>
      <c r="AK64" s="775"/>
      <c r="AL64" s="775"/>
      <c r="AM64" s="775"/>
      <c r="AN64" s="775"/>
      <c r="AO64" s="775"/>
    </row>
    <row r="65" spans="1:41" s="773" customFormat="1" ht="15" customHeight="1">
      <c r="A65" s="771"/>
      <c r="B65" s="771"/>
      <c r="C65" s="772"/>
      <c r="E65" s="773" t="s">
        <v>1163</v>
      </c>
      <c r="G65" s="773" t="s">
        <v>1214</v>
      </c>
      <c r="H65" s="774"/>
      <c r="J65" s="789"/>
      <c r="K65" s="780"/>
      <c r="L65" s="775"/>
      <c r="M65" s="775"/>
      <c r="N65" s="775"/>
      <c r="O65" s="775"/>
      <c r="P65" s="775"/>
      <c r="Q65" s="775"/>
      <c r="R65" s="785">
        <v>2</v>
      </c>
      <c r="S65" s="775">
        <v>2</v>
      </c>
      <c r="T65" s="775">
        <v>3</v>
      </c>
      <c r="U65" s="775">
        <v>3</v>
      </c>
      <c r="V65" s="775">
        <v>3</v>
      </c>
      <c r="W65" s="775">
        <v>3</v>
      </c>
      <c r="X65" s="775">
        <v>3</v>
      </c>
      <c r="Y65" s="775">
        <v>3</v>
      </c>
      <c r="Z65" s="775">
        <v>3</v>
      </c>
      <c r="AA65" s="775">
        <v>3</v>
      </c>
      <c r="AB65" s="775">
        <v>3</v>
      </c>
      <c r="AC65" s="775">
        <v>3</v>
      </c>
      <c r="AD65" s="783">
        <v>3</v>
      </c>
      <c r="AE65" s="775"/>
      <c r="AF65" s="775"/>
      <c r="AG65" s="785"/>
      <c r="AH65" s="775"/>
      <c r="AI65" s="775"/>
      <c r="AJ65" s="775"/>
      <c r="AK65" s="775"/>
      <c r="AL65" s="775"/>
      <c r="AM65" s="775"/>
      <c r="AN65" s="775"/>
      <c r="AO65" s="775"/>
    </row>
    <row r="66" spans="1:41" s="773" customFormat="1" ht="15" customHeight="1">
      <c r="A66" s="771"/>
      <c r="B66" s="771"/>
      <c r="C66" s="772"/>
      <c r="E66" s="773" t="s">
        <v>1164</v>
      </c>
      <c r="G66" s="773" t="s">
        <v>1214</v>
      </c>
      <c r="H66" s="774"/>
      <c r="J66" s="789"/>
      <c r="K66" s="780"/>
      <c r="L66" s="775"/>
      <c r="M66" s="775"/>
      <c r="N66" s="775"/>
      <c r="O66" s="775"/>
      <c r="P66" s="775"/>
      <c r="Q66" s="775"/>
      <c r="R66" s="785">
        <v>34</v>
      </c>
      <c r="S66" s="775">
        <v>50</v>
      </c>
      <c r="T66" s="775">
        <v>45</v>
      </c>
      <c r="U66" s="775">
        <v>39</v>
      </c>
      <c r="V66" s="775">
        <v>40</v>
      </c>
      <c r="W66" s="775">
        <v>40</v>
      </c>
      <c r="X66" s="775">
        <v>41</v>
      </c>
      <c r="Y66" s="775">
        <v>41</v>
      </c>
      <c r="Z66" s="775">
        <v>41</v>
      </c>
      <c r="AA66" s="775">
        <v>42</v>
      </c>
      <c r="AB66" s="775">
        <v>43</v>
      </c>
      <c r="AC66" s="775">
        <v>43</v>
      </c>
      <c r="AD66" s="783">
        <v>44</v>
      </c>
      <c r="AE66" s="775"/>
      <c r="AF66" s="775"/>
      <c r="AG66" s="785"/>
      <c r="AH66" s="775"/>
      <c r="AI66" s="775"/>
      <c r="AJ66" s="775"/>
      <c r="AK66" s="775"/>
      <c r="AL66" s="775"/>
      <c r="AM66" s="775"/>
      <c r="AN66" s="775"/>
      <c r="AO66" s="775"/>
    </row>
    <row r="67" spans="1:41" s="773" customFormat="1" ht="15" customHeight="1">
      <c r="A67" s="771"/>
      <c r="B67" s="771"/>
      <c r="C67" s="772"/>
      <c r="E67" s="773" t="s">
        <v>1165</v>
      </c>
      <c r="G67" s="773" t="s">
        <v>1214</v>
      </c>
      <c r="H67" s="774"/>
      <c r="J67" s="789"/>
      <c r="K67" s="780"/>
      <c r="L67" s="775"/>
      <c r="M67" s="775"/>
      <c r="N67" s="775"/>
      <c r="O67" s="775"/>
      <c r="P67" s="775"/>
      <c r="Q67" s="775"/>
      <c r="R67" s="785">
        <v>196</v>
      </c>
      <c r="S67" s="775">
        <v>209</v>
      </c>
      <c r="T67" s="775">
        <v>348</v>
      </c>
      <c r="U67" s="775">
        <v>425</v>
      </c>
      <c r="V67" s="775">
        <v>400</v>
      </c>
      <c r="W67" s="775">
        <v>438</v>
      </c>
      <c r="X67" s="775">
        <v>416</v>
      </c>
      <c r="Y67" s="775">
        <v>409</v>
      </c>
      <c r="Z67" s="775">
        <v>391</v>
      </c>
      <c r="AA67" s="775">
        <v>414</v>
      </c>
      <c r="AB67" s="775">
        <v>404</v>
      </c>
      <c r="AC67" s="775">
        <v>429</v>
      </c>
      <c r="AD67" s="783">
        <v>437</v>
      </c>
      <c r="AE67" s="775"/>
      <c r="AF67" s="775"/>
      <c r="AG67" s="785"/>
      <c r="AH67" s="775"/>
      <c r="AI67" s="775"/>
      <c r="AJ67" s="775"/>
      <c r="AK67" s="775"/>
      <c r="AL67" s="775"/>
      <c r="AM67" s="775"/>
      <c r="AN67" s="775"/>
      <c r="AO67" s="775"/>
    </row>
    <row r="68" spans="1:41" s="773" customFormat="1" ht="15" customHeight="1">
      <c r="A68" s="771"/>
      <c r="B68" s="771"/>
      <c r="C68" s="772"/>
      <c r="E68" s="773" t="s">
        <v>1166</v>
      </c>
      <c r="G68" s="773" t="s">
        <v>1214</v>
      </c>
      <c r="H68" s="774"/>
      <c r="J68" s="789"/>
      <c r="K68" s="780"/>
      <c r="L68" s="775"/>
      <c r="M68" s="775"/>
      <c r="N68" s="775"/>
      <c r="O68" s="775"/>
      <c r="P68" s="775"/>
      <c r="Q68" s="775"/>
      <c r="R68" s="785">
        <v>59</v>
      </c>
      <c r="S68" s="775">
        <v>41</v>
      </c>
      <c r="T68" s="775">
        <v>63</v>
      </c>
      <c r="U68" s="775">
        <v>75</v>
      </c>
      <c r="V68" s="775">
        <v>79</v>
      </c>
      <c r="W68" s="775">
        <v>80</v>
      </c>
      <c r="X68" s="775">
        <v>87</v>
      </c>
      <c r="Y68" s="775">
        <v>96</v>
      </c>
      <c r="Z68" s="775">
        <v>97</v>
      </c>
      <c r="AA68" s="775">
        <v>87</v>
      </c>
      <c r="AB68" s="775">
        <v>87</v>
      </c>
      <c r="AC68" s="775">
        <v>88</v>
      </c>
      <c r="AD68" s="783">
        <v>88</v>
      </c>
      <c r="AE68" s="775"/>
      <c r="AF68" s="775"/>
      <c r="AG68" s="785"/>
      <c r="AH68" s="775"/>
      <c r="AI68" s="775"/>
      <c r="AJ68" s="775"/>
      <c r="AK68" s="775"/>
      <c r="AL68" s="775"/>
      <c r="AM68" s="775"/>
      <c r="AN68" s="775"/>
      <c r="AO68" s="775"/>
    </row>
    <row r="69" spans="1:41" s="767" customFormat="1" ht="15" customHeight="1">
      <c r="A69" s="768"/>
      <c r="B69" s="768"/>
      <c r="C69" s="769"/>
      <c r="E69" s="767" t="s">
        <v>1167</v>
      </c>
      <c r="G69" s="773" t="s">
        <v>1214</v>
      </c>
      <c r="H69" s="770"/>
      <c r="J69" s="778"/>
      <c r="K69" s="781"/>
      <c r="L69" s="776"/>
      <c r="M69" s="776"/>
      <c r="N69" s="776"/>
      <c r="O69" s="776"/>
      <c r="P69" s="776"/>
      <c r="Q69" s="776"/>
      <c r="R69" s="786">
        <v>25</v>
      </c>
      <c r="S69" s="776">
        <v>55</v>
      </c>
      <c r="T69" s="776">
        <v>60</v>
      </c>
      <c r="U69" s="776">
        <v>67</v>
      </c>
      <c r="V69" s="776">
        <v>67</v>
      </c>
      <c r="W69" s="776">
        <v>69</v>
      </c>
      <c r="X69" s="776">
        <v>70</v>
      </c>
      <c r="Y69" s="776">
        <v>71</v>
      </c>
      <c r="Z69" s="776">
        <v>73</v>
      </c>
      <c r="AA69" s="776">
        <v>74</v>
      </c>
      <c r="AB69" s="776">
        <v>76</v>
      </c>
      <c r="AC69" s="776">
        <v>77</v>
      </c>
      <c r="AD69" s="784">
        <v>79</v>
      </c>
      <c r="AE69" s="776"/>
      <c r="AF69" s="776"/>
      <c r="AG69" s="786"/>
      <c r="AH69" s="776"/>
      <c r="AI69" s="776"/>
      <c r="AJ69" s="776"/>
      <c r="AK69" s="776"/>
      <c r="AL69" s="776"/>
      <c r="AM69" s="776"/>
      <c r="AN69" s="776"/>
      <c r="AO69" s="776"/>
    </row>
    <row r="70" spans="1:41" s="767" customFormat="1" ht="15" customHeight="1">
      <c r="A70" s="768"/>
      <c r="B70" s="768"/>
      <c r="C70" s="769"/>
      <c r="E70" s="767" t="s">
        <v>1168</v>
      </c>
      <c r="G70" s="773" t="s">
        <v>1214</v>
      </c>
      <c r="H70" s="770"/>
      <c r="J70" s="778"/>
      <c r="K70" s="781"/>
      <c r="L70" s="776"/>
      <c r="M70" s="776"/>
      <c r="N70" s="776"/>
      <c r="O70" s="776"/>
      <c r="P70" s="776"/>
      <c r="Q70" s="776"/>
      <c r="R70" s="786">
        <v>328</v>
      </c>
      <c r="S70" s="776">
        <v>378</v>
      </c>
      <c r="T70" s="776">
        <v>550</v>
      </c>
      <c r="U70" s="776">
        <v>641</v>
      </c>
      <c r="V70" s="776">
        <v>621</v>
      </c>
      <c r="W70" s="776">
        <v>663</v>
      </c>
      <c r="X70" s="776">
        <v>650</v>
      </c>
      <c r="Y70" s="776">
        <v>655</v>
      </c>
      <c r="Z70" s="776">
        <v>641</v>
      </c>
      <c r="AA70" s="776">
        <v>656</v>
      </c>
      <c r="AB70" s="776">
        <v>650</v>
      </c>
      <c r="AC70" s="776">
        <v>679</v>
      </c>
      <c r="AD70" s="784">
        <v>689</v>
      </c>
      <c r="AE70" s="776"/>
      <c r="AF70" s="776"/>
      <c r="AG70" s="786"/>
      <c r="AH70" s="776"/>
      <c r="AI70" s="776"/>
      <c r="AJ70" s="776"/>
      <c r="AK70" s="776"/>
      <c r="AL70" s="776"/>
      <c r="AM70" s="776"/>
      <c r="AN70" s="776"/>
      <c r="AO70" s="776"/>
    </row>
    <row r="71" spans="1:41" s="773" customFormat="1" ht="15" customHeight="1">
      <c r="A71" s="771"/>
      <c r="B71" s="771"/>
      <c r="C71" s="772"/>
      <c r="E71" s="773" t="s">
        <v>1169</v>
      </c>
      <c r="G71" s="773" t="s">
        <v>1214</v>
      </c>
      <c r="H71" s="774"/>
      <c r="J71" s="789"/>
      <c r="K71" s="780"/>
      <c r="L71" s="775"/>
      <c r="M71" s="775"/>
      <c r="N71" s="775"/>
      <c r="O71" s="775"/>
      <c r="P71" s="775"/>
      <c r="Q71" s="775"/>
      <c r="R71" s="785">
        <v>127</v>
      </c>
      <c r="S71" s="775">
        <v>209</v>
      </c>
      <c r="T71" s="775">
        <v>215</v>
      </c>
      <c r="U71" s="775">
        <v>249</v>
      </c>
      <c r="V71" s="775">
        <v>298</v>
      </c>
      <c r="W71" s="775">
        <v>355</v>
      </c>
      <c r="X71" s="775">
        <v>373</v>
      </c>
      <c r="Y71" s="775">
        <v>268</v>
      </c>
      <c r="Z71" s="775">
        <v>273</v>
      </c>
      <c r="AA71" s="775">
        <v>272</v>
      </c>
      <c r="AB71" s="775">
        <v>262</v>
      </c>
      <c r="AC71" s="775">
        <v>286</v>
      </c>
      <c r="AD71" s="783">
        <v>297</v>
      </c>
      <c r="AE71" s="775"/>
      <c r="AF71" s="775"/>
      <c r="AG71" s="785"/>
      <c r="AH71" s="775"/>
      <c r="AI71" s="775"/>
      <c r="AJ71" s="775"/>
      <c r="AK71" s="775"/>
      <c r="AL71" s="775"/>
      <c r="AM71" s="775"/>
      <c r="AN71" s="775"/>
      <c r="AO71" s="775"/>
    </row>
    <row r="72" spans="1:41" s="767" customFormat="1" ht="15" customHeight="1">
      <c r="A72" s="768"/>
      <c r="B72" s="768"/>
      <c r="C72" s="769"/>
      <c r="E72" s="767" t="s">
        <v>1170</v>
      </c>
      <c r="G72" s="773" t="s">
        <v>1214</v>
      </c>
      <c r="H72" s="770"/>
      <c r="J72" s="778"/>
      <c r="K72" s="781"/>
      <c r="L72" s="776"/>
      <c r="M72" s="776"/>
      <c r="N72" s="776"/>
      <c r="O72" s="776"/>
      <c r="P72" s="776"/>
      <c r="Q72" s="776"/>
      <c r="R72" s="786">
        <v>455</v>
      </c>
      <c r="S72" s="776">
        <v>587</v>
      </c>
      <c r="T72" s="776">
        <v>765</v>
      </c>
      <c r="U72" s="776">
        <v>890</v>
      </c>
      <c r="V72" s="776">
        <v>919</v>
      </c>
      <c r="W72" s="776">
        <v>1018</v>
      </c>
      <c r="X72" s="776">
        <v>1023</v>
      </c>
      <c r="Y72" s="776">
        <v>923</v>
      </c>
      <c r="Z72" s="776">
        <v>914</v>
      </c>
      <c r="AA72" s="776">
        <v>928</v>
      </c>
      <c r="AB72" s="776">
        <v>912</v>
      </c>
      <c r="AC72" s="776">
        <v>965</v>
      </c>
      <c r="AD72" s="784">
        <v>986</v>
      </c>
      <c r="AE72" s="776"/>
      <c r="AF72" s="776"/>
      <c r="AG72" s="786"/>
      <c r="AH72" s="776"/>
      <c r="AI72" s="776"/>
      <c r="AJ72" s="776"/>
      <c r="AK72" s="776"/>
      <c r="AL72" s="776"/>
      <c r="AM72" s="776"/>
      <c r="AN72" s="776"/>
      <c r="AO72" s="776"/>
    </row>
    <row r="73" spans="1:41" s="767" customFormat="1" ht="15" customHeight="1">
      <c r="A73" s="768"/>
      <c r="B73" s="768"/>
      <c r="C73" s="769"/>
      <c r="E73" s="767" t="s">
        <v>1171</v>
      </c>
      <c r="G73" s="773" t="s">
        <v>1214</v>
      </c>
      <c r="H73" s="770"/>
      <c r="J73" s="778"/>
      <c r="K73" s="781"/>
      <c r="L73" s="776"/>
      <c r="M73" s="776"/>
      <c r="N73" s="776"/>
      <c r="O73" s="776"/>
      <c r="P73" s="776"/>
      <c r="Q73" s="776"/>
      <c r="R73" s="786">
        <v>59</v>
      </c>
      <c r="S73" s="776">
        <v>73</v>
      </c>
      <c r="T73" s="776">
        <v>94</v>
      </c>
      <c r="U73" s="776">
        <v>113</v>
      </c>
      <c r="V73" s="776">
        <v>114</v>
      </c>
      <c r="W73" s="776">
        <v>133</v>
      </c>
      <c r="X73" s="776">
        <v>132</v>
      </c>
      <c r="Y73" s="776">
        <v>113</v>
      </c>
      <c r="Z73" s="776">
        <v>115</v>
      </c>
      <c r="AA73" s="776">
        <v>113</v>
      </c>
      <c r="AB73" s="776">
        <v>113</v>
      </c>
      <c r="AC73" s="776">
        <v>118</v>
      </c>
      <c r="AD73" s="784">
        <v>121</v>
      </c>
      <c r="AE73" s="776"/>
      <c r="AF73" s="776"/>
      <c r="AG73" s="786"/>
      <c r="AH73" s="776"/>
      <c r="AI73" s="776"/>
      <c r="AJ73" s="776"/>
      <c r="AK73" s="776"/>
      <c r="AL73" s="776"/>
      <c r="AM73" s="776"/>
      <c r="AN73" s="776"/>
      <c r="AO73" s="776"/>
    </row>
    <row r="74" spans="1:41" s="767" customFormat="1" ht="15" customHeight="1">
      <c r="A74" s="768"/>
      <c r="B74" s="768"/>
      <c r="C74" s="769"/>
      <c r="H74" s="770"/>
      <c r="J74" s="778"/>
      <c r="K74" s="779"/>
    </row>
    <row r="75" spans="1:41" s="767" customFormat="1" ht="15" customHeight="1">
      <c r="A75" s="768"/>
      <c r="B75" s="768" t="s">
        <v>1172</v>
      </c>
      <c r="C75" s="769"/>
      <c r="H75" s="770"/>
      <c r="J75" s="778"/>
      <c r="K75" s="779"/>
    </row>
    <row r="76" spans="1:41" s="767" customFormat="1" ht="15" customHeight="1">
      <c r="A76" s="768"/>
      <c r="B76" s="768"/>
      <c r="C76" s="769"/>
      <c r="E76" s="767" t="s">
        <v>1173</v>
      </c>
      <c r="G76" s="767" t="s">
        <v>1174</v>
      </c>
      <c r="H76" s="770"/>
      <c r="J76" s="778"/>
      <c r="K76" s="781"/>
      <c r="L76" s="776"/>
      <c r="M76" s="776"/>
      <c r="N76" s="776"/>
      <c r="O76" s="776"/>
      <c r="P76" s="776"/>
      <c r="Q76" s="776"/>
      <c r="R76" s="776"/>
      <c r="S76" s="776"/>
      <c r="T76" s="776"/>
      <c r="U76" s="784"/>
      <c r="V76" s="776"/>
      <c r="W76" s="786">
        <v>2000614700</v>
      </c>
      <c r="X76" s="776">
        <v>2419820204</v>
      </c>
      <c r="Y76" s="776">
        <v>2986271706</v>
      </c>
      <c r="Z76" s="776">
        <v>2979289603</v>
      </c>
      <c r="AA76" s="776">
        <v>2214797635</v>
      </c>
      <c r="AB76" s="776">
        <v>2178092045</v>
      </c>
      <c r="AC76" s="776">
        <v>2139203923</v>
      </c>
      <c r="AD76" s="776">
        <v>2051117001</v>
      </c>
      <c r="AE76" s="776">
        <v>2211832154</v>
      </c>
      <c r="AF76" s="776">
        <v>2283436058</v>
      </c>
      <c r="AG76" s="776"/>
      <c r="AH76" s="776"/>
      <c r="AI76" s="776"/>
      <c r="AJ76" s="776"/>
      <c r="AK76" s="776"/>
      <c r="AL76" s="776"/>
      <c r="AM76" s="776"/>
      <c r="AN76" s="776"/>
      <c r="AO76" s="776"/>
    </row>
    <row r="77" spans="1:41" s="767" customFormat="1" ht="15" customHeight="1">
      <c r="A77" s="768"/>
      <c r="B77" s="768"/>
      <c r="C77" s="769"/>
      <c r="E77" s="767" t="s">
        <v>1175</v>
      </c>
      <c r="G77" s="767" t="s">
        <v>1174</v>
      </c>
      <c r="H77" s="770"/>
      <c r="J77" s="778"/>
      <c r="K77" s="781"/>
      <c r="L77" s="776"/>
      <c r="M77" s="776"/>
      <c r="N77" s="776"/>
      <c r="O77" s="776"/>
      <c r="P77" s="776"/>
      <c r="Q77" s="776"/>
      <c r="R77" s="776"/>
      <c r="S77" s="776"/>
      <c r="T77" s="776"/>
      <c r="U77" s="784"/>
      <c r="V77" s="776"/>
      <c r="W77" s="786">
        <v>20006147</v>
      </c>
      <c r="X77" s="776">
        <v>24198204</v>
      </c>
      <c r="Y77" s="776">
        <v>29862717</v>
      </c>
      <c r="Z77" s="776">
        <v>29792896</v>
      </c>
      <c r="AA77" s="776">
        <v>22147976</v>
      </c>
      <c r="AB77" s="776">
        <v>21780920</v>
      </c>
      <c r="AC77" s="776">
        <v>21392039</v>
      </c>
      <c r="AD77" s="776">
        <v>20511170</v>
      </c>
      <c r="AE77" s="776">
        <v>22118322</v>
      </c>
      <c r="AF77" s="776">
        <v>22834361</v>
      </c>
      <c r="AG77" s="776"/>
      <c r="AH77" s="776"/>
      <c r="AI77" s="776"/>
      <c r="AJ77" s="776"/>
      <c r="AK77" s="776"/>
      <c r="AL77" s="776"/>
      <c r="AM77" s="776"/>
      <c r="AN77" s="776"/>
      <c r="AO77" s="776"/>
    </row>
    <row r="78" spans="1:41" s="767" customFormat="1" ht="15" customHeight="1">
      <c r="A78" s="768"/>
      <c r="B78" s="768"/>
      <c r="C78" s="769"/>
      <c r="E78" s="767" t="s">
        <v>1176</v>
      </c>
      <c r="G78" s="767" t="s">
        <v>1174</v>
      </c>
      <c r="H78" s="770"/>
      <c r="J78" s="778"/>
      <c r="K78" s="781"/>
      <c r="L78" s="776"/>
      <c r="M78" s="776"/>
      <c r="N78" s="776"/>
      <c r="O78" s="776"/>
      <c r="P78" s="776"/>
      <c r="Q78" s="776"/>
      <c r="R78" s="776"/>
      <c r="S78" s="776"/>
      <c r="T78" s="776"/>
      <c r="U78" s="784"/>
      <c r="V78" s="776"/>
      <c r="W78" s="786">
        <v>147141086</v>
      </c>
      <c r="X78" s="776">
        <v>174530590</v>
      </c>
      <c r="Y78" s="776">
        <v>211682414</v>
      </c>
      <c r="Z78" s="776">
        <v>228515154</v>
      </c>
      <c r="AA78" s="776">
        <v>153314635</v>
      </c>
      <c r="AB78" s="776">
        <v>158618109</v>
      </c>
      <c r="AC78" s="776">
        <v>159121068</v>
      </c>
      <c r="AD78" s="776">
        <v>153349808</v>
      </c>
      <c r="AE78" s="776">
        <v>169586626</v>
      </c>
      <c r="AF78" s="776">
        <v>177515324</v>
      </c>
      <c r="AG78" s="776"/>
      <c r="AH78" s="776"/>
      <c r="AI78" s="776"/>
      <c r="AJ78" s="776"/>
      <c r="AK78" s="776"/>
      <c r="AL78" s="776"/>
      <c r="AM78" s="776"/>
      <c r="AN78" s="776"/>
      <c r="AO78" s="776"/>
    </row>
    <row r="79" spans="1:41" s="767" customFormat="1" ht="15" customHeight="1">
      <c r="A79" s="768"/>
      <c r="B79" s="768"/>
      <c r="C79" s="769"/>
      <c r="E79" s="767" t="s">
        <v>1177</v>
      </c>
      <c r="G79" s="767" t="s">
        <v>1174</v>
      </c>
      <c r="H79" s="770"/>
      <c r="J79" s="778"/>
      <c r="K79" s="781"/>
      <c r="L79" s="776"/>
      <c r="M79" s="776"/>
      <c r="N79" s="776"/>
      <c r="O79" s="776"/>
      <c r="P79" s="776"/>
      <c r="Q79" s="776"/>
      <c r="R79" s="776"/>
      <c r="S79" s="776"/>
      <c r="T79" s="776"/>
      <c r="U79" s="784"/>
      <c r="V79" s="776"/>
      <c r="W79" s="786">
        <v>5370</v>
      </c>
      <c r="X79" s="776">
        <v>5370</v>
      </c>
      <c r="Y79" s="776">
        <v>5370</v>
      </c>
      <c r="Z79" s="776">
        <v>5370</v>
      </c>
      <c r="AA79" s="776">
        <v>5370</v>
      </c>
      <c r="AB79" s="776">
        <v>5370</v>
      </c>
      <c r="AC79" s="776">
        <v>5370</v>
      </c>
      <c r="AD79" s="776">
        <v>5370</v>
      </c>
      <c r="AE79" s="776">
        <v>5370</v>
      </c>
      <c r="AF79" s="776">
        <v>5370</v>
      </c>
      <c r="AG79" s="776"/>
      <c r="AH79" s="776"/>
      <c r="AI79" s="776"/>
      <c r="AJ79" s="776"/>
      <c r="AK79" s="776"/>
      <c r="AL79" s="776"/>
      <c r="AM79" s="776"/>
      <c r="AN79" s="776"/>
      <c r="AO79" s="776"/>
    </row>
    <row r="80" spans="1:41" s="767" customFormat="1" ht="15" customHeight="1">
      <c r="A80" s="768"/>
      <c r="B80" s="768"/>
      <c r="C80" s="769"/>
      <c r="E80" s="767" t="s">
        <v>1178</v>
      </c>
      <c r="G80" s="767" t="s">
        <v>1174</v>
      </c>
      <c r="H80" s="770"/>
      <c r="J80" s="778"/>
      <c r="K80" s="781"/>
      <c r="L80" s="776"/>
      <c r="M80" s="776"/>
      <c r="N80" s="776"/>
      <c r="O80" s="776"/>
      <c r="P80" s="776"/>
      <c r="Q80" s="776"/>
      <c r="R80" s="776"/>
      <c r="S80" s="776"/>
      <c r="T80" s="776"/>
      <c r="U80" s="784"/>
      <c r="V80" s="776"/>
      <c r="W80" s="786">
        <v>46528</v>
      </c>
      <c r="X80" s="776">
        <v>46528</v>
      </c>
      <c r="Y80" s="776">
        <v>46528</v>
      </c>
      <c r="Z80" s="776">
        <v>46528</v>
      </c>
      <c r="AA80" s="776">
        <v>46528</v>
      </c>
      <c r="AB80" s="776">
        <v>46528</v>
      </c>
      <c r="AC80" s="776">
        <v>46528</v>
      </c>
      <c r="AD80" s="776">
        <v>46528</v>
      </c>
      <c r="AE80" s="776">
        <v>46528</v>
      </c>
      <c r="AF80" s="776">
        <v>46528</v>
      </c>
      <c r="AG80" s="776"/>
      <c r="AH80" s="776"/>
      <c r="AI80" s="776"/>
      <c r="AJ80" s="776"/>
      <c r="AK80" s="776"/>
      <c r="AL80" s="776"/>
      <c r="AM80" s="776"/>
      <c r="AN80" s="776"/>
      <c r="AO80" s="776"/>
    </row>
    <row r="81" spans="1:41" s="767" customFormat="1" ht="15" customHeight="1">
      <c r="A81" s="768"/>
      <c r="B81" s="768"/>
      <c r="C81" s="769"/>
      <c r="E81" s="767" t="s">
        <v>1179</v>
      </c>
      <c r="G81" s="767" t="s">
        <v>1174</v>
      </c>
      <c r="H81" s="770"/>
      <c r="J81" s="778"/>
      <c r="K81" s="781"/>
      <c r="L81" s="776"/>
      <c r="M81" s="776"/>
      <c r="N81" s="776"/>
      <c r="O81" s="776"/>
      <c r="P81" s="776"/>
      <c r="Q81" s="776"/>
      <c r="R81" s="776"/>
      <c r="S81" s="776"/>
      <c r="T81" s="776"/>
      <c r="U81" s="784"/>
      <c r="V81" s="776"/>
      <c r="W81" s="786">
        <v>161144142</v>
      </c>
      <c r="X81" s="776">
        <v>198780692</v>
      </c>
      <c r="Y81" s="776">
        <v>241597029</v>
      </c>
      <c r="Z81" s="776">
        <v>258359949</v>
      </c>
      <c r="AA81" s="776">
        <v>175514510</v>
      </c>
      <c r="AB81" s="776">
        <v>180450927</v>
      </c>
      <c r="AC81" s="776">
        <v>180565005</v>
      </c>
      <c r="AD81" s="776">
        <v>173912876</v>
      </c>
      <c r="AE81" s="776">
        <v>191756846</v>
      </c>
      <c r="AF81" s="776">
        <v>200401582</v>
      </c>
      <c r="AG81" s="776"/>
      <c r="AH81" s="776"/>
      <c r="AI81" s="776"/>
      <c r="AJ81" s="776"/>
      <c r="AK81" s="776"/>
      <c r="AL81" s="776"/>
      <c r="AM81" s="776"/>
      <c r="AN81" s="776"/>
      <c r="AO81" s="776"/>
    </row>
    <row r="82" spans="1:41" s="767" customFormat="1" ht="15" customHeight="1">
      <c r="A82" s="768"/>
      <c r="B82" s="768"/>
      <c r="C82" s="769"/>
      <c r="H82" s="770"/>
      <c r="J82" s="778"/>
      <c r="K82" s="779"/>
    </row>
    <row r="83" spans="1:41" s="767" customFormat="1" ht="15" customHeight="1">
      <c r="A83" s="768"/>
      <c r="B83" s="768" t="s">
        <v>1180</v>
      </c>
      <c r="C83" s="769"/>
      <c r="E83"/>
      <c r="H83" s="770"/>
      <c r="J83" s="778"/>
      <c r="K83" s="779"/>
    </row>
    <row r="84" spans="1:41" s="773" customFormat="1" ht="15" customHeight="1">
      <c r="A84" s="771"/>
      <c r="B84" s="771"/>
      <c r="C84" s="772"/>
      <c r="E84" s="773" t="s">
        <v>1181</v>
      </c>
      <c r="F84" s="811">
        <v>832.3</v>
      </c>
      <c r="G84" s="773" t="s">
        <v>29</v>
      </c>
      <c r="H84" s="774"/>
      <c r="J84" s="789"/>
      <c r="K84" s="789"/>
    </row>
    <row r="85" spans="1:41" s="773" customFormat="1" ht="15" customHeight="1">
      <c r="A85" s="771"/>
      <c r="B85" s="771"/>
      <c r="C85" s="772"/>
      <c r="E85" s="773" t="s">
        <v>1182</v>
      </c>
      <c r="F85" s="811">
        <v>177.9</v>
      </c>
      <c r="G85" s="773" t="s">
        <v>29</v>
      </c>
      <c r="H85" s="774"/>
      <c r="J85" s="789"/>
      <c r="K85" s="789"/>
    </row>
    <row r="86" spans="1:41" s="767" customFormat="1" ht="15" customHeight="1">
      <c r="A86" s="768"/>
      <c r="B86" s="768"/>
      <c r="C86" s="769"/>
      <c r="E86" s="767" t="s">
        <v>1183</v>
      </c>
      <c r="G86" s="767" t="s">
        <v>29</v>
      </c>
      <c r="H86" s="770"/>
      <c r="J86" s="778"/>
      <c r="K86" s="782"/>
      <c r="L86" s="777"/>
      <c r="M86" s="777"/>
      <c r="N86" s="777"/>
      <c r="O86" s="777"/>
      <c r="P86" s="777"/>
      <c r="Q86" s="777"/>
      <c r="R86" s="788">
        <v>40</v>
      </c>
      <c r="S86" s="787">
        <v>26.7</v>
      </c>
      <c r="T86" s="776"/>
      <c r="U86" s="776"/>
      <c r="V86" s="788"/>
      <c r="W86" s="777"/>
      <c r="X86" s="777"/>
      <c r="Y86" s="777"/>
      <c r="Z86" s="777"/>
      <c r="AA86" s="777"/>
      <c r="AB86" s="777"/>
      <c r="AC86" s="777"/>
      <c r="AD86" s="777"/>
      <c r="AE86" s="777"/>
      <c r="AF86" s="777"/>
      <c r="AG86" s="777"/>
      <c r="AH86" s="777"/>
      <c r="AI86" s="777"/>
      <c r="AJ86" s="777"/>
      <c r="AK86" s="777"/>
      <c r="AL86" s="777"/>
      <c r="AM86" s="777"/>
      <c r="AN86" s="777"/>
      <c r="AO86" s="777"/>
    </row>
    <row r="87" spans="1:41" s="767" customFormat="1" ht="15" customHeight="1">
      <c r="A87" s="768"/>
      <c r="B87" s="768"/>
      <c r="C87" s="769"/>
      <c r="E87" s="767" t="s">
        <v>1184</v>
      </c>
      <c r="G87" s="767" t="s">
        <v>29</v>
      </c>
      <c r="H87" s="770"/>
      <c r="J87" s="778"/>
      <c r="K87" s="782"/>
      <c r="L87" s="816"/>
      <c r="M87" s="816"/>
      <c r="N87" s="816"/>
      <c r="O87" s="816"/>
      <c r="P87" s="816"/>
      <c r="Q87" s="816"/>
      <c r="R87" s="817">
        <v>27.2</v>
      </c>
      <c r="S87" s="818">
        <v>1.3</v>
      </c>
      <c r="T87" s="801"/>
      <c r="U87" s="801"/>
      <c r="V87" s="817"/>
      <c r="W87" s="816"/>
      <c r="X87" s="816"/>
      <c r="Y87" s="816"/>
      <c r="Z87" s="816"/>
      <c r="AA87" s="816"/>
      <c r="AB87" s="816"/>
      <c r="AC87" s="816"/>
      <c r="AD87" s="816"/>
      <c r="AE87" s="816"/>
      <c r="AF87" s="816"/>
      <c r="AG87" s="816"/>
      <c r="AH87" s="816"/>
      <c r="AI87" s="816"/>
      <c r="AJ87" s="816"/>
      <c r="AK87" s="816"/>
      <c r="AL87" s="816"/>
      <c r="AM87" s="816"/>
      <c r="AN87" s="816"/>
      <c r="AO87" s="816"/>
    </row>
    <row r="88" spans="1:41" s="773" customFormat="1" ht="15" customHeight="1">
      <c r="A88" s="771"/>
      <c r="B88" s="771"/>
      <c r="C88" s="772"/>
      <c r="E88" s="773" t="s">
        <v>1232</v>
      </c>
      <c r="G88" s="773" t="s">
        <v>29</v>
      </c>
      <c r="H88" s="774"/>
      <c r="I88" s="773" t="s">
        <v>1233</v>
      </c>
      <c r="J88" s="789"/>
      <c r="K88" s="819"/>
      <c r="L88" s="811"/>
      <c r="M88" s="811"/>
      <c r="N88" s="811"/>
      <c r="O88" s="811"/>
      <c r="P88" s="811">
        <v>175.6</v>
      </c>
      <c r="Q88" s="811">
        <v>175.6</v>
      </c>
      <c r="R88" s="811"/>
      <c r="S88" s="811"/>
      <c r="T88" s="775"/>
      <c r="U88" s="775"/>
      <c r="V88" s="811"/>
      <c r="W88" s="811"/>
      <c r="X88" s="811"/>
      <c r="Y88" s="811"/>
      <c r="Z88" s="811"/>
      <c r="AA88" s="811"/>
      <c r="AB88" s="811"/>
      <c r="AC88" s="811"/>
      <c r="AD88" s="811"/>
      <c r="AE88" s="811"/>
      <c r="AF88" s="811"/>
      <c r="AG88" s="811"/>
      <c r="AH88" s="811"/>
      <c r="AI88" s="811"/>
      <c r="AJ88" s="811"/>
      <c r="AK88" s="811"/>
      <c r="AL88" s="811"/>
      <c r="AM88" s="811"/>
      <c r="AN88" s="811"/>
      <c r="AO88" s="811"/>
    </row>
    <row r="89" spans="1:41" s="767" customFormat="1" ht="15" customHeight="1">
      <c r="A89" s="768"/>
      <c r="B89" s="768"/>
      <c r="C89" s="769"/>
      <c r="H89" s="770"/>
      <c r="J89" s="778"/>
      <c r="K89" s="779"/>
    </row>
    <row r="90" spans="1:41" s="767" customFormat="1" ht="15" customHeight="1">
      <c r="A90" s="768"/>
      <c r="B90" s="768" t="s">
        <v>1185</v>
      </c>
      <c r="C90" s="769"/>
      <c r="H90" s="770"/>
      <c r="J90" s="778"/>
      <c r="K90" s="779"/>
    </row>
    <row r="91" spans="1:41" s="767" customFormat="1" ht="15" customHeight="1">
      <c r="A91" s="768"/>
      <c r="B91" s="768"/>
      <c r="C91" s="769"/>
      <c r="E91" s="767" t="s">
        <v>1186</v>
      </c>
      <c r="G91" s="767" t="s">
        <v>29</v>
      </c>
      <c r="H91" s="770"/>
      <c r="J91" s="778"/>
      <c r="K91" s="781"/>
      <c r="L91" s="776"/>
      <c r="M91" s="776"/>
      <c r="N91" s="776"/>
      <c r="O91" s="776"/>
      <c r="P91" s="776"/>
      <c r="Q91" s="788">
        <v>4.5</v>
      </c>
      <c r="R91" s="777">
        <v>4.7</v>
      </c>
      <c r="S91" s="776">
        <v>0.3</v>
      </c>
      <c r="T91" s="776">
        <v>0.2</v>
      </c>
      <c r="U91" s="776">
        <v>0.2</v>
      </c>
      <c r="V91" s="776">
        <v>0</v>
      </c>
      <c r="W91" s="776">
        <v>0.1</v>
      </c>
      <c r="X91" s="776">
        <v>0.2</v>
      </c>
      <c r="Y91" s="776">
        <v>0.5</v>
      </c>
      <c r="Z91" s="776">
        <v>0.1</v>
      </c>
      <c r="AA91" s="776">
        <v>0.1</v>
      </c>
      <c r="AB91" s="776"/>
      <c r="AC91" s="776"/>
      <c r="AD91" s="784"/>
      <c r="AE91" s="776"/>
      <c r="AF91" s="776"/>
      <c r="AG91" s="786"/>
      <c r="AH91" s="776"/>
      <c r="AI91" s="776"/>
      <c r="AJ91" s="776"/>
      <c r="AK91" s="776"/>
      <c r="AL91" s="776"/>
      <c r="AM91" s="776"/>
      <c r="AN91" s="776"/>
      <c r="AO91" s="776"/>
    </row>
    <row r="92" spans="1:41" s="767" customFormat="1" ht="15" customHeight="1">
      <c r="A92" s="768"/>
      <c r="B92" s="768"/>
      <c r="C92" s="769"/>
      <c r="E92" s="767" t="s">
        <v>1187</v>
      </c>
      <c r="G92" s="767" t="s">
        <v>29</v>
      </c>
      <c r="H92" s="770"/>
      <c r="J92" s="778"/>
      <c r="K92" s="781"/>
      <c r="L92" s="776"/>
      <c r="M92" s="776"/>
      <c r="N92" s="776"/>
      <c r="O92" s="776"/>
      <c r="P92" s="776"/>
      <c r="Q92" s="788">
        <v>12.8</v>
      </c>
      <c r="R92" s="777">
        <v>12.8</v>
      </c>
      <c r="S92" s="776"/>
      <c r="T92" s="776"/>
      <c r="U92" s="776"/>
      <c r="V92" s="776"/>
      <c r="W92" s="776"/>
      <c r="X92" s="776"/>
      <c r="Y92" s="776"/>
      <c r="Z92" s="776"/>
      <c r="AA92" s="776"/>
      <c r="AB92" s="776"/>
      <c r="AC92" s="776"/>
      <c r="AD92" s="784"/>
      <c r="AE92" s="776"/>
      <c r="AF92" s="776"/>
      <c r="AG92" s="786"/>
      <c r="AH92" s="776"/>
      <c r="AI92" s="776"/>
      <c r="AJ92" s="776"/>
      <c r="AK92" s="776"/>
      <c r="AL92" s="776"/>
      <c r="AM92" s="776"/>
      <c r="AN92" s="776"/>
      <c r="AO92" s="776"/>
    </row>
    <row r="93" spans="1:41" s="767" customFormat="1" ht="15" customHeight="1">
      <c r="A93" s="768"/>
      <c r="B93" s="768"/>
      <c r="C93" s="769"/>
      <c r="E93" s="767" t="s">
        <v>1188</v>
      </c>
      <c r="G93" s="767" t="s">
        <v>29</v>
      </c>
      <c r="H93" s="770"/>
      <c r="J93" s="778"/>
      <c r="K93" s="781"/>
      <c r="L93" s="776"/>
      <c r="M93" s="776"/>
      <c r="N93" s="776"/>
      <c r="O93" s="776"/>
      <c r="P93" s="776"/>
      <c r="Q93" s="788">
        <v>1.6</v>
      </c>
      <c r="R93" s="777"/>
      <c r="S93" s="776"/>
      <c r="T93" s="776"/>
      <c r="U93" s="776"/>
      <c r="V93" s="776"/>
      <c r="W93" s="776"/>
      <c r="X93" s="776"/>
      <c r="Y93" s="776"/>
      <c r="Z93" s="776"/>
      <c r="AA93" s="776"/>
      <c r="AB93" s="776"/>
      <c r="AC93" s="776"/>
      <c r="AD93" s="784"/>
      <c r="AE93" s="776"/>
      <c r="AF93" s="776"/>
      <c r="AG93" s="786"/>
      <c r="AH93" s="776"/>
      <c r="AI93" s="776"/>
      <c r="AJ93" s="776"/>
      <c r="AK93" s="776"/>
      <c r="AL93" s="776"/>
      <c r="AM93" s="776"/>
      <c r="AN93" s="776"/>
      <c r="AO93" s="776"/>
    </row>
    <row r="94" spans="1:41" s="767" customFormat="1" ht="15" customHeight="1">
      <c r="A94" s="768"/>
      <c r="B94" s="768"/>
      <c r="C94" s="769"/>
      <c r="E94" s="767" t="s">
        <v>1189</v>
      </c>
      <c r="G94" s="767" t="s">
        <v>29</v>
      </c>
      <c r="H94" s="770"/>
      <c r="J94" s="778"/>
      <c r="K94" s="781"/>
      <c r="L94" s="776"/>
      <c r="M94" s="776"/>
      <c r="N94" s="776"/>
      <c r="O94" s="776"/>
      <c r="P94" s="776"/>
      <c r="Q94" s="788">
        <v>96.1</v>
      </c>
      <c r="R94" s="777">
        <v>18.2</v>
      </c>
      <c r="S94" s="776"/>
      <c r="T94" s="776"/>
      <c r="U94" s="776"/>
      <c r="V94" s="776"/>
      <c r="W94" s="776"/>
      <c r="X94" s="776"/>
      <c r="Y94" s="776"/>
      <c r="Z94" s="776"/>
      <c r="AA94" s="776"/>
      <c r="AB94" s="776"/>
      <c r="AC94" s="776"/>
      <c r="AD94" s="784"/>
      <c r="AE94" s="776"/>
      <c r="AF94" s="776"/>
      <c r="AG94" s="786"/>
      <c r="AH94" s="776"/>
      <c r="AI94" s="776"/>
      <c r="AJ94" s="776"/>
      <c r="AK94" s="776"/>
      <c r="AL94" s="776"/>
      <c r="AM94" s="776"/>
      <c r="AN94" s="776"/>
      <c r="AO94" s="776"/>
    </row>
    <row r="95" spans="1:41" s="767" customFormat="1" ht="15" customHeight="1">
      <c r="A95" s="768"/>
      <c r="B95" s="768"/>
      <c r="C95" s="769"/>
      <c r="E95" s="767" t="s">
        <v>1190</v>
      </c>
      <c r="G95" s="767" t="s">
        <v>29</v>
      </c>
      <c r="H95" s="770"/>
      <c r="J95" s="778"/>
      <c r="K95" s="781"/>
      <c r="L95" s="776"/>
      <c r="M95" s="776"/>
      <c r="N95" s="776"/>
      <c r="O95" s="776"/>
      <c r="P95" s="776"/>
      <c r="Q95" s="788">
        <v>68.8</v>
      </c>
      <c r="R95" s="777">
        <v>8.1999999999999993</v>
      </c>
      <c r="S95" s="776"/>
      <c r="T95" s="776"/>
      <c r="U95" s="776"/>
      <c r="V95" s="776"/>
      <c r="W95" s="776"/>
      <c r="X95" s="776"/>
      <c r="Y95" s="776"/>
      <c r="Z95" s="776"/>
      <c r="AA95" s="776"/>
      <c r="AB95" s="776"/>
      <c r="AC95" s="776"/>
      <c r="AD95" s="784"/>
      <c r="AE95" s="776"/>
      <c r="AF95" s="776"/>
      <c r="AG95" s="786"/>
      <c r="AH95" s="776"/>
      <c r="AI95" s="776"/>
      <c r="AJ95" s="776"/>
      <c r="AK95" s="776"/>
      <c r="AL95" s="776"/>
      <c r="AM95" s="776"/>
      <c r="AN95" s="776"/>
      <c r="AO95" s="776"/>
    </row>
    <row r="96" spans="1:41" s="767" customFormat="1" ht="15" customHeight="1">
      <c r="A96" s="768"/>
      <c r="B96" s="768"/>
      <c r="C96" s="769"/>
      <c r="E96" s="767" t="s">
        <v>1191</v>
      </c>
      <c r="G96" s="767" t="s">
        <v>29</v>
      </c>
      <c r="H96" s="770"/>
      <c r="J96" s="778"/>
      <c r="K96" s="781"/>
      <c r="L96" s="776"/>
      <c r="M96" s="776"/>
      <c r="N96" s="776"/>
      <c r="O96" s="776"/>
      <c r="P96" s="776"/>
      <c r="Q96" s="788">
        <v>3.2</v>
      </c>
      <c r="R96" s="777">
        <v>14.6</v>
      </c>
      <c r="S96" s="776">
        <v>5</v>
      </c>
      <c r="T96" s="776">
        <v>18.7</v>
      </c>
      <c r="U96" s="776">
        <v>5.3</v>
      </c>
      <c r="V96" s="776">
        <v>26.7</v>
      </c>
      <c r="W96" s="776">
        <v>11.6</v>
      </c>
      <c r="X96" s="776">
        <v>28.7</v>
      </c>
      <c r="Y96" s="776">
        <v>8.1999999999999993</v>
      </c>
      <c r="Z96" s="776">
        <v>17.8</v>
      </c>
      <c r="AA96" s="776">
        <v>7.6</v>
      </c>
      <c r="AB96" s="776">
        <v>33.700000000000003</v>
      </c>
      <c r="AC96" s="776">
        <v>6.4</v>
      </c>
      <c r="AD96" s="784">
        <v>13.1</v>
      </c>
      <c r="AE96" s="776"/>
      <c r="AF96" s="776"/>
      <c r="AG96" s="786"/>
      <c r="AH96" s="776"/>
      <c r="AI96" s="776"/>
      <c r="AJ96" s="776"/>
      <c r="AK96" s="776"/>
      <c r="AL96" s="776"/>
      <c r="AM96" s="776"/>
      <c r="AN96" s="776"/>
      <c r="AO96" s="776"/>
    </row>
    <row r="97" spans="1:48" s="767" customFormat="1" ht="15" customHeight="1">
      <c r="A97" s="768"/>
      <c r="B97" s="768"/>
      <c r="C97" s="769"/>
      <c r="E97" s="767" t="s">
        <v>1192</v>
      </c>
      <c r="G97" s="767" t="s">
        <v>29</v>
      </c>
      <c r="H97" s="770"/>
      <c r="J97" s="778"/>
      <c r="K97" s="781"/>
      <c r="L97" s="776"/>
      <c r="M97" s="776"/>
      <c r="N97" s="776"/>
      <c r="O97" s="776"/>
      <c r="P97" s="776"/>
      <c r="Q97" s="788">
        <v>0.43</v>
      </c>
      <c r="R97" s="777">
        <v>0.48</v>
      </c>
      <c r="S97" s="776">
        <v>0.54</v>
      </c>
      <c r="T97" s="776">
        <v>0.6</v>
      </c>
      <c r="U97" s="776"/>
      <c r="V97" s="801"/>
      <c r="W97" s="776"/>
      <c r="X97" s="776"/>
      <c r="Y97" s="776"/>
      <c r="Z97" s="776"/>
      <c r="AA97" s="776"/>
      <c r="AB97" s="776"/>
      <c r="AC97" s="776"/>
      <c r="AD97" s="784"/>
      <c r="AE97" s="776"/>
      <c r="AF97" s="776"/>
      <c r="AG97" s="786"/>
      <c r="AH97" s="776"/>
      <c r="AI97" s="776"/>
      <c r="AJ97" s="776"/>
      <c r="AK97" s="776"/>
      <c r="AL97" s="776"/>
      <c r="AM97" s="776"/>
      <c r="AN97" s="776"/>
      <c r="AO97" s="776"/>
    </row>
    <row r="98" spans="1:48" s="773" customFormat="1" ht="15" customHeight="1">
      <c r="A98" s="771"/>
      <c r="B98" s="771"/>
      <c r="C98" s="772"/>
      <c r="E98" s="773" t="s">
        <v>1228</v>
      </c>
      <c r="G98" s="773" t="s">
        <v>1214</v>
      </c>
      <c r="H98" s="774"/>
      <c r="J98" s="789">
        <f xml:space="preserve"> SUM(L98:AV98)</f>
        <v>433.5</v>
      </c>
      <c r="K98" s="780"/>
      <c r="L98" s="775"/>
      <c r="M98" s="775"/>
      <c r="N98" s="775"/>
      <c r="O98" s="775"/>
      <c r="P98" s="775"/>
      <c r="Q98" s="822">
        <v>175.6</v>
      </c>
      <c r="R98" s="811">
        <v>58.9</v>
      </c>
      <c r="S98" s="811">
        <v>18.600000000000001</v>
      </c>
      <c r="T98" s="811">
        <v>19.399999999999999</v>
      </c>
      <c r="U98" s="823">
        <v>6.1</v>
      </c>
      <c r="V98" s="811">
        <v>26.7</v>
      </c>
      <c r="W98" s="822">
        <v>11.7</v>
      </c>
      <c r="X98" s="811">
        <v>28.8</v>
      </c>
      <c r="Y98" s="811">
        <v>8.4</v>
      </c>
      <c r="Z98" s="775">
        <v>18.3</v>
      </c>
      <c r="AA98" s="775">
        <v>7.7</v>
      </c>
      <c r="AB98" s="775">
        <v>33.799999999999997</v>
      </c>
      <c r="AC98" s="775">
        <v>6.4</v>
      </c>
      <c r="AD98" s="783">
        <v>13.1</v>
      </c>
      <c r="AE98" s="775"/>
      <c r="AF98" s="775"/>
      <c r="AG98" s="785"/>
      <c r="AH98" s="775"/>
      <c r="AI98" s="775"/>
      <c r="AJ98" s="775"/>
      <c r="AK98" s="775"/>
      <c r="AL98" s="775"/>
      <c r="AM98" s="775"/>
      <c r="AN98" s="775"/>
      <c r="AO98" s="775"/>
    </row>
    <row r="99" spans="1:48" s="767" customFormat="1" ht="15" customHeight="1">
      <c r="A99" s="768"/>
      <c r="B99" s="768"/>
      <c r="C99" s="769"/>
      <c r="H99" s="770"/>
      <c r="K99" s="779"/>
    </row>
    <row r="100" spans="1:48" s="31" customFormat="1" ht="15" customHeight="1" collapsed="1">
      <c r="A100" s="34" t="s">
        <v>686</v>
      </c>
      <c r="B100" s="28"/>
      <c r="C100" s="29"/>
      <c r="D100" s="30"/>
      <c r="E100" s="701"/>
      <c r="F100" s="701"/>
      <c r="G100" s="701"/>
      <c r="H100" s="28"/>
      <c r="I100" s="28"/>
      <c r="J100" s="28"/>
      <c r="K100" s="46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</row>
    <row r="101" spans="1:48" ht="15" customHeight="1">
      <c r="E101" s="92"/>
      <c r="K101" s="46"/>
    </row>
    <row r="102" spans="1:48" ht="15" customHeight="1">
      <c r="B102" s="16" t="s">
        <v>244</v>
      </c>
      <c r="E102" s="92"/>
      <c r="K102" s="46"/>
    </row>
    <row r="103" spans="1:48" ht="15" customHeight="1">
      <c r="C103" s="17" t="s">
        <v>245</v>
      </c>
      <c r="E103" s="92"/>
      <c r="K103" s="46"/>
    </row>
    <row r="104" spans="1:48" ht="15" customHeight="1">
      <c r="E104" s="183" t="s">
        <v>246</v>
      </c>
      <c r="F104" s="489">
        <v>70000</v>
      </c>
      <c r="G104" s="93" t="s">
        <v>807</v>
      </c>
      <c r="I104" s="69" t="str">
        <f xml:space="preserve"> Sources!I$16</f>
        <v>XII</v>
      </c>
      <c r="K104" s="46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</row>
    <row r="105" spans="1:48" ht="15" customHeight="1">
      <c r="E105" s="183" t="s">
        <v>247</v>
      </c>
      <c r="F105" s="715">
        <v>8000</v>
      </c>
      <c r="G105" s="93" t="s">
        <v>807</v>
      </c>
      <c r="I105" s="69" t="str">
        <f xml:space="preserve"> Sources!I$16</f>
        <v>XII</v>
      </c>
      <c r="K105" s="46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</row>
    <row r="106" spans="1:48" ht="15" customHeight="1">
      <c r="E106" s="183" t="s">
        <v>248</v>
      </c>
      <c r="F106" s="489">
        <v>150000</v>
      </c>
      <c r="G106" s="93" t="s">
        <v>807</v>
      </c>
      <c r="I106" s="69" t="str">
        <f xml:space="preserve"> Sources!I$19</f>
        <v>XIV</v>
      </c>
      <c r="K106" s="46"/>
    </row>
    <row r="107" spans="1:48" ht="15" customHeight="1">
      <c r="E107" s="183" t="s">
        <v>249</v>
      </c>
      <c r="F107" s="489">
        <v>300000</v>
      </c>
      <c r="G107" s="93" t="s">
        <v>807</v>
      </c>
      <c r="I107" s="69" t="str">
        <f xml:space="preserve"> Sources!I$26</f>
        <v>XXI</v>
      </c>
      <c r="K107" s="46"/>
    </row>
    <row r="108" spans="1:48" ht="15" customHeight="1">
      <c r="E108" s="92"/>
      <c r="K108" s="46"/>
    </row>
    <row r="109" spans="1:48" ht="15" customHeight="1">
      <c r="B109" s="16" t="s">
        <v>250</v>
      </c>
      <c r="E109" s="92"/>
      <c r="K109" s="46"/>
      <c r="N109" s="3"/>
    </row>
    <row r="110" spans="1:48" ht="15" customHeight="1">
      <c r="C110" s="17" t="s">
        <v>251</v>
      </c>
      <c r="E110" s="92"/>
      <c r="K110" s="46"/>
      <c r="N110" s="3"/>
    </row>
    <row r="111" spans="1:48" ht="15" customHeight="1">
      <c r="A111" s="32"/>
      <c r="B111" s="32"/>
      <c r="E111" s="183" t="s">
        <v>252</v>
      </c>
      <c r="G111" s="93" t="s">
        <v>231</v>
      </c>
      <c r="I111" s="69" t="str">
        <f xml:space="preserve"> Sources!I$20</f>
        <v>XV</v>
      </c>
      <c r="K111" s="46"/>
      <c r="L111" s="40"/>
      <c r="M111" s="40"/>
      <c r="N111" s="40">
        <v>551.33299999999997</v>
      </c>
      <c r="O111" s="40">
        <v>1094.088</v>
      </c>
      <c r="P111" s="40">
        <v>1309.7349999999999</v>
      </c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</row>
    <row r="112" spans="1:48" ht="15" customHeight="1">
      <c r="E112" s="183" t="s">
        <v>253</v>
      </c>
      <c r="G112" s="93" t="s">
        <v>26</v>
      </c>
      <c r="I112" s="69" t="str">
        <f xml:space="preserve"> Sources!I$20</f>
        <v>XV</v>
      </c>
      <c r="K112" s="46"/>
      <c r="L112" s="71"/>
      <c r="M112" s="71"/>
      <c r="N112" s="71">
        <v>3.9300000000000002E-2</v>
      </c>
      <c r="O112" s="71">
        <v>3.85E-2</v>
      </c>
      <c r="P112" s="71">
        <v>3.8199999999999998E-2</v>
      </c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</row>
    <row r="113" spans="1:48" ht="15" customHeight="1">
      <c r="E113" s="183" t="s">
        <v>254</v>
      </c>
      <c r="G113" s="93" t="s">
        <v>26</v>
      </c>
      <c r="I113" s="69" t="str">
        <f xml:space="preserve"> Sources!I$20</f>
        <v>XV</v>
      </c>
      <c r="K113" s="46"/>
      <c r="L113" s="71"/>
      <c r="M113" s="71"/>
      <c r="N113" s="71">
        <v>4.3E-3</v>
      </c>
      <c r="O113" s="71">
        <v>4.8999999999999998E-3</v>
      </c>
      <c r="P113" s="71">
        <v>5.5999999999999999E-3</v>
      </c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</row>
    <row r="114" spans="1:48" s="45" customFormat="1" ht="15" customHeight="1">
      <c r="A114" s="42"/>
      <c r="B114" s="42"/>
      <c r="C114" s="43"/>
      <c r="E114" s="323"/>
      <c r="F114" s="94"/>
      <c r="G114" s="94"/>
      <c r="I114" s="69"/>
      <c r="K114" s="46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</row>
    <row r="115" spans="1:48" ht="15" customHeight="1">
      <c r="C115" s="17" t="s">
        <v>255</v>
      </c>
      <c r="E115" s="92"/>
      <c r="K115" s="46"/>
      <c r="N115" s="3"/>
    </row>
    <row r="116" spans="1:48" ht="15" customHeight="1">
      <c r="E116" s="183" t="s">
        <v>252</v>
      </c>
      <c r="G116" s="93" t="s">
        <v>231</v>
      </c>
      <c r="I116" s="69" t="str">
        <f xml:space="preserve"> Sources!I$20</f>
        <v>XV</v>
      </c>
      <c r="K116" s="46"/>
      <c r="L116" s="40"/>
      <c r="M116" s="40"/>
      <c r="N116" s="40"/>
      <c r="O116" s="40"/>
      <c r="P116" s="40">
        <v>722.23400000000004</v>
      </c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</row>
    <row r="117" spans="1:48" ht="15" customHeight="1">
      <c r="E117" s="183" t="s">
        <v>253</v>
      </c>
      <c r="G117" s="93" t="s">
        <v>26</v>
      </c>
      <c r="I117" s="69" t="str">
        <f xml:space="preserve"> Sources!I$20</f>
        <v>XV</v>
      </c>
      <c r="K117" s="46"/>
      <c r="L117" s="71"/>
      <c r="M117" s="71"/>
      <c r="N117" s="71"/>
      <c r="O117" s="71"/>
      <c r="P117" s="71">
        <v>4.4299999999999999E-2</v>
      </c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</row>
    <row r="118" spans="1:48" ht="15" customHeight="1">
      <c r="E118" s="183" t="s">
        <v>254</v>
      </c>
      <c r="G118" s="93" t="s">
        <v>26</v>
      </c>
      <c r="I118" s="69" t="str">
        <f xml:space="preserve"> Sources!I$20</f>
        <v>XV</v>
      </c>
      <c r="K118" s="46"/>
      <c r="L118" s="71"/>
      <c r="M118" s="71"/>
      <c r="N118" s="71"/>
      <c r="O118" s="71"/>
      <c r="P118" s="71">
        <v>3.0000000000000001E-3</v>
      </c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</row>
    <row r="119" spans="1:48" s="45" customFormat="1" ht="15" customHeight="1">
      <c r="A119" s="42"/>
      <c r="B119" s="42"/>
      <c r="C119" s="43"/>
      <c r="E119" s="323"/>
      <c r="F119" s="94"/>
      <c r="G119" s="94"/>
      <c r="I119" s="69"/>
      <c r="K119" s="46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</row>
    <row r="120" spans="1:48" ht="15" customHeight="1">
      <c r="C120" s="17" t="s">
        <v>256</v>
      </c>
      <c r="E120" s="92"/>
      <c r="K120" s="46"/>
      <c r="N120" s="3"/>
    </row>
    <row r="121" spans="1:48" ht="15" customHeight="1">
      <c r="E121" s="183" t="s">
        <v>252</v>
      </c>
      <c r="G121" s="93" t="s">
        <v>231</v>
      </c>
      <c r="I121" s="69" t="str">
        <f xml:space="preserve"> Sources!I$20</f>
        <v>XV</v>
      </c>
      <c r="K121" s="46"/>
      <c r="L121" s="40"/>
      <c r="M121" s="40"/>
      <c r="N121" s="40">
        <v>479.54300000000001</v>
      </c>
      <c r="O121" s="40">
        <v>1687.9780000000001</v>
      </c>
      <c r="P121" s="40">
        <v>1944.742</v>
      </c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</row>
    <row r="122" spans="1:48" ht="15" customHeight="1">
      <c r="E122" s="183" t="s">
        <v>253</v>
      </c>
      <c r="G122" s="93" t="s">
        <v>26</v>
      </c>
      <c r="I122" s="69" t="str">
        <f xml:space="preserve"> Sources!I$20</f>
        <v>XV</v>
      </c>
      <c r="K122" s="46"/>
      <c r="L122" s="71"/>
      <c r="M122" s="71"/>
      <c r="N122" s="71">
        <v>1.72E-2</v>
      </c>
      <c r="O122" s="71">
        <v>1.2999999999999999E-2</v>
      </c>
      <c r="P122" s="71">
        <v>2.35E-2</v>
      </c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</row>
    <row r="123" spans="1:48" ht="15" customHeight="1">
      <c r="E123" s="183" t="s">
        <v>254</v>
      </c>
      <c r="G123" s="93" t="s">
        <v>26</v>
      </c>
      <c r="I123" s="69" t="str">
        <f xml:space="preserve"> Sources!I$20</f>
        <v>XV</v>
      </c>
      <c r="K123" s="46"/>
      <c r="L123" s="71"/>
      <c r="M123" s="71"/>
      <c r="N123" s="71">
        <v>8.5000000000000006E-3</v>
      </c>
      <c r="O123" s="71">
        <v>8.8999999999999999E-3</v>
      </c>
      <c r="P123" s="71">
        <v>9.2999999999999992E-3</v>
      </c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</row>
    <row r="124" spans="1:48" s="45" customFormat="1" ht="15" customHeight="1">
      <c r="A124" s="42"/>
      <c r="B124" s="42"/>
      <c r="C124" s="43"/>
      <c r="E124" s="323"/>
      <c r="F124" s="94"/>
      <c r="G124" s="94"/>
      <c r="I124" s="69"/>
      <c r="K124" s="46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</row>
    <row r="125" spans="1:48" ht="15" customHeight="1">
      <c r="C125" s="17" t="s">
        <v>257</v>
      </c>
      <c r="E125" s="183"/>
      <c r="I125" s="69"/>
      <c r="K125" s="46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</row>
    <row r="126" spans="1:48" ht="15" customHeight="1">
      <c r="E126" s="183" t="s">
        <v>252</v>
      </c>
      <c r="G126" s="93" t="s">
        <v>231</v>
      </c>
      <c r="I126" s="69" t="str">
        <f xml:space="preserve"> Sources!I$20</f>
        <v>XV</v>
      </c>
      <c r="K126" s="46"/>
      <c r="L126" s="40"/>
      <c r="M126" s="40"/>
      <c r="N126" s="40">
        <v>609.75199999999995</v>
      </c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</row>
    <row r="127" spans="1:48" ht="15" customHeight="1">
      <c r="E127" s="183" t="s">
        <v>253</v>
      </c>
      <c r="G127" s="93" t="s">
        <v>26</v>
      </c>
      <c r="I127" s="69" t="str">
        <f xml:space="preserve"> Sources!I$20</f>
        <v>XV</v>
      </c>
      <c r="K127" s="46"/>
      <c r="L127" s="71"/>
      <c r="M127" s="71"/>
      <c r="N127" s="71">
        <v>1.3899999999999999E-2</v>
      </c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</row>
    <row r="128" spans="1:48" ht="15" customHeight="1">
      <c r="E128" s="183" t="s">
        <v>254</v>
      </c>
      <c r="G128" s="93" t="s">
        <v>26</v>
      </c>
      <c r="I128" s="69" t="str">
        <f xml:space="preserve"> Sources!I$20</f>
        <v>XV</v>
      </c>
      <c r="K128" s="46"/>
      <c r="L128" s="71"/>
      <c r="M128" s="71"/>
      <c r="N128" s="71">
        <v>1.17E-2</v>
      </c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</row>
    <row r="129" spans="1:48" ht="15" customHeight="1">
      <c r="E129" s="92"/>
      <c r="K129" s="46"/>
    </row>
    <row r="130" spans="1:48" ht="15" customHeight="1">
      <c r="B130" s="16" t="s">
        <v>258</v>
      </c>
      <c r="E130" s="92"/>
      <c r="K130" s="46"/>
      <c r="P130"/>
      <c r="Q130"/>
      <c r="R130"/>
      <c r="S130"/>
      <c r="T130"/>
      <c r="U130"/>
      <c r="V130"/>
    </row>
    <row r="131" spans="1:48" s="283" customFormat="1" ht="15" customHeight="1">
      <c r="A131" s="516"/>
      <c r="B131" s="516"/>
      <c r="C131" s="282"/>
      <c r="D131" s="764"/>
      <c r="E131" s="148" t="s">
        <v>259</v>
      </c>
      <c r="F131" s="148"/>
      <c r="G131" s="148" t="s">
        <v>168</v>
      </c>
      <c r="I131" s="412" t="str">
        <f xml:space="preserve"> Sources!I$5</f>
        <v>I</v>
      </c>
      <c r="K131" s="412"/>
      <c r="L131" s="586"/>
      <c r="M131" s="586"/>
      <c r="N131" s="586"/>
      <c r="O131" s="586"/>
      <c r="P131" s="586">
        <v>9225.5633513999983</v>
      </c>
      <c r="Q131" s="586">
        <v>95205.768657975364</v>
      </c>
      <c r="R131" s="586">
        <v>88935.055683092127</v>
      </c>
      <c r="S131" s="586">
        <v>95367.472553307365</v>
      </c>
      <c r="T131" s="586">
        <v>97737.865973582462</v>
      </c>
      <c r="U131" s="586">
        <v>99678.014147700058</v>
      </c>
      <c r="V131" s="586">
        <v>74192.785908917213</v>
      </c>
      <c r="W131" s="586"/>
      <c r="X131" s="586"/>
      <c r="Y131" s="586"/>
      <c r="Z131" s="586"/>
      <c r="AA131" s="586"/>
      <c r="AB131" s="586"/>
      <c r="AC131" s="586"/>
      <c r="AD131" s="586"/>
      <c r="AE131" s="586"/>
      <c r="AF131" s="586"/>
      <c r="AG131" s="586"/>
      <c r="AH131" s="586"/>
      <c r="AI131" s="586"/>
      <c r="AJ131" s="586"/>
      <c r="AK131" s="586"/>
      <c r="AL131" s="586"/>
      <c r="AM131" s="586"/>
      <c r="AN131" s="586"/>
      <c r="AO131" s="586"/>
      <c r="AP131" s="586"/>
      <c r="AQ131" s="586"/>
      <c r="AR131" s="586"/>
      <c r="AS131" s="586"/>
      <c r="AT131" s="586"/>
      <c r="AU131" s="586"/>
      <c r="AV131" s="586"/>
    </row>
    <row r="132" spans="1:48" s="46" customFormat="1" ht="15" customHeight="1">
      <c r="A132" s="42"/>
      <c r="B132" s="42"/>
      <c r="C132" s="43"/>
      <c r="D132" s="44"/>
      <c r="E132" s="323"/>
      <c r="F132" s="323"/>
      <c r="G132" s="323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</row>
    <row r="133" spans="1:48" s="46" customFormat="1" ht="15" customHeight="1">
      <c r="A133" s="42"/>
      <c r="B133" s="16" t="s">
        <v>529</v>
      </c>
      <c r="C133" s="43"/>
      <c r="D133" s="44"/>
      <c r="E133" s="323"/>
      <c r="F133" s="323"/>
      <c r="G133" s="323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</row>
    <row r="134" spans="1:48" s="46" customFormat="1" ht="15" customHeight="1">
      <c r="A134" s="271"/>
      <c r="B134" s="271"/>
      <c r="C134" s="272"/>
      <c r="D134" s="273"/>
      <c r="E134" s="183" t="s">
        <v>530</v>
      </c>
      <c r="F134" s="714">
        <v>317</v>
      </c>
      <c r="G134" s="183" t="s">
        <v>14</v>
      </c>
      <c r="H134" s="341"/>
      <c r="I134" s="98" t="str">
        <f xml:space="preserve"> Sources!I$36</f>
        <v>XXIX</v>
      </c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</row>
    <row r="135" spans="1:48" s="46" customFormat="1" ht="15" customHeight="1">
      <c r="A135" s="271"/>
      <c r="B135" s="271"/>
      <c r="C135" s="272"/>
      <c r="D135" s="273"/>
      <c r="E135" s="410" t="str">
        <f xml:space="preserve"> Scenarios!B$17</f>
        <v>Third Party Marketing Charge: Cu &amp; Co</v>
      </c>
      <c r="F135" s="410">
        <f xml:space="preserve"> Scenarios!C$17</f>
        <v>8.0000000000000002E-3</v>
      </c>
      <c r="G135" s="410" t="str">
        <f xml:space="preserve"> Scenarios!D$17</f>
        <v>%</v>
      </c>
      <c r="H135" s="307"/>
      <c r="I135" s="98" t="str">
        <f xml:space="preserve"> Sources!I$36</f>
        <v>XXIX</v>
      </c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</row>
    <row r="136" spans="1:48" s="46" customFormat="1" ht="15" customHeight="1">
      <c r="A136" s="271"/>
      <c r="B136" s="271"/>
      <c r="C136" s="272"/>
      <c r="D136" s="273"/>
      <c r="E136" s="416" t="str">
        <f xml:space="preserve"> Scenarios!B$21</f>
        <v>Som contract: placeholder assumption of third party sales: Cu</v>
      </c>
      <c r="F136" s="660">
        <f xml:space="preserve"> Scenarios!C$21</f>
        <v>0.9</v>
      </c>
      <c r="G136" s="416" t="str">
        <f xml:space="preserve"> Scenarios!D$21</f>
        <v>%</v>
      </c>
      <c r="H136" s="6"/>
      <c r="I136" s="98" t="str">
        <f xml:space="preserve"> Sources!I$36</f>
        <v>XXIX</v>
      </c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</row>
    <row r="137" spans="1:48" s="46" customFormat="1" ht="15" customHeight="1">
      <c r="A137" s="42"/>
      <c r="B137" s="42"/>
      <c r="C137" s="43"/>
      <c r="D137" s="44"/>
      <c r="E137" s="323"/>
      <c r="F137" s="323"/>
      <c r="G137" s="323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</row>
    <row r="138" spans="1:48" s="32" customFormat="1" ht="15" customHeight="1">
      <c r="A138" s="16"/>
      <c r="B138" s="16" t="s">
        <v>260</v>
      </c>
      <c r="C138" s="17"/>
      <c r="D138" s="38"/>
      <c r="E138" s="183"/>
      <c r="F138" s="183"/>
      <c r="G138" s="183"/>
      <c r="K138" s="46"/>
      <c r="P138" s="582"/>
      <c r="Q138" s="582"/>
      <c r="R138" s="582"/>
      <c r="S138" s="582"/>
      <c r="T138" s="582"/>
      <c r="U138" s="582"/>
      <c r="V138" s="582"/>
    </row>
    <row r="139" spans="1:48" s="32" customFormat="1" ht="15" customHeight="1">
      <c r="A139" s="246"/>
      <c r="B139" s="246"/>
      <c r="C139" s="247"/>
      <c r="D139" s="252"/>
      <c r="E139" s="183" t="s">
        <v>808</v>
      </c>
      <c r="F139" s="183"/>
      <c r="G139" s="183" t="s">
        <v>168</v>
      </c>
      <c r="I139" s="32" t="str">
        <f xml:space="preserve"> Sources!I$6</f>
        <v>II</v>
      </c>
      <c r="K139" s="46"/>
      <c r="L139" s="40"/>
      <c r="M139" s="40"/>
      <c r="N139" s="40"/>
      <c r="O139" s="40"/>
      <c r="P139" s="40">
        <v>208.40302079999998</v>
      </c>
      <c r="Q139" s="40">
        <v>18932.703311639998</v>
      </c>
      <c r="R139" s="40">
        <v>21141.878503235002</v>
      </c>
      <c r="S139" s="40">
        <v>19561.305804201929</v>
      </c>
      <c r="T139" s="40">
        <v>21763.435878573706</v>
      </c>
      <c r="U139" s="40">
        <v>18838.865346680577</v>
      </c>
      <c r="V139" s="40">
        <v>47496.291331017768</v>
      </c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</row>
    <row r="140" spans="1:48" ht="15" customHeight="1">
      <c r="D140" s="38"/>
      <c r="I140" s="18"/>
      <c r="K140" s="46"/>
    </row>
    <row r="141" spans="1:48" ht="15" customHeight="1">
      <c r="B141" s="16" t="s">
        <v>261</v>
      </c>
      <c r="D141" s="38"/>
      <c r="I141" s="82" t="s">
        <v>262</v>
      </c>
      <c r="K141" s="46"/>
    </row>
    <row r="142" spans="1:48" ht="15" customHeight="1">
      <c r="D142" s="38"/>
      <c r="E142" s="93" t="s">
        <v>735</v>
      </c>
      <c r="F142" s="716">
        <v>0.23499999999999999</v>
      </c>
      <c r="G142" s="93" t="s">
        <v>645</v>
      </c>
      <c r="I142" s="70" t="str">
        <f xml:space="preserve"> Sources!I$31</f>
        <v>XXVI</v>
      </c>
      <c r="K142" s="46"/>
      <c r="Q142" s="3"/>
      <c r="X142" s="582"/>
      <c r="Y142" s="582"/>
      <c r="Z142" s="582"/>
      <c r="AA142"/>
      <c r="AB142"/>
      <c r="AC142"/>
      <c r="AD142"/>
    </row>
    <row r="143" spans="1:48" ht="15" customHeight="1">
      <c r="D143" s="38"/>
      <c r="E143" s="93" t="s">
        <v>736</v>
      </c>
      <c r="F143" s="716">
        <v>0.4335</v>
      </c>
      <c r="G143" s="93" t="s">
        <v>645</v>
      </c>
      <c r="I143" s="70" t="str">
        <f xml:space="preserve"> Sources!I$31</f>
        <v>XXVI</v>
      </c>
      <c r="K143" s="46"/>
    </row>
    <row r="144" spans="1:48" s="103" customFormat="1" ht="15" customHeight="1">
      <c r="A144" s="246"/>
      <c r="B144" s="246"/>
      <c r="C144" s="247"/>
      <c r="D144" s="252"/>
      <c r="E144" s="183" t="s">
        <v>737</v>
      </c>
      <c r="F144" s="717">
        <v>0.35110000000000002</v>
      </c>
      <c r="G144" s="183" t="s">
        <v>645</v>
      </c>
      <c r="H144" s="32"/>
      <c r="I144" s="6" t="str">
        <f xml:space="preserve"> Sources!I$31</f>
        <v>XXVI</v>
      </c>
      <c r="K144" s="253"/>
      <c r="M144" s="18"/>
    </row>
    <row r="145" spans="1:48" ht="15" customHeight="1">
      <c r="D145" s="38"/>
      <c r="E145" s="183" t="s">
        <v>738</v>
      </c>
      <c r="F145" s="717">
        <v>0.35830000000000001</v>
      </c>
      <c r="G145" s="183" t="s">
        <v>645</v>
      </c>
      <c r="H145" s="32"/>
      <c r="I145" s="6" t="str">
        <f xml:space="preserve"> Sources!I$31</f>
        <v>XXVI</v>
      </c>
      <c r="K145" s="46"/>
    </row>
    <row r="146" spans="1:48" ht="15" customHeight="1">
      <c r="D146" s="38"/>
      <c r="E146" s="183" t="s">
        <v>739</v>
      </c>
      <c r="F146" s="717">
        <v>3.4799999999999998E-2</v>
      </c>
      <c r="G146" s="183" t="s">
        <v>645</v>
      </c>
      <c r="H146" s="32"/>
      <c r="I146" s="6" t="str">
        <f xml:space="preserve"> Sources!I$31</f>
        <v>XXVI</v>
      </c>
      <c r="K146" s="46"/>
    </row>
    <row r="147" spans="1:48" ht="15" customHeight="1">
      <c r="D147" s="38"/>
      <c r="E147" s="183" t="s">
        <v>740</v>
      </c>
      <c r="F147" s="717">
        <v>9.9199999999999997E-2</v>
      </c>
      <c r="G147" s="183" t="s">
        <v>645</v>
      </c>
      <c r="H147" s="32"/>
      <c r="I147" s="6" t="str">
        <f xml:space="preserve"> Sources!I$31</f>
        <v>XXVI</v>
      </c>
      <c r="K147" s="46"/>
    </row>
    <row r="148" spans="1:48" ht="15" customHeight="1">
      <c r="D148" s="38"/>
      <c r="E148" s="183" t="s">
        <v>741</v>
      </c>
      <c r="F148" s="717">
        <v>0.29599999999999999</v>
      </c>
      <c r="G148" s="183" t="s">
        <v>645</v>
      </c>
      <c r="H148" s="32"/>
      <c r="I148" s="6" t="str">
        <f xml:space="preserve"> Sources!I$31</f>
        <v>XXVI</v>
      </c>
      <c r="K148" s="46"/>
    </row>
    <row r="149" spans="1:48" ht="15" customHeight="1">
      <c r="D149" s="38"/>
      <c r="E149" s="183" t="s">
        <v>742</v>
      </c>
      <c r="F149" s="717">
        <v>0.33860000000000001</v>
      </c>
      <c r="G149" s="183" t="s">
        <v>645</v>
      </c>
      <c r="H149" s="32"/>
      <c r="I149" s="6" t="str">
        <f xml:space="preserve"> Sources!I$31</f>
        <v>XXVI</v>
      </c>
      <c r="K149" s="46"/>
    </row>
    <row r="150" spans="1:48" ht="15" customHeight="1">
      <c r="D150" s="38"/>
      <c r="E150" s="183" t="s">
        <v>743</v>
      </c>
      <c r="F150" s="717">
        <v>0.37290000000000001</v>
      </c>
      <c r="G150" s="183" t="s">
        <v>645</v>
      </c>
      <c r="H150" s="32"/>
      <c r="I150" s="6" t="str">
        <f xml:space="preserve"> Sources!I$31</f>
        <v>XXVI</v>
      </c>
      <c r="K150" s="46"/>
    </row>
    <row r="151" spans="1:48" ht="15" customHeight="1">
      <c r="D151" s="38"/>
      <c r="E151" s="183" t="s">
        <v>744</v>
      </c>
      <c r="F151" s="717">
        <v>0.38850000000000001</v>
      </c>
      <c r="G151" s="183" t="s">
        <v>645</v>
      </c>
      <c r="H151" s="32"/>
      <c r="I151" s="6" t="str">
        <f xml:space="preserve"> Sources!I$31</f>
        <v>XXVI</v>
      </c>
      <c r="K151" s="46"/>
    </row>
    <row r="152" spans="1:48" ht="15" customHeight="1">
      <c r="D152" s="38"/>
      <c r="E152" s="183"/>
      <c r="F152" s="183"/>
      <c r="G152" s="183"/>
      <c r="H152" s="32"/>
      <c r="I152" s="32"/>
      <c r="K152" s="46"/>
    </row>
    <row r="153" spans="1:48" s="45" customFormat="1" ht="15" customHeight="1">
      <c r="A153" s="42"/>
      <c r="B153" s="16" t="s">
        <v>533</v>
      </c>
      <c r="C153" s="43"/>
      <c r="D153" s="44"/>
      <c r="E153" s="323"/>
      <c r="F153" s="323"/>
      <c r="G153" s="323"/>
      <c r="H153" s="46"/>
      <c r="I153" s="46"/>
      <c r="J153" s="46"/>
      <c r="K153" s="46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</row>
    <row r="154" spans="1:48" s="103" customFormat="1" ht="15" customHeight="1">
      <c r="A154" s="246"/>
      <c r="B154" s="246"/>
      <c r="C154" s="247"/>
      <c r="D154" s="252"/>
      <c r="E154" s="183" t="s">
        <v>534</v>
      </c>
      <c r="F154" s="199">
        <v>520</v>
      </c>
      <c r="G154" s="183" t="s">
        <v>14</v>
      </c>
      <c r="H154" s="6"/>
      <c r="I154" s="32"/>
      <c r="J154" s="253"/>
      <c r="K154" s="253"/>
      <c r="M154" s="8"/>
      <c r="Q154" s="8"/>
      <c r="R154" s="8"/>
      <c r="S154" s="8"/>
    </row>
    <row r="155" spans="1:48" s="274" customFormat="1" ht="15" customHeight="1">
      <c r="A155" s="276"/>
      <c r="B155" s="276"/>
      <c r="C155" s="277"/>
      <c r="D155" s="278"/>
      <c r="E155" s="183" t="s">
        <v>1081</v>
      </c>
      <c r="F155" s="71">
        <v>0.95</v>
      </c>
      <c r="G155" s="183" t="s">
        <v>26</v>
      </c>
      <c r="H155" s="6"/>
      <c r="I155" s="258" t="s">
        <v>974</v>
      </c>
      <c r="J155" s="279"/>
      <c r="K155" s="279"/>
    </row>
    <row r="156" spans="1:48" s="274" customFormat="1" ht="15" customHeight="1">
      <c r="A156" s="276"/>
      <c r="B156" s="276"/>
      <c r="C156" s="277"/>
      <c r="D156" s="278"/>
      <c r="E156" s="410" t="str">
        <f xml:space="preserve"> Scenarios!B$17</f>
        <v>Third Party Marketing Charge: Cu &amp; Co</v>
      </c>
      <c r="F156" s="410">
        <f xml:space="preserve"> Scenarios!C$17</f>
        <v>8.0000000000000002E-3</v>
      </c>
      <c r="G156" s="410" t="str">
        <f xml:space="preserve"> Scenarios!D$17</f>
        <v>%</v>
      </c>
      <c r="H156" s="6"/>
      <c r="I156" s="258"/>
      <c r="J156" s="279"/>
      <c r="K156" s="279"/>
    </row>
    <row r="157" spans="1:48" s="274" customFormat="1" ht="15" customHeight="1">
      <c r="A157" s="276"/>
      <c r="B157" s="276"/>
      <c r="C157" s="277"/>
      <c r="D157" s="278"/>
      <c r="E157" s="183"/>
      <c r="F157"/>
      <c r="G157" s="183"/>
      <c r="H157" s="6"/>
      <c r="I157" s="258"/>
      <c r="J157" s="279"/>
      <c r="K157" s="279"/>
    </row>
    <row r="158" spans="1:48" s="274" customFormat="1" ht="15" customHeight="1">
      <c r="A158" s="276"/>
      <c r="B158" s="276"/>
      <c r="C158" s="277"/>
      <c r="D158" s="278"/>
      <c r="E158" s="414" t="str">
        <f xml:space="preserve"> Scenarios!B$22</f>
        <v>Som contract: placeholder assumption of third party sales: Co</v>
      </c>
      <c r="F158" s="410">
        <f xml:space="preserve"> Scenarios!C$22</f>
        <v>0.9</v>
      </c>
      <c r="G158" s="414" t="str">
        <f xml:space="preserve"> Scenarios!D$22</f>
        <v>%</v>
      </c>
      <c r="H158" s="6"/>
      <c r="I158" s="258"/>
      <c r="J158" s="279"/>
      <c r="K158" s="279"/>
    </row>
    <row r="159" spans="1:48" ht="15" customHeight="1">
      <c r="D159" s="38"/>
      <c r="E159" s="416" t="str">
        <f xml:space="preserve"> Scenarios!B$20</f>
        <v>Cobalt Payable Rate applied in model</v>
      </c>
      <c r="F159" s="425">
        <f xml:space="preserve"> Scenarios!C$20</f>
        <v>0.7</v>
      </c>
      <c r="G159" s="416" t="str">
        <f xml:space="preserve"> Scenarios!D$20</f>
        <v>%</v>
      </c>
      <c r="H159" s="266"/>
      <c r="I159" s="103" t="s">
        <v>846</v>
      </c>
      <c r="K159" s="46"/>
    </row>
    <row r="160" spans="1:48" ht="15" customHeight="1">
      <c r="D160" s="38"/>
      <c r="I160" s="18"/>
      <c r="K160" s="46"/>
    </row>
    <row r="161" spans="1:48" ht="15" customHeight="1">
      <c r="B161" s="16" t="s">
        <v>263</v>
      </c>
      <c r="D161" s="38"/>
      <c r="I161" s="18"/>
      <c r="K161" s="46"/>
    </row>
    <row r="162" spans="1:48" ht="15" customHeight="1">
      <c r="D162" s="38"/>
      <c r="E162" s="93" t="s">
        <v>264</v>
      </c>
      <c r="G162" s="93" t="s">
        <v>168</v>
      </c>
      <c r="I162" s="41" t="str">
        <f xml:space="preserve"> Sources!I$6</f>
        <v>II</v>
      </c>
      <c r="J162" s="32">
        <f xml:space="preserve"> SUM(L162:AV162)</f>
        <v>108171</v>
      </c>
      <c r="K162" s="46"/>
      <c r="L162" s="85"/>
      <c r="M162" s="85"/>
      <c r="N162" s="85"/>
      <c r="O162" s="85"/>
      <c r="P162" s="85"/>
      <c r="Q162" s="85"/>
      <c r="R162" s="85"/>
      <c r="S162" s="85">
        <v>108171</v>
      </c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</row>
    <row r="163" spans="1:48" ht="15" customHeight="1">
      <c r="D163" s="38"/>
      <c r="I163" s="18"/>
      <c r="K163" s="46"/>
    </row>
    <row r="164" spans="1:48" ht="15" customHeight="1">
      <c r="D164" s="38"/>
      <c r="I164" s="18"/>
      <c r="K164" s="46"/>
    </row>
    <row r="165" spans="1:48" s="31" customFormat="1" ht="15" customHeight="1" collapsed="1">
      <c r="A165" s="34" t="s">
        <v>265</v>
      </c>
      <c r="B165" s="28"/>
      <c r="C165" s="29"/>
      <c r="D165" s="30"/>
      <c r="E165" s="701"/>
      <c r="F165" s="701"/>
      <c r="G165" s="701"/>
      <c r="H165" s="28"/>
      <c r="I165" s="28"/>
      <c r="J165" s="28"/>
      <c r="K165" s="46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</row>
    <row r="166" spans="1:48" ht="15" customHeight="1">
      <c r="D166" s="38"/>
      <c r="I166" s="18"/>
      <c r="K166" s="46"/>
    </row>
    <row r="167" spans="1:48" ht="15" customHeight="1">
      <c r="B167" s="16" t="s">
        <v>266</v>
      </c>
      <c r="D167" s="38"/>
      <c r="I167" s="18"/>
      <c r="K167" s="46"/>
    </row>
    <row r="168" spans="1:48" ht="15" customHeight="1">
      <c r="C168" s="17" t="s">
        <v>267</v>
      </c>
      <c r="D168" s="38"/>
      <c r="I168" s="18"/>
      <c r="K168" s="46"/>
    </row>
    <row r="169" spans="1:48" ht="15" customHeight="1">
      <c r="D169" s="38"/>
      <c r="E169" s="93" t="s">
        <v>268</v>
      </c>
      <c r="G169" s="93" t="s">
        <v>14</v>
      </c>
      <c r="I169" s="41" t="str">
        <f xml:space="preserve"> Sources!I$6</f>
        <v>II</v>
      </c>
      <c r="K169" s="46"/>
      <c r="L169" s="85"/>
      <c r="M169" s="85"/>
      <c r="N169" s="85"/>
      <c r="O169" s="85"/>
      <c r="P169" s="85">
        <v>7104</v>
      </c>
      <c r="Q169" s="85"/>
      <c r="R169" s="85"/>
      <c r="S169" s="85">
        <v>7104</v>
      </c>
      <c r="T169" s="85">
        <v>6649</v>
      </c>
      <c r="U169" s="85">
        <v>5127</v>
      </c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</row>
    <row r="170" spans="1:48" ht="15" customHeight="1">
      <c r="D170" s="38"/>
      <c r="E170" s="93" t="s">
        <v>269</v>
      </c>
      <c r="G170" s="93" t="s">
        <v>14</v>
      </c>
      <c r="I170" s="41" t="str">
        <f xml:space="preserve"> Sources!I$6</f>
        <v>II</v>
      </c>
      <c r="K170" s="46"/>
      <c r="L170" s="85"/>
      <c r="M170" s="85"/>
      <c r="N170" s="85"/>
      <c r="O170" s="85"/>
      <c r="P170" s="85"/>
      <c r="Q170" s="85"/>
      <c r="R170" s="85"/>
      <c r="S170" s="85"/>
      <c r="T170" s="85">
        <v>6369</v>
      </c>
      <c r="U170" s="85">
        <v>4808</v>
      </c>
      <c r="V170" s="85">
        <v>5501</v>
      </c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</row>
    <row r="171" spans="1:48" ht="15" customHeight="1">
      <c r="D171" s="38"/>
      <c r="E171" s="93" t="s">
        <v>270</v>
      </c>
      <c r="G171" s="93" t="s">
        <v>271</v>
      </c>
      <c r="I171" s="41" t="str">
        <f xml:space="preserve"> Sources!I$6</f>
        <v>II</v>
      </c>
      <c r="K171" s="46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>
        <v>2.88</v>
      </c>
      <c r="X171" s="85">
        <v>2.96</v>
      </c>
      <c r="Y171" s="85">
        <v>2.72</v>
      </c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</row>
    <row r="172" spans="1:48" ht="15" customHeight="1">
      <c r="D172" s="38"/>
      <c r="E172" s="93" t="s">
        <v>272</v>
      </c>
      <c r="G172" s="93" t="s">
        <v>271</v>
      </c>
      <c r="I172" s="41" t="str">
        <f xml:space="preserve"> Sources!I$6</f>
        <v>II</v>
      </c>
      <c r="K172" s="46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>
        <v>2.66</v>
      </c>
      <c r="X172" s="85">
        <v>2.23</v>
      </c>
      <c r="Y172" s="85">
        <v>2.15</v>
      </c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</row>
    <row r="173" spans="1:48" ht="15" customHeight="1">
      <c r="D173" s="38"/>
      <c r="E173" s="93" t="str">
        <f xml:space="preserve"> InputsCon!E$201</f>
        <v>Convert  lb / tonnes</v>
      </c>
      <c r="F173" s="93">
        <f xml:space="preserve"> InputsCon!F$201</f>
        <v>2204.62</v>
      </c>
      <c r="G173" s="93" t="str">
        <f xml:space="preserve"> InputsCon!G$201</f>
        <v>lb / tonne</v>
      </c>
      <c r="I173" s="41"/>
      <c r="K173" s="46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</row>
    <row r="174" spans="1:48" ht="15" customHeight="1">
      <c r="D174" s="38"/>
      <c r="E174" s="93" t="str">
        <f xml:space="preserve"> E172</f>
        <v>Realised copper price (KML Reported)</v>
      </c>
      <c r="G174" s="93" t="s">
        <v>14</v>
      </c>
      <c r="I174" s="41"/>
      <c r="K174" s="46"/>
      <c r="L174" s="199">
        <f t="shared" ref="L174:AV174" si="2" xml:space="preserve"> L172 * $F173</f>
        <v>0</v>
      </c>
      <c r="M174" s="199">
        <f t="shared" si="2"/>
        <v>0</v>
      </c>
      <c r="N174" s="199">
        <f t="shared" si="2"/>
        <v>0</v>
      </c>
      <c r="O174" s="199">
        <f t="shared" si="2"/>
        <v>0</v>
      </c>
      <c r="P174" s="199">
        <f t="shared" si="2"/>
        <v>0</v>
      </c>
      <c r="Q174" s="199">
        <f t="shared" si="2"/>
        <v>0</v>
      </c>
      <c r="R174" s="199">
        <f t="shared" si="2"/>
        <v>0</v>
      </c>
      <c r="S174" s="199">
        <f t="shared" si="2"/>
        <v>0</v>
      </c>
      <c r="T174" s="199">
        <f t="shared" si="2"/>
        <v>0</v>
      </c>
      <c r="U174" s="199">
        <f t="shared" si="2"/>
        <v>0</v>
      </c>
      <c r="V174" s="199">
        <f t="shared" si="2"/>
        <v>0</v>
      </c>
      <c r="W174" s="199">
        <f t="shared" si="2"/>
        <v>5864.2892000000002</v>
      </c>
      <c r="X174" s="199">
        <f t="shared" si="2"/>
        <v>4916.3026</v>
      </c>
      <c r="Y174" s="199">
        <f t="shared" si="2"/>
        <v>4739.933</v>
      </c>
      <c r="Z174" s="199">
        <f t="shared" si="2"/>
        <v>0</v>
      </c>
      <c r="AA174" s="199">
        <f t="shared" si="2"/>
        <v>0</v>
      </c>
      <c r="AB174" s="199">
        <f t="shared" si="2"/>
        <v>0</v>
      </c>
      <c r="AC174" s="199">
        <f t="shared" si="2"/>
        <v>0</v>
      </c>
      <c r="AD174" s="199">
        <f t="shared" si="2"/>
        <v>0</v>
      </c>
      <c r="AE174" s="199">
        <f t="shared" si="2"/>
        <v>0</v>
      </c>
      <c r="AF174" s="199">
        <f t="shared" si="2"/>
        <v>0</v>
      </c>
      <c r="AG174" s="199">
        <f t="shared" si="2"/>
        <v>0</v>
      </c>
      <c r="AH174" s="199">
        <f t="shared" si="2"/>
        <v>0</v>
      </c>
      <c r="AI174" s="199">
        <f t="shared" si="2"/>
        <v>0</v>
      </c>
      <c r="AJ174" s="199">
        <f t="shared" si="2"/>
        <v>0</v>
      </c>
      <c r="AK174" s="199">
        <f t="shared" si="2"/>
        <v>0</v>
      </c>
      <c r="AL174" s="199">
        <f t="shared" si="2"/>
        <v>0</v>
      </c>
      <c r="AM174" s="199">
        <f t="shared" si="2"/>
        <v>0</v>
      </c>
      <c r="AN174" s="199">
        <f t="shared" si="2"/>
        <v>0</v>
      </c>
      <c r="AO174" s="199">
        <f t="shared" si="2"/>
        <v>0</v>
      </c>
      <c r="AP174" s="199">
        <f t="shared" si="2"/>
        <v>0</v>
      </c>
      <c r="AQ174" s="199">
        <f t="shared" si="2"/>
        <v>0</v>
      </c>
      <c r="AR174" s="199">
        <f t="shared" si="2"/>
        <v>0</v>
      </c>
      <c r="AS174" s="199">
        <f t="shared" si="2"/>
        <v>0</v>
      </c>
      <c r="AT174" s="199">
        <f t="shared" si="2"/>
        <v>0</v>
      </c>
      <c r="AU174" s="199">
        <f t="shared" si="2"/>
        <v>0</v>
      </c>
      <c r="AV174" s="199">
        <f t="shared" si="2"/>
        <v>0</v>
      </c>
    </row>
    <row r="175" spans="1:48" ht="15" customHeight="1">
      <c r="D175" s="38"/>
      <c r="E175" s="93" t="s">
        <v>273</v>
      </c>
      <c r="G175" s="93" t="s">
        <v>14</v>
      </c>
      <c r="I175" s="70" t="str">
        <f xml:space="preserve"> Sources!I$28</f>
        <v>XXIII</v>
      </c>
      <c r="K175" s="46"/>
      <c r="L175" s="85"/>
      <c r="M175" s="85"/>
      <c r="N175" s="59"/>
      <c r="O175" s="40">
        <v>5199</v>
      </c>
      <c r="P175" s="58">
        <v>7558</v>
      </c>
      <c r="Q175" s="85">
        <v>8826</v>
      </c>
      <c r="R175" s="85">
        <v>7953</v>
      </c>
      <c r="S175" s="85">
        <v>7349</v>
      </c>
      <c r="T175" s="85">
        <v>6830</v>
      </c>
      <c r="U175" s="85">
        <v>5493</v>
      </c>
      <c r="V175" s="85">
        <v>4870</v>
      </c>
      <c r="W175" s="85">
        <v>6200</v>
      </c>
      <c r="X175" s="85">
        <v>6645</v>
      </c>
      <c r="Y175" s="54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</row>
    <row r="176" spans="1:48" ht="15" customHeight="1">
      <c r="D176" s="38"/>
      <c r="E176" s="93" t="s">
        <v>274</v>
      </c>
      <c r="G176" s="93" t="s">
        <v>14</v>
      </c>
      <c r="I176" s="70" t="str">
        <f xml:space="preserve"> Sources!I$30</f>
        <v>XXV</v>
      </c>
      <c r="K176" s="46"/>
      <c r="L176" s="85"/>
      <c r="M176" s="85"/>
      <c r="N176" s="59"/>
      <c r="O176" s="40"/>
      <c r="P176" s="58"/>
      <c r="Q176" s="85"/>
      <c r="R176" s="85"/>
      <c r="S176" s="85"/>
      <c r="T176" s="85"/>
      <c r="U176" s="85"/>
      <c r="V176" s="85"/>
      <c r="W176" s="85"/>
      <c r="X176" s="85">
        <v>6000</v>
      </c>
      <c r="Y176" s="85">
        <v>6078</v>
      </c>
      <c r="Z176" s="85">
        <v>6248</v>
      </c>
      <c r="AA176" s="85">
        <v>6314</v>
      </c>
      <c r="AB176" s="85">
        <v>6500</v>
      </c>
      <c r="AC176" s="85">
        <v>6500</v>
      </c>
      <c r="AD176" s="85">
        <v>6500</v>
      </c>
      <c r="AE176" s="85">
        <v>6500</v>
      </c>
      <c r="AF176" s="85">
        <v>6500</v>
      </c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</row>
    <row r="177" spans="1:48" ht="15" customHeight="1">
      <c r="D177" s="38"/>
      <c r="E177" s="93" t="s">
        <v>275</v>
      </c>
      <c r="G177" s="93" t="s">
        <v>14</v>
      </c>
      <c r="I177" s="70" t="str">
        <f xml:space="preserve"> Sources!I$28</f>
        <v>XXIII</v>
      </c>
      <c r="K177" s="46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>
        <v>6047</v>
      </c>
      <c r="Z177" s="85">
        <v>6500</v>
      </c>
      <c r="AA177" s="85">
        <v>6500</v>
      </c>
      <c r="AB177" s="85">
        <v>6500</v>
      </c>
      <c r="AC177" s="85">
        <v>6500</v>
      </c>
      <c r="AD177" s="85">
        <v>6500</v>
      </c>
      <c r="AE177" s="85">
        <v>6500</v>
      </c>
      <c r="AF177" s="85">
        <v>6500</v>
      </c>
      <c r="AG177" s="85">
        <v>6500</v>
      </c>
      <c r="AH177" s="85">
        <v>6500</v>
      </c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</row>
    <row r="178" spans="1:48" s="45" customFormat="1" ht="15" customHeight="1">
      <c r="A178" s="42"/>
      <c r="B178" s="42"/>
      <c r="C178" s="43"/>
      <c r="D178" s="44"/>
      <c r="E178" s="94"/>
      <c r="F178" s="94"/>
      <c r="G178" s="94"/>
      <c r="I178" s="76"/>
      <c r="K178" s="46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6"/>
      <c r="X178" s="56"/>
      <c r="Y178" s="56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</row>
    <row r="179" spans="1:48" s="45" customFormat="1" ht="15" customHeight="1">
      <c r="A179" s="42"/>
      <c r="B179" s="42"/>
      <c r="C179" s="17" t="s">
        <v>844</v>
      </c>
      <c r="D179" s="44"/>
      <c r="E179" s="94"/>
      <c r="F179" s="94"/>
      <c r="G179" s="94"/>
      <c r="I179" s="76"/>
      <c r="K179" s="46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6"/>
      <c r="X179" s="56"/>
      <c r="Y179" s="56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</row>
    <row r="180" spans="1:48" s="253" customFormat="1" ht="15" customHeight="1">
      <c r="A180" s="271"/>
      <c r="B180" s="271"/>
      <c r="C180" s="272"/>
      <c r="D180" s="273"/>
      <c r="E180" s="532" t="s">
        <v>845</v>
      </c>
      <c r="F180" s="532"/>
      <c r="G180" s="535" t="s">
        <v>14</v>
      </c>
      <c r="I180" s="8" t="str">
        <f xml:space="preserve"> Sources!I$28</f>
        <v>XXIII</v>
      </c>
      <c r="L180" s="254"/>
      <c r="M180" s="254"/>
      <c r="N180" s="254"/>
      <c r="O180" s="254"/>
      <c r="P180" s="254"/>
      <c r="Q180" s="254"/>
      <c r="R180" s="254"/>
      <c r="S180" s="254"/>
      <c r="T180" s="254"/>
      <c r="U180" s="254"/>
      <c r="V180" s="254"/>
      <c r="W180" s="585"/>
      <c r="X180" s="585"/>
      <c r="Y180" s="254">
        <v>6047</v>
      </c>
      <c r="Z180" s="254">
        <v>6500</v>
      </c>
      <c r="AA180" s="254">
        <v>6500</v>
      </c>
      <c r="AB180" s="254">
        <v>6500</v>
      </c>
      <c r="AC180" s="254">
        <v>6500</v>
      </c>
      <c r="AD180" s="254">
        <v>6500</v>
      </c>
      <c r="AE180" s="254">
        <v>6500</v>
      </c>
      <c r="AF180" s="254">
        <v>6500</v>
      </c>
      <c r="AG180" s="254">
        <v>6500</v>
      </c>
      <c r="AH180" s="254">
        <v>6500</v>
      </c>
      <c r="AI180" s="254"/>
      <c r="AJ180" s="254"/>
      <c r="AK180" s="254"/>
      <c r="AL180" s="254"/>
      <c r="AM180" s="254"/>
      <c r="AN180" s="254"/>
      <c r="AO180" s="254"/>
      <c r="AP180" s="254"/>
      <c r="AQ180" s="254"/>
      <c r="AR180" s="254"/>
      <c r="AS180" s="254"/>
      <c r="AT180" s="254"/>
      <c r="AU180" s="254"/>
      <c r="AV180" s="254"/>
    </row>
    <row r="181" spans="1:48" s="45" customFormat="1" ht="15" customHeight="1">
      <c r="A181" s="42"/>
      <c r="B181" s="42"/>
      <c r="C181" s="43"/>
      <c r="D181" s="44"/>
      <c r="E181" s="94"/>
      <c r="F181" s="94"/>
      <c r="G181" s="94"/>
      <c r="I181" s="76"/>
      <c r="K181" s="46"/>
      <c r="L181" s="583"/>
      <c r="M181" s="583"/>
      <c r="N181" s="583"/>
      <c r="O181" s="583"/>
      <c r="P181" s="583"/>
      <c r="Q181" s="583"/>
      <c r="R181" s="583"/>
      <c r="S181" s="583"/>
      <c r="T181" s="583"/>
      <c r="U181" s="583"/>
      <c r="V181" s="583"/>
      <c r="W181" s="584"/>
      <c r="X181" s="584"/>
      <c r="Y181" s="584"/>
      <c r="Z181" s="583"/>
      <c r="AA181" s="583"/>
      <c r="AB181" s="583"/>
      <c r="AC181" s="583"/>
      <c r="AD181" s="583"/>
      <c r="AE181" s="583"/>
      <c r="AF181" s="583"/>
      <c r="AG181" s="583"/>
      <c r="AH181" s="583"/>
      <c r="AI181" s="583"/>
      <c r="AJ181" s="583"/>
      <c r="AK181" s="583"/>
      <c r="AL181" s="583"/>
      <c r="AM181" s="583"/>
      <c r="AN181" s="583"/>
      <c r="AO181" s="583"/>
      <c r="AP181" s="583"/>
      <c r="AQ181" s="583"/>
      <c r="AR181" s="583"/>
      <c r="AS181" s="583"/>
      <c r="AT181" s="583"/>
      <c r="AU181" s="583"/>
      <c r="AV181" s="583"/>
    </row>
    <row r="182" spans="1:48" ht="15" customHeight="1">
      <c r="C182" s="17" t="s">
        <v>276</v>
      </c>
      <c r="D182" s="38"/>
      <c r="I182" s="41"/>
      <c r="K182" s="46"/>
      <c r="L182" s="55"/>
      <c r="M182" s="55"/>
      <c r="N182" s="55"/>
      <c r="O182" s="55"/>
      <c r="P182" s="55"/>
      <c r="Q182" s="55"/>
      <c r="R182" s="55"/>
      <c r="S182" s="55"/>
      <c r="T182" s="56"/>
      <c r="U182" s="56"/>
      <c r="V182" s="56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</row>
    <row r="183" spans="1:48" ht="15" customHeight="1">
      <c r="D183" s="38"/>
      <c r="E183" s="93" t="s">
        <v>277</v>
      </c>
      <c r="G183" s="93" t="s">
        <v>14</v>
      </c>
      <c r="I183" s="41" t="str">
        <f xml:space="preserve"> Sources!I$7</f>
        <v>III</v>
      </c>
      <c r="K183" s="46"/>
      <c r="L183" s="85"/>
      <c r="M183" s="85"/>
      <c r="N183" s="85"/>
      <c r="O183" s="85"/>
      <c r="P183" s="85">
        <v>6537</v>
      </c>
      <c r="Q183" s="85">
        <v>6023</v>
      </c>
      <c r="R183" s="85">
        <v>5916</v>
      </c>
      <c r="S183" s="85"/>
      <c r="T183" s="85"/>
      <c r="U183" s="85"/>
      <c r="V183" s="59"/>
      <c r="W183" s="40"/>
      <c r="X183" s="66"/>
      <c r="Y183" s="66"/>
      <c r="Z183" s="66"/>
      <c r="AA183" s="66"/>
      <c r="AB183" s="58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</row>
    <row r="184" spans="1:48" s="103" customFormat="1" ht="15" customHeight="1">
      <c r="A184" s="246"/>
      <c r="B184" s="246"/>
      <c r="C184" s="247"/>
      <c r="D184" s="252"/>
      <c r="E184" s="183" t="s">
        <v>646</v>
      </c>
      <c r="F184" s="183"/>
      <c r="G184" s="183" t="s">
        <v>14</v>
      </c>
      <c r="H184" s="32"/>
      <c r="I184" s="32" t="str">
        <f xml:space="preserve"> Sources!I$7</f>
        <v>III</v>
      </c>
      <c r="J184" s="32"/>
      <c r="K184" s="46"/>
      <c r="L184" s="85"/>
      <c r="M184" s="85"/>
      <c r="N184" s="85"/>
      <c r="O184" s="85"/>
      <c r="P184" s="85">
        <v>6495.8937779807957</v>
      </c>
      <c r="Q184" s="85">
        <v>6002.3410912525615</v>
      </c>
      <c r="R184" s="85">
        <v>5830.4841091079497</v>
      </c>
      <c r="S184" s="85">
        <v>9162.9230906790654</v>
      </c>
      <c r="T184" s="85"/>
      <c r="U184" s="85"/>
      <c r="V184" s="59"/>
      <c r="W184" s="40"/>
      <c r="X184" s="254"/>
      <c r="Y184" s="254"/>
      <c r="Z184" s="254"/>
      <c r="AA184" s="254"/>
      <c r="AB184" s="58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259"/>
      <c r="AR184" s="259"/>
      <c r="AS184" s="259"/>
      <c r="AT184" s="259"/>
      <c r="AU184" s="259"/>
      <c r="AV184" s="259"/>
    </row>
    <row r="185" spans="1:48" s="45" customFormat="1" ht="15" customHeight="1">
      <c r="A185" s="42"/>
      <c r="B185" s="42"/>
      <c r="C185" s="43"/>
      <c r="D185" s="44"/>
      <c r="E185" s="323"/>
      <c r="F185" s="323"/>
      <c r="G185" s="323"/>
      <c r="H185" s="46"/>
      <c r="I185" s="46"/>
      <c r="J185" s="46"/>
      <c r="K185" s="46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83"/>
      <c r="X185" s="583"/>
      <c r="Y185" s="583"/>
      <c r="Z185" s="583"/>
      <c r="AA185" s="583"/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</row>
    <row r="186" spans="1:48" ht="15" customHeight="1">
      <c r="C186" s="17" t="s">
        <v>279</v>
      </c>
      <c r="D186" s="38"/>
      <c r="E186" s="183"/>
      <c r="F186" s="183"/>
      <c r="G186" s="183"/>
      <c r="H186" s="32"/>
      <c r="I186" s="32"/>
      <c r="J186" s="32"/>
      <c r="K186" s="46"/>
      <c r="L186" s="55"/>
      <c r="M186" s="55"/>
      <c r="N186" s="55"/>
      <c r="O186" s="55"/>
      <c r="P186" s="55"/>
      <c r="Q186" s="55"/>
      <c r="R186" s="55"/>
      <c r="S186" s="55"/>
      <c r="T186" s="56"/>
      <c r="U186" s="56"/>
      <c r="V186" s="56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</row>
    <row r="187" spans="1:48" s="103" customFormat="1" ht="15" customHeight="1">
      <c r="A187" s="246"/>
      <c r="B187" s="246"/>
      <c r="C187" s="247"/>
      <c r="D187" s="252"/>
      <c r="E187" s="183" t="s">
        <v>590</v>
      </c>
      <c r="F187" s="183"/>
      <c r="G187" s="183" t="s">
        <v>14</v>
      </c>
      <c r="H187" s="32"/>
      <c r="I187" s="565" t="str">
        <f xml:space="preserve"> Sources!I$9</f>
        <v>V</v>
      </c>
      <c r="J187" s="32"/>
      <c r="K187" s="46"/>
      <c r="L187" s="40"/>
      <c r="M187" s="40"/>
      <c r="N187" s="40"/>
      <c r="O187" s="40"/>
      <c r="P187" s="40">
        <v>7536.595414106504</v>
      </c>
      <c r="Q187" s="40">
        <v>8832.8523553507421</v>
      </c>
      <c r="R187" s="40">
        <v>7949.2641747002854</v>
      </c>
      <c r="S187" s="40">
        <v>7331.0636936763949</v>
      </c>
      <c r="T187" s="40">
        <v>6862.8667690732209</v>
      </c>
      <c r="U187" s="40">
        <v>5507.872055811572</v>
      </c>
      <c r="V187" s="40">
        <v>4866.254603880855</v>
      </c>
      <c r="W187" s="40">
        <v>6161.9197324628767</v>
      </c>
      <c r="X187" s="40">
        <v>6176.1211977478815</v>
      </c>
      <c r="Y187" s="40">
        <v>6526.8653464590971</v>
      </c>
      <c r="Z187" s="40">
        <v>6001.5121273578197</v>
      </c>
      <c r="AA187" s="40">
        <v>9306.8642783945288</v>
      </c>
      <c r="AB187" s="40">
        <v>8828.6242255504349</v>
      </c>
      <c r="AC187" s="40">
        <v>8483.892249103943</v>
      </c>
      <c r="AD187" s="40">
        <v>9148.0618526758135</v>
      </c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254"/>
      <c r="AR187" s="254"/>
      <c r="AS187" s="254"/>
      <c r="AT187" s="254"/>
      <c r="AU187" s="254"/>
      <c r="AV187" s="254"/>
    </row>
    <row r="188" spans="1:48" ht="15" customHeight="1">
      <c r="D188" s="38"/>
      <c r="E188" s="183" t="s">
        <v>280</v>
      </c>
      <c r="F188" s="183"/>
      <c r="G188" s="183" t="s">
        <v>14</v>
      </c>
      <c r="H188" s="32"/>
      <c r="I188" s="565" t="str">
        <f xml:space="preserve"> Sources!I$10</f>
        <v>VI</v>
      </c>
      <c r="J188" s="32"/>
      <c r="K188" s="46"/>
      <c r="L188" s="85">
        <v>6724.9402852276398</v>
      </c>
      <c r="M188" s="85">
        <v>7102.727524111614</v>
      </c>
      <c r="N188" s="85">
        <v>6882.1368946248185</v>
      </c>
      <c r="O188" s="85">
        <v>5200.452736010101</v>
      </c>
      <c r="P188" s="85">
        <v>7560.5111054990894</v>
      </c>
      <c r="Q188" s="85">
        <v>8839.8545822997039</v>
      </c>
      <c r="R188" s="85">
        <v>7965.3487032423609</v>
      </c>
      <c r="S188" s="85">
        <v>7366.1408021958714</v>
      </c>
      <c r="T188" s="85">
        <v>6845.0925741357678</v>
      </c>
      <c r="U188" s="85">
        <v>5504.5768579292935</v>
      </c>
      <c r="V188" s="85">
        <v>4848.3409323106835</v>
      </c>
      <c r="W188" s="85">
        <v>6197.1338543349657</v>
      </c>
      <c r="X188" s="85">
        <v>6469.2825373000187</v>
      </c>
      <c r="Y188" s="85">
        <v>6002.5364020045172</v>
      </c>
      <c r="Z188" s="85">
        <v>6166.3077912265508</v>
      </c>
      <c r="AA188" s="85">
        <v>9338.8419015080926</v>
      </c>
      <c r="AB188" s="85">
        <v>8820.3096289215118</v>
      </c>
      <c r="AC188" s="85">
        <v>8522.4893605784564</v>
      </c>
      <c r="AD188" s="85">
        <v>9321.615578799172</v>
      </c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</row>
    <row r="189" spans="1:48" s="103" customFormat="1" ht="15" customHeight="1">
      <c r="A189" s="246"/>
      <c r="B189" s="246"/>
      <c r="C189" s="247"/>
      <c r="D189" s="252"/>
      <c r="E189" s="535" t="s">
        <v>281</v>
      </c>
      <c r="F189" s="535"/>
      <c r="G189" s="535" t="s">
        <v>14</v>
      </c>
      <c r="I189" s="8" t="str">
        <f xml:space="preserve"> Sources!I$13</f>
        <v>IX</v>
      </c>
      <c r="K189" s="253"/>
      <c r="L189" s="259">
        <v>6731.3519071545297</v>
      </c>
      <c r="M189" s="259">
        <v>7131.6300162117504</v>
      </c>
      <c r="N189" s="259">
        <v>6963.4819978037203</v>
      </c>
      <c r="O189" s="259">
        <v>5164.15877782194</v>
      </c>
      <c r="P189" s="259">
        <v>7538.3621197571501</v>
      </c>
      <c r="Q189" s="259">
        <v>8823.4542464630795</v>
      </c>
      <c r="R189" s="259">
        <v>7958.9246782119199</v>
      </c>
      <c r="S189" s="259">
        <v>7331.4907649868201</v>
      </c>
      <c r="T189" s="259">
        <v>6863.3965805179096</v>
      </c>
      <c r="U189" s="259">
        <v>5510.4571127155004</v>
      </c>
      <c r="V189" s="259">
        <v>4867.8974296536799</v>
      </c>
      <c r="W189" s="259">
        <v>6169.9399418513603</v>
      </c>
      <c r="X189" s="259">
        <v>6529.7983709685896</v>
      </c>
      <c r="Y189" s="259">
        <v>6010.1454296458396</v>
      </c>
      <c r="Z189" s="259">
        <v>6174.5579173221304</v>
      </c>
      <c r="AA189" s="259">
        <v>9317.4091658824309</v>
      </c>
      <c r="AB189" s="259">
        <v>8828.9168140645597</v>
      </c>
      <c r="AC189" s="259">
        <v>8490.7617314997806</v>
      </c>
      <c r="AD189" s="259">
        <v>9142.1015600257306</v>
      </c>
      <c r="AE189" s="259"/>
      <c r="AF189" s="259"/>
      <c r="AG189" s="259"/>
      <c r="AH189" s="259"/>
      <c r="AI189" s="259"/>
      <c r="AJ189" s="259"/>
      <c r="AK189" s="259"/>
      <c r="AL189" s="259"/>
      <c r="AM189" s="259"/>
      <c r="AN189" s="259"/>
      <c r="AO189" s="259"/>
      <c r="AP189" s="259"/>
      <c r="AQ189" s="259"/>
      <c r="AR189" s="259"/>
      <c r="AS189" s="259"/>
      <c r="AT189" s="259"/>
      <c r="AU189" s="259"/>
      <c r="AV189" s="259"/>
    </row>
    <row r="190" spans="1:48" s="103" customFormat="1" ht="15" customHeight="1">
      <c r="A190" s="246"/>
      <c r="B190" s="246"/>
      <c r="C190" s="247"/>
      <c r="D190" s="252"/>
      <c r="E190" s="183" t="s">
        <v>282</v>
      </c>
      <c r="F190" s="183"/>
      <c r="G190" s="183" t="s">
        <v>14</v>
      </c>
      <c r="H190" s="32"/>
      <c r="I190" s="6" t="str">
        <f xml:space="preserve"> Sources!I$13</f>
        <v>IX</v>
      </c>
      <c r="J190" s="32"/>
      <c r="K190" s="46"/>
      <c r="L190" s="85"/>
      <c r="M190" s="85"/>
      <c r="N190" s="85"/>
      <c r="O190" s="85"/>
      <c r="P190" s="85"/>
      <c r="Q190" s="85"/>
      <c r="R190" s="85"/>
      <c r="S190" s="85"/>
      <c r="T190" s="85"/>
      <c r="U190" s="85">
        <v>5510</v>
      </c>
      <c r="V190" s="85">
        <v>4868</v>
      </c>
      <c r="W190" s="85">
        <v>6170</v>
      </c>
      <c r="X190" s="85">
        <v>6530</v>
      </c>
      <c r="Y190" s="85">
        <v>6010</v>
      </c>
      <c r="Z190" s="85">
        <v>6174</v>
      </c>
      <c r="AA190" s="85">
        <v>9300</v>
      </c>
      <c r="AB190" s="85">
        <v>8800</v>
      </c>
      <c r="AC190" s="85">
        <v>8200</v>
      </c>
      <c r="AD190" s="85">
        <v>7500</v>
      </c>
      <c r="AE190" s="85">
        <v>7544</v>
      </c>
      <c r="AF190" s="85">
        <v>7589</v>
      </c>
      <c r="AG190" s="85">
        <v>7634</v>
      </c>
      <c r="AH190" s="85">
        <v>7679</v>
      </c>
      <c r="AI190" s="85">
        <v>7724</v>
      </c>
      <c r="AJ190" s="85">
        <v>7769</v>
      </c>
      <c r="AK190" s="85">
        <v>7815.2</v>
      </c>
      <c r="AL190" s="85">
        <v>7861.4</v>
      </c>
      <c r="AM190" s="85">
        <v>7907.5999999999995</v>
      </c>
      <c r="AN190" s="85">
        <v>7953.7999999999993</v>
      </c>
      <c r="AO190" s="85">
        <v>8000</v>
      </c>
      <c r="AP190" s="85"/>
      <c r="AQ190" s="259"/>
      <c r="AR190" s="259"/>
      <c r="AS190" s="259"/>
      <c r="AT190" s="259"/>
      <c r="AU190" s="259"/>
      <c r="AV190" s="259"/>
    </row>
    <row r="191" spans="1:48" ht="15" customHeight="1">
      <c r="D191" s="38"/>
      <c r="E191" s="183" t="s">
        <v>283</v>
      </c>
      <c r="F191" s="183"/>
      <c r="G191" s="183" t="s">
        <v>14</v>
      </c>
      <c r="H191" s="32"/>
      <c r="I191" s="6" t="str">
        <f xml:space="preserve"> Sources!I$13</f>
        <v>IX</v>
      </c>
      <c r="J191" s="32"/>
      <c r="K191" s="46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85"/>
      <c r="X191" s="85"/>
      <c r="Y191" s="85"/>
      <c r="Z191" s="85"/>
      <c r="AA191" s="85"/>
      <c r="AB191" s="85">
        <v>8822</v>
      </c>
      <c r="AC191" s="85">
        <v>8490</v>
      </c>
      <c r="AD191" s="85">
        <v>9250</v>
      </c>
      <c r="AE191" s="85">
        <v>9300</v>
      </c>
      <c r="AF191" s="85">
        <v>8500</v>
      </c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</row>
    <row r="192" spans="1:48" ht="15" customHeight="1">
      <c r="E192" s="183" t="s">
        <v>616</v>
      </c>
      <c r="F192" s="183"/>
      <c r="G192" s="183" t="s">
        <v>601</v>
      </c>
      <c r="H192" s="32"/>
      <c r="I192" s="316" t="str">
        <f xml:space="preserve"> I$10</f>
        <v>to add, from WEO file</v>
      </c>
      <c r="J192" s="32"/>
      <c r="K192" s="46"/>
      <c r="L192" s="40">
        <v>6863.3969999999999</v>
      </c>
      <c r="M192" s="40">
        <v>5510.4570000000003</v>
      </c>
      <c r="N192" s="40">
        <v>4867.8969999999999</v>
      </c>
      <c r="O192" s="40">
        <v>6169.94</v>
      </c>
      <c r="P192" s="40">
        <v>6529.7979999999998</v>
      </c>
      <c r="Q192" s="40">
        <v>6010.1450000000004</v>
      </c>
      <c r="R192" s="40">
        <v>6174.558</v>
      </c>
      <c r="S192" s="40">
        <v>9317.4089999999997</v>
      </c>
      <c r="T192" s="40">
        <v>8828.9169999999995</v>
      </c>
      <c r="U192" s="40">
        <v>8490.7620000000006</v>
      </c>
      <c r="V192" s="73">
        <v>8550.723</v>
      </c>
      <c r="W192" s="66"/>
      <c r="X192" s="66"/>
      <c r="Y192" s="66"/>
      <c r="Z192" s="66"/>
      <c r="AA192" s="66"/>
      <c r="AB192" s="66"/>
      <c r="AC192" s="66"/>
      <c r="AD192" s="66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</row>
    <row r="193" spans="1:48" ht="15" customHeight="1">
      <c r="K193" s="46"/>
    </row>
    <row r="194" spans="1:48" ht="15" customHeight="1">
      <c r="C194" s="17" t="s">
        <v>614</v>
      </c>
      <c r="K194" s="46"/>
    </row>
    <row r="195" spans="1:48" ht="15" customHeight="1">
      <c r="E195" s="93" t="str">
        <f>"Cu forecast: " &amp; F195</f>
        <v>Cu forecast: Fut_17Apr25</v>
      </c>
      <c r="F195" s="242" t="s">
        <v>604</v>
      </c>
      <c r="G195" s="93" t="s">
        <v>271</v>
      </c>
      <c r="H195" s="104" t="s">
        <v>599</v>
      </c>
      <c r="K195" s="46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299">
        <f xml:space="preserve"> 9200 / $F196</f>
        <v>4.1730547668078852</v>
      </c>
      <c r="AF195" s="287">
        <f xml:space="preserve"> 4.9168</f>
        <v>4.9168000000000003</v>
      </c>
      <c r="AG195" s="287">
        <v>5.01</v>
      </c>
      <c r="AH195" s="288">
        <v>5.1100000000000003</v>
      </c>
      <c r="AI195" s="288">
        <v>5.1100000000000003</v>
      </c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</row>
    <row r="196" spans="1:48" ht="15" customHeight="1">
      <c r="E196" s="93" t="str">
        <f xml:space="preserve"> InputsCon!E$201</f>
        <v>Convert  lb / tonnes</v>
      </c>
      <c r="F196" s="93">
        <f xml:space="preserve"> InputsCon!F$201</f>
        <v>2204.62</v>
      </c>
      <c r="G196" s="93" t="str">
        <f xml:space="preserve"> InputsCon!G$201</f>
        <v>lb / tonne</v>
      </c>
      <c r="K196" s="46"/>
    </row>
    <row r="197" spans="1:48" ht="15" customHeight="1">
      <c r="K197" s="46"/>
    </row>
    <row r="198" spans="1:48" ht="15" customHeight="1">
      <c r="E198" s="108" t="str">
        <f xml:space="preserve"> InputsCon!E$48</f>
        <v>Constant real terms Cu price forecast</v>
      </c>
      <c r="F198" s="108">
        <f xml:space="preserve"> InputsCon!F$48</f>
        <v>8500</v>
      </c>
      <c r="G198" s="108" t="str">
        <f xml:space="preserve"> InputsCon!G$48</f>
        <v>$ / tonne</v>
      </c>
      <c r="H198" s="93">
        <f xml:space="preserve"> 'T&amp;E'!$F33</f>
        <v>2025</v>
      </c>
      <c r="K198" s="46"/>
    </row>
    <row r="199" spans="1:48" ht="15" customHeight="1">
      <c r="K199" s="46"/>
    </row>
    <row r="200" spans="1:48" ht="15" customHeight="1">
      <c r="E200" s="298"/>
      <c r="F200" s="298" t="s">
        <v>612</v>
      </c>
      <c r="G200" s="298"/>
      <c r="H200" s="294"/>
      <c r="I200" s="295"/>
      <c r="J200" s="294"/>
      <c r="K200" s="46"/>
      <c r="L200" s="294"/>
      <c r="M200" s="294"/>
      <c r="N200" s="294"/>
      <c r="O200" s="294"/>
      <c r="P200" s="294"/>
      <c r="Q200" s="294"/>
      <c r="R200" s="294"/>
      <c r="S200" s="294"/>
      <c r="T200" s="294"/>
      <c r="U200" s="294"/>
      <c r="V200" s="294"/>
      <c r="W200" s="294"/>
      <c r="X200" s="294"/>
      <c r="Y200" s="294"/>
      <c r="Z200" s="294"/>
      <c r="AA200" s="294"/>
      <c r="AB200" s="294"/>
      <c r="AC200" s="294"/>
      <c r="AD200" s="294"/>
      <c r="AE200" s="294"/>
      <c r="AF200" s="294"/>
      <c r="AG200" s="294"/>
      <c r="AH200" s="294"/>
      <c r="AI200" s="294"/>
      <c r="AJ200" s="294"/>
      <c r="AK200" s="294"/>
      <c r="AL200" s="294"/>
      <c r="AM200" s="294"/>
      <c r="AN200" s="294"/>
      <c r="AO200" s="294"/>
      <c r="AP200" s="294"/>
      <c r="AQ200" s="294"/>
      <c r="AR200" s="294"/>
      <c r="AS200" s="294"/>
      <c r="AT200" s="294"/>
      <c r="AU200" s="294"/>
      <c r="AV200" s="294"/>
    </row>
    <row r="201" spans="1:48" s="3" customFormat="1" ht="15" customHeight="1">
      <c r="A201" s="95"/>
      <c r="B201" s="95"/>
      <c r="C201" s="96"/>
      <c r="E201" s="93" t="str">
        <f t="shared" ref="E201:E206" si="3">"Cu forecast: " &amp; F201</f>
        <v>Cu forecast: Fut_17Apr25</v>
      </c>
      <c r="F201" s="242" t="s">
        <v>604</v>
      </c>
      <c r="G201" s="93" t="s">
        <v>14</v>
      </c>
      <c r="H201" s="289" t="s">
        <v>599</v>
      </c>
      <c r="I201" s="97"/>
      <c r="K201" s="98"/>
      <c r="L201" s="289">
        <v>0</v>
      </c>
      <c r="M201" s="289">
        <v>0</v>
      </c>
      <c r="N201" s="289">
        <v>0</v>
      </c>
      <c r="O201" s="289">
        <v>0</v>
      </c>
      <c r="P201" s="289">
        <v>0</v>
      </c>
      <c r="Q201" s="289">
        <v>0</v>
      </c>
      <c r="R201" s="289">
        <v>0</v>
      </c>
      <c r="S201" s="289">
        <v>0</v>
      </c>
      <c r="T201" s="289">
        <v>0</v>
      </c>
      <c r="U201" s="289">
        <v>0</v>
      </c>
      <c r="V201" s="289">
        <v>0</v>
      </c>
      <c r="W201" s="289">
        <v>9200</v>
      </c>
      <c r="X201" s="289">
        <v>10839.675616</v>
      </c>
      <c r="Y201" s="289">
        <v>11045.146199999999</v>
      </c>
      <c r="Z201" s="289">
        <v>11265.608200000001</v>
      </c>
      <c r="AA201" s="289">
        <v>11265.608200000001</v>
      </c>
      <c r="AB201" s="289"/>
      <c r="AC201" s="289"/>
      <c r="AD201" s="289"/>
      <c r="AE201" s="289"/>
      <c r="AF201" s="289"/>
      <c r="AG201" s="289"/>
      <c r="AH201" s="289"/>
      <c r="AI201" s="289"/>
      <c r="AJ201" s="289"/>
      <c r="AK201" s="289"/>
      <c r="AL201" s="289"/>
      <c r="AM201" s="289"/>
      <c r="AN201" s="289"/>
      <c r="AO201" s="289"/>
      <c r="AP201" s="289"/>
      <c r="AQ201" s="289"/>
      <c r="AR201" s="289"/>
      <c r="AS201" s="289"/>
      <c r="AT201" s="289"/>
      <c r="AU201" s="289"/>
      <c r="AV201" s="289"/>
    </row>
    <row r="202" spans="1:48" s="3" customFormat="1" ht="15" customHeight="1">
      <c r="A202" s="95"/>
      <c r="B202" s="95"/>
      <c r="C202" s="96"/>
      <c r="E202" s="93" t="str">
        <f t="shared" si="3"/>
        <v>Cu forecast: IMF_WEO</v>
      </c>
      <c r="F202" s="242" t="s">
        <v>591</v>
      </c>
      <c r="G202" s="93" t="s">
        <v>14</v>
      </c>
      <c r="H202" s="289" t="s">
        <v>599</v>
      </c>
      <c r="I202" s="97"/>
      <c r="K202" s="98"/>
      <c r="L202" s="289">
        <v>6863.3969999999999</v>
      </c>
      <c r="M202" s="289">
        <v>5510.4570000000003</v>
      </c>
      <c r="N202" s="289">
        <v>4867.8969999999999</v>
      </c>
      <c r="O202" s="289">
        <v>6169.94</v>
      </c>
      <c r="P202" s="289">
        <v>6529.7979999999998</v>
      </c>
      <c r="Q202" s="289">
        <v>6010.1450000000004</v>
      </c>
      <c r="R202" s="289">
        <v>6174.558</v>
      </c>
      <c r="S202" s="289">
        <v>9317.4089999999997</v>
      </c>
      <c r="T202" s="289">
        <v>8828.9169999999995</v>
      </c>
      <c r="U202" s="289">
        <v>8490.7620000000006</v>
      </c>
      <c r="V202" s="289">
        <v>8550.723</v>
      </c>
      <c r="W202" s="289">
        <v>8661.2289999999994</v>
      </c>
      <c r="X202" s="289">
        <v>8676.2919999999995</v>
      </c>
      <c r="Y202" s="289">
        <v>8667.75</v>
      </c>
      <c r="Z202" s="289">
        <v>8655.625</v>
      </c>
      <c r="AA202" s="289">
        <v>8668.5</v>
      </c>
      <c r="AB202" s="289"/>
      <c r="AC202" s="289"/>
      <c r="AD202" s="289"/>
      <c r="AE202" s="289"/>
      <c r="AF202" s="289"/>
      <c r="AG202" s="289"/>
      <c r="AH202" s="289"/>
      <c r="AI202" s="289"/>
      <c r="AJ202" s="289"/>
      <c r="AK202" s="289"/>
      <c r="AL202" s="289"/>
      <c r="AM202" s="289"/>
      <c r="AN202" s="289"/>
      <c r="AO202" s="289"/>
      <c r="AP202" s="289"/>
      <c r="AQ202" s="289"/>
      <c r="AR202" s="289"/>
      <c r="AS202" s="289"/>
      <c r="AT202" s="289"/>
      <c r="AU202" s="289"/>
      <c r="AV202" s="289"/>
    </row>
    <row r="203" spans="1:48" s="3" customFormat="1" ht="15" customHeight="1">
      <c r="A203" s="95"/>
      <c r="B203" s="95"/>
      <c r="C203" s="96"/>
      <c r="E203" s="93" t="str">
        <f t="shared" si="3"/>
        <v>Cu forecast: ConstReal</v>
      </c>
      <c r="F203" s="242" t="s">
        <v>605</v>
      </c>
      <c r="G203" s="93" t="s">
        <v>14</v>
      </c>
      <c r="H203" s="289" t="s">
        <v>600</v>
      </c>
      <c r="I203" s="97"/>
      <c r="K203" s="98"/>
      <c r="L203" s="289">
        <v>0</v>
      </c>
      <c r="M203" s="289">
        <v>0</v>
      </c>
      <c r="N203" s="289">
        <v>0</v>
      </c>
      <c r="O203" s="289">
        <v>0</v>
      </c>
      <c r="P203" s="289">
        <v>0</v>
      </c>
      <c r="Q203" s="289">
        <v>0</v>
      </c>
      <c r="R203" s="289">
        <v>0</v>
      </c>
      <c r="S203" s="289">
        <v>0</v>
      </c>
      <c r="T203" s="289">
        <v>0</v>
      </c>
      <c r="U203" s="289">
        <v>0</v>
      </c>
      <c r="V203" s="289">
        <v>0</v>
      </c>
      <c r="W203" s="289">
        <v>8500</v>
      </c>
      <c r="X203" s="289">
        <v>8500</v>
      </c>
      <c r="Y203" s="289">
        <v>8500</v>
      </c>
      <c r="Z203" s="289">
        <v>8500</v>
      </c>
      <c r="AA203" s="289">
        <v>8500</v>
      </c>
      <c r="AB203" s="289"/>
      <c r="AC203" s="289"/>
      <c r="AD203" s="289"/>
      <c r="AE203" s="289"/>
      <c r="AF203" s="289"/>
      <c r="AG203" s="289"/>
      <c r="AH203" s="289"/>
      <c r="AI203" s="289"/>
      <c r="AJ203" s="289"/>
      <c r="AK203" s="289"/>
      <c r="AL203" s="289"/>
      <c r="AM203" s="289"/>
      <c r="AN203" s="289"/>
      <c r="AO203" s="289"/>
      <c r="AP203" s="289"/>
      <c r="AQ203" s="289"/>
      <c r="AR203" s="289"/>
      <c r="AS203" s="289"/>
      <c r="AT203" s="289"/>
      <c r="AU203" s="289"/>
      <c r="AV203" s="289"/>
    </row>
    <row r="204" spans="1:48" ht="15" customHeight="1">
      <c r="E204" s="93" t="str">
        <f t="shared" si="3"/>
        <v>Cu forecast: Other2</v>
      </c>
      <c r="F204" s="242" t="s">
        <v>592</v>
      </c>
      <c r="G204" s="93" t="s">
        <v>14</v>
      </c>
      <c r="H204" s="289" t="s">
        <v>600</v>
      </c>
      <c r="K204" s="46"/>
      <c r="L204" s="242">
        <v>0</v>
      </c>
      <c r="M204" s="242">
        <v>0</v>
      </c>
      <c r="N204" s="242">
        <v>0</v>
      </c>
      <c r="O204" s="242">
        <v>0</v>
      </c>
      <c r="P204" s="242">
        <v>0</v>
      </c>
      <c r="Q204" s="242">
        <v>0</v>
      </c>
      <c r="R204" s="242">
        <v>0</v>
      </c>
      <c r="S204" s="242">
        <v>0</v>
      </c>
      <c r="T204" s="242">
        <v>0</v>
      </c>
      <c r="U204" s="242">
        <v>0</v>
      </c>
      <c r="V204" s="242">
        <v>0</v>
      </c>
      <c r="W204" s="242">
        <v>6000</v>
      </c>
      <c r="X204" s="242">
        <v>6000</v>
      </c>
      <c r="Y204" s="242">
        <v>6000</v>
      </c>
      <c r="Z204" s="242">
        <v>6000</v>
      </c>
      <c r="AA204" s="242">
        <v>6000</v>
      </c>
      <c r="AB204" s="242"/>
      <c r="AC204" s="242"/>
      <c r="AD204" s="242"/>
      <c r="AE204" s="242"/>
      <c r="AF204" s="242"/>
      <c r="AG204" s="242"/>
      <c r="AH204" s="242"/>
      <c r="AI204" s="242"/>
      <c r="AJ204" s="242"/>
      <c r="AK204" s="242"/>
      <c r="AL204" s="242"/>
      <c r="AM204" s="242"/>
      <c r="AN204" s="242"/>
      <c r="AO204" s="242"/>
      <c r="AP204" s="242"/>
      <c r="AQ204" s="242"/>
      <c r="AR204" s="242"/>
      <c r="AS204" s="242"/>
      <c r="AT204" s="242"/>
      <c r="AU204" s="242"/>
      <c r="AV204" s="242"/>
    </row>
    <row r="205" spans="1:48" ht="15" customHeight="1">
      <c r="E205" s="93" t="str">
        <f t="shared" si="3"/>
        <v>Cu forecast: Other3</v>
      </c>
      <c r="F205" s="242" t="s">
        <v>593</v>
      </c>
      <c r="G205" s="93" t="s">
        <v>14</v>
      </c>
      <c r="H205" s="289" t="s">
        <v>600</v>
      </c>
      <c r="K205" s="46"/>
      <c r="L205" s="242">
        <v>0</v>
      </c>
      <c r="M205" s="242">
        <v>0</v>
      </c>
      <c r="N205" s="242">
        <v>0</v>
      </c>
      <c r="O205" s="242">
        <v>0</v>
      </c>
      <c r="P205" s="242">
        <v>0</v>
      </c>
      <c r="Q205" s="242">
        <v>0</v>
      </c>
      <c r="R205" s="242">
        <v>0</v>
      </c>
      <c r="S205" s="242">
        <v>0</v>
      </c>
      <c r="T205" s="242">
        <v>0</v>
      </c>
      <c r="U205" s="242">
        <v>0</v>
      </c>
      <c r="V205" s="242">
        <v>0</v>
      </c>
      <c r="W205" s="242">
        <v>6500</v>
      </c>
      <c r="X205" s="242">
        <v>6500</v>
      </c>
      <c r="Y205" s="242">
        <v>6500</v>
      </c>
      <c r="Z205" s="242">
        <v>6500</v>
      </c>
      <c r="AA205" s="242">
        <v>6500</v>
      </c>
      <c r="AB205" s="242"/>
      <c r="AC205" s="242"/>
      <c r="AD205" s="242"/>
      <c r="AE205" s="242"/>
      <c r="AF205" s="242"/>
      <c r="AG205" s="242"/>
      <c r="AH205" s="242"/>
      <c r="AI205" s="242"/>
      <c r="AJ205" s="242"/>
      <c r="AK205" s="242"/>
      <c r="AL205" s="242"/>
      <c r="AM205" s="242"/>
      <c r="AN205" s="242"/>
      <c r="AO205" s="242"/>
      <c r="AP205" s="242"/>
      <c r="AQ205" s="242"/>
      <c r="AR205" s="242"/>
      <c r="AS205" s="242"/>
      <c r="AT205" s="242"/>
      <c r="AU205" s="242"/>
      <c r="AV205" s="242"/>
    </row>
    <row r="206" spans="1:48" ht="15" customHeight="1">
      <c r="E206" s="298" t="str">
        <f t="shared" si="3"/>
        <v>Cu forecast: last</v>
      </c>
      <c r="F206" s="298" t="s">
        <v>613</v>
      </c>
      <c r="G206" s="298"/>
      <c r="H206" s="296"/>
      <c r="I206" s="295"/>
      <c r="J206" s="294"/>
      <c r="K206" s="46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  <c r="AA206" s="298"/>
      <c r="AB206" s="298"/>
      <c r="AC206" s="298"/>
      <c r="AD206" s="298"/>
      <c r="AE206" s="298"/>
      <c r="AF206" s="298"/>
      <c r="AG206" s="298"/>
      <c r="AH206" s="298"/>
      <c r="AI206" s="298"/>
      <c r="AJ206" s="298"/>
      <c r="AK206" s="298"/>
      <c r="AL206" s="298"/>
      <c r="AM206" s="298"/>
      <c r="AN206" s="298"/>
      <c r="AO206" s="298"/>
      <c r="AP206" s="298"/>
      <c r="AQ206" s="298"/>
      <c r="AR206" s="298"/>
      <c r="AS206" s="298"/>
      <c r="AT206" s="298"/>
      <c r="AU206" s="298"/>
      <c r="AV206" s="298"/>
    </row>
    <row r="207" spans="1:48" ht="15" customHeight="1">
      <c r="K207" s="46"/>
    </row>
    <row r="208" spans="1:48" ht="15" customHeight="1">
      <c r="E208" s="93" t="s">
        <v>606</v>
      </c>
      <c r="F208" s="176" t="str">
        <f xml:space="preserve"> InputsCon!F$59</f>
        <v>nominal</v>
      </c>
      <c r="G208" s="108" t="str">
        <f xml:space="preserve"> InputsCon!G$59</f>
        <v>option</v>
      </c>
      <c r="K208" s="46"/>
    </row>
    <row r="209" spans="1:48" ht="15" customHeight="1">
      <c r="E209" s="93" t="s">
        <v>606</v>
      </c>
      <c r="F209" s="176" t="str">
        <f xml:space="preserve"> InputsCon!F$60</f>
        <v>real</v>
      </c>
      <c r="G209" s="108" t="str">
        <f xml:space="preserve"> InputsCon!G$60</f>
        <v>option</v>
      </c>
      <c r="K209" s="46"/>
    </row>
    <row r="210" spans="1:48" ht="15" customHeight="1">
      <c r="K210" s="46"/>
    </row>
    <row r="211" spans="1:48" ht="15" customHeight="1">
      <c r="E211" s="108" t="str">
        <f xml:space="preserve"> 'T&amp;E'!E$45</f>
        <v>Real terms conversion year</v>
      </c>
      <c r="F211" s="108">
        <f xml:space="preserve"> 'T&amp;E'!F$45</f>
        <v>2023</v>
      </c>
      <c r="G211" s="108" t="str">
        <f xml:space="preserve"> 'T&amp;E'!G$45</f>
        <v>year</v>
      </c>
      <c r="H211" s="105"/>
      <c r="K211" s="46"/>
    </row>
    <row r="212" spans="1:48" ht="15" customHeight="1">
      <c r="E212" s="108" t="str">
        <f xml:space="preserve"> 'T&amp;E'!E$33</f>
        <v>First forecast year</v>
      </c>
      <c r="F212" s="108">
        <f xml:space="preserve"> 'T&amp;E'!F$33</f>
        <v>2025</v>
      </c>
      <c r="G212" s="108" t="str">
        <f xml:space="preserve"> 'T&amp;E'!G$33</f>
        <v>year</v>
      </c>
      <c r="H212" s="105"/>
      <c r="K212" s="46"/>
    </row>
    <row r="213" spans="1:48" ht="15" customHeight="1">
      <c r="K213" s="46"/>
    </row>
    <row r="214" spans="1:48" ht="15" customHeight="1">
      <c r="C214" s="17" t="s">
        <v>603</v>
      </c>
      <c r="I214" s="292" t="s">
        <v>608</v>
      </c>
      <c r="K214" s="46"/>
    </row>
    <row r="215" spans="1:48" s="41" customFormat="1" ht="15" customHeight="1">
      <c r="A215" s="290"/>
      <c r="B215" s="290"/>
      <c r="C215" s="291"/>
      <c r="E215" s="108" t="str">
        <f xml:space="preserve"> 'T&amp;E'!E$9</f>
        <v>Model calendar year</v>
      </c>
      <c r="F215" s="108">
        <f xml:space="preserve"> 'T&amp;E'!F$9</f>
        <v>0</v>
      </c>
      <c r="G215" s="108" t="str">
        <f xml:space="preserve"> 'T&amp;E'!G$9</f>
        <v>year</v>
      </c>
      <c r="H215" s="108">
        <f xml:space="preserve"> 'T&amp;E'!H$9</f>
        <v>0</v>
      </c>
      <c r="I215" s="108">
        <f xml:space="preserve"> 'T&amp;E'!I$9</f>
        <v>0</v>
      </c>
      <c r="J215" s="108">
        <f xml:space="preserve"> 'T&amp;E'!J$9</f>
        <v>0</v>
      </c>
      <c r="K215" s="176">
        <f xml:space="preserve"> 'T&amp;E'!K$9</f>
        <v>0</v>
      </c>
      <c r="L215" s="108">
        <f xml:space="preserve"> 'T&amp;E'!L$9</f>
        <v>2014</v>
      </c>
      <c r="M215" s="108">
        <f xml:space="preserve"> 'T&amp;E'!M$9</f>
        <v>2015</v>
      </c>
      <c r="N215" s="108">
        <f xml:space="preserve"> 'T&amp;E'!N$9</f>
        <v>2016</v>
      </c>
      <c r="O215" s="108">
        <f xml:space="preserve"> 'T&amp;E'!O$9</f>
        <v>2017</v>
      </c>
      <c r="P215" s="108">
        <f xml:space="preserve"> 'T&amp;E'!P$9</f>
        <v>2018</v>
      </c>
      <c r="Q215" s="108">
        <f xml:space="preserve"> 'T&amp;E'!Q$9</f>
        <v>2019</v>
      </c>
      <c r="R215" s="108">
        <f xml:space="preserve"> 'T&amp;E'!R$9</f>
        <v>2020</v>
      </c>
      <c r="S215" s="108">
        <f xml:space="preserve"> 'T&amp;E'!S$9</f>
        <v>2021</v>
      </c>
      <c r="T215" s="108">
        <f xml:space="preserve"> 'T&amp;E'!T$9</f>
        <v>2022</v>
      </c>
      <c r="U215" s="108">
        <f xml:space="preserve"> 'T&amp;E'!U$9</f>
        <v>2023</v>
      </c>
      <c r="V215" s="108">
        <f xml:space="preserve"> 'T&amp;E'!V$9</f>
        <v>2024</v>
      </c>
      <c r="W215" s="108">
        <f xml:space="preserve"> 'T&amp;E'!W$9</f>
        <v>2025</v>
      </c>
      <c r="X215" s="108">
        <f xml:space="preserve"> 'T&amp;E'!X$9</f>
        <v>2026</v>
      </c>
      <c r="Y215" s="108">
        <f xml:space="preserve"> 'T&amp;E'!Y$9</f>
        <v>2027</v>
      </c>
      <c r="Z215" s="108">
        <f xml:space="preserve"> 'T&amp;E'!Z$9</f>
        <v>2028</v>
      </c>
      <c r="AA215" s="108">
        <f xml:space="preserve"> 'T&amp;E'!AA$9</f>
        <v>2029</v>
      </c>
      <c r="AB215" s="108">
        <f xml:space="preserve"> 'T&amp;E'!AB$9</f>
        <v>2030</v>
      </c>
      <c r="AC215" s="108">
        <f xml:space="preserve"> 'T&amp;E'!AC$9</f>
        <v>2031</v>
      </c>
      <c r="AD215" s="108">
        <f xml:space="preserve"> 'T&amp;E'!AD$9</f>
        <v>2032</v>
      </c>
      <c r="AE215" s="108">
        <f xml:space="preserve"> 'T&amp;E'!AE$9</f>
        <v>2033</v>
      </c>
      <c r="AF215" s="108">
        <f xml:space="preserve"> 'T&amp;E'!AF$9</f>
        <v>2034</v>
      </c>
      <c r="AG215" s="108">
        <f xml:space="preserve"> 'T&amp;E'!AG$9</f>
        <v>2035</v>
      </c>
      <c r="AH215" s="108">
        <f xml:space="preserve"> 'T&amp;E'!AH$9</f>
        <v>2036</v>
      </c>
      <c r="AI215" s="108">
        <f xml:space="preserve"> 'T&amp;E'!AI$9</f>
        <v>2037</v>
      </c>
      <c r="AJ215" s="108">
        <f xml:space="preserve"> 'T&amp;E'!AJ$9</f>
        <v>2038</v>
      </c>
      <c r="AK215" s="108">
        <f xml:space="preserve"> 'T&amp;E'!AK$9</f>
        <v>2039</v>
      </c>
      <c r="AL215" s="108">
        <f xml:space="preserve"> 'T&amp;E'!AL$9</f>
        <v>2040</v>
      </c>
      <c r="AM215" s="108">
        <f xml:space="preserve"> 'T&amp;E'!AM$9</f>
        <v>2041</v>
      </c>
      <c r="AN215" s="108">
        <f xml:space="preserve"> 'T&amp;E'!AN$9</f>
        <v>2042</v>
      </c>
      <c r="AO215" s="108">
        <f xml:space="preserve"> 'T&amp;E'!AO$9</f>
        <v>2043</v>
      </c>
      <c r="AP215" s="108">
        <f xml:space="preserve"> 'T&amp;E'!AP$9</f>
        <v>2044</v>
      </c>
      <c r="AQ215" s="108">
        <f xml:space="preserve"> 'T&amp;E'!AQ$9</f>
        <v>2045</v>
      </c>
      <c r="AR215" s="108">
        <f xml:space="preserve"> 'T&amp;E'!AR$9</f>
        <v>2046</v>
      </c>
      <c r="AS215" s="108">
        <f xml:space="preserve"> 'T&amp;E'!AS$9</f>
        <v>2047</v>
      </c>
      <c r="AT215" s="108">
        <f xml:space="preserve"> 'T&amp;E'!AT$9</f>
        <v>2048</v>
      </c>
      <c r="AU215" s="108">
        <f xml:space="preserve"> 'T&amp;E'!AU$9</f>
        <v>2049</v>
      </c>
      <c r="AV215" s="108">
        <f xml:space="preserve"> 'T&amp;E'!AV$9</f>
        <v>2050</v>
      </c>
    </row>
    <row r="216" spans="1:48" s="93" customFormat="1" ht="15" customHeight="1">
      <c r="A216" s="92"/>
      <c r="B216" s="92"/>
      <c r="C216" s="197"/>
      <c r="E216" s="93" t="str">
        <f xml:space="preserve"> E$10</f>
        <v>US Inflation, average consumer prices Act + forecast</v>
      </c>
      <c r="F216" s="93">
        <f xml:space="preserve"> F$10</f>
        <v>0</v>
      </c>
      <c r="G216" s="93" t="str">
        <f xml:space="preserve"> G$10</f>
        <v>index</v>
      </c>
      <c r="H216" s="93">
        <f xml:space="preserve"> H$10</f>
        <v>0</v>
      </c>
      <c r="J216" s="93">
        <f t="shared" ref="J216:AV216" si="4" xml:space="preserve"> J$10</f>
        <v>0</v>
      </c>
      <c r="K216" s="94">
        <f t="shared" si="4"/>
        <v>0</v>
      </c>
      <c r="L216" s="93">
        <f t="shared" si="4"/>
        <v>201.55799999999999</v>
      </c>
      <c r="M216" s="93">
        <f t="shared" si="4"/>
        <v>207.34399999999999</v>
      </c>
      <c r="N216" s="93">
        <f t="shared" si="4"/>
        <v>215.25399999999999</v>
      </c>
      <c r="O216" s="93">
        <f t="shared" si="4"/>
        <v>214.565</v>
      </c>
      <c r="P216" s="93">
        <f t="shared" si="4"/>
        <v>218.07599999999999</v>
      </c>
      <c r="Q216" s="93">
        <f t="shared" si="4"/>
        <v>224.923</v>
      </c>
      <c r="R216" s="93">
        <f t="shared" si="4"/>
        <v>229.58600000000001</v>
      </c>
      <c r="S216" s="93">
        <f t="shared" si="4"/>
        <v>232.952</v>
      </c>
      <c r="T216" s="93">
        <f t="shared" si="4"/>
        <v>236.715</v>
      </c>
      <c r="U216" s="93">
        <f t="shared" si="4"/>
        <v>237.00200000000001</v>
      </c>
      <c r="V216" s="93">
        <f t="shared" si="4"/>
        <v>240.005</v>
      </c>
      <c r="W216" s="93">
        <f t="shared" si="4"/>
        <v>245.12100000000001</v>
      </c>
      <c r="X216" s="93">
        <f t="shared" si="4"/>
        <v>251.1</v>
      </c>
      <c r="Y216" s="93">
        <f t="shared" si="4"/>
        <v>255.65299999999999</v>
      </c>
      <c r="Z216" s="93">
        <f t="shared" si="4"/>
        <v>258.846</v>
      </c>
      <c r="AA216" s="93">
        <f t="shared" si="4"/>
        <v>270.96600000000001</v>
      </c>
      <c r="AB216" s="93">
        <f t="shared" si="4"/>
        <v>292.62099999999998</v>
      </c>
      <c r="AC216" s="93">
        <f t="shared" si="4"/>
        <v>304.70100000000002</v>
      </c>
      <c r="AD216" s="93">
        <f t="shared" si="4"/>
        <v>313.55900000000003</v>
      </c>
      <c r="AE216" s="93">
        <f t="shared" si="4"/>
        <v>319.83100000000002</v>
      </c>
      <c r="AF216" s="93">
        <f t="shared" si="4"/>
        <v>326.416</v>
      </c>
      <c r="AG216" s="93">
        <f t="shared" si="4"/>
        <v>333.27</v>
      </c>
      <c r="AH216" s="93">
        <f t="shared" si="4"/>
        <v>340.32400000000001</v>
      </c>
      <c r="AI216" s="93">
        <f t="shared" si="4"/>
        <v>347.61700000000002</v>
      </c>
      <c r="AJ216" s="93">
        <f t="shared" si="4"/>
        <v>354.56934000000001</v>
      </c>
      <c r="AK216" s="93">
        <f t="shared" si="4"/>
        <v>361.66072680000002</v>
      </c>
      <c r="AL216" s="93">
        <f t="shared" si="4"/>
        <v>368.89394133600001</v>
      </c>
      <c r="AM216" s="93">
        <f t="shared" si="4"/>
        <v>376.27182016272002</v>
      </c>
      <c r="AN216" s="93">
        <f t="shared" si="4"/>
        <v>383.79725656597441</v>
      </c>
      <c r="AO216" s="93">
        <f t="shared" si="4"/>
        <v>391.47320169729392</v>
      </c>
      <c r="AP216" s="93">
        <f t="shared" si="4"/>
        <v>399.30266573123981</v>
      </c>
      <c r="AQ216" s="93">
        <f t="shared" si="4"/>
        <v>407.28871904586464</v>
      </c>
      <c r="AR216" s="93">
        <f t="shared" si="4"/>
        <v>415.43449342678196</v>
      </c>
      <c r="AS216" s="93">
        <f t="shared" si="4"/>
        <v>423.74318329531758</v>
      </c>
      <c r="AT216" s="93">
        <f t="shared" si="4"/>
        <v>432.21804696122393</v>
      </c>
      <c r="AU216" s="93">
        <f t="shared" si="4"/>
        <v>440.86240790044843</v>
      </c>
      <c r="AV216" s="93">
        <f t="shared" si="4"/>
        <v>449.6796560584574</v>
      </c>
    </row>
    <row r="217" spans="1:48" ht="15" customHeight="1">
      <c r="E217" s="93" t="s">
        <v>602</v>
      </c>
      <c r="F217" s="93" cm="1">
        <f t="array" ref="F217" xml:space="preserve"> INDEX(L216:AV216,, MATCH('T&amp;E'!F45, L215:AV215, 0))</f>
        <v>237.00200000000001</v>
      </c>
      <c r="G217" s="93" t="str">
        <f xml:space="preserve"> G216</f>
        <v>index</v>
      </c>
      <c r="H217" s="93"/>
      <c r="I217" s="93"/>
      <c r="J217" s="93"/>
      <c r="K217" s="94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</row>
    <row r="218" spans="1:48" s="41" customFormat="1" ht="15" customHeight="1">
      <c r="A218" s="290"/>
      <c r="B218" s="290"/>
      <c r="C218" s="291"/>
      <c r="E218" s="108" t="str">
        <f xml:space="preserve"> 'T&amp;E'!E$36</f>
        <v>USD CPI Inflation (incl forecast) from 2025</v>
      </c>
      <c r="F218" s="108">
        <f xml:space="preserve"> 'T&amp;E'!F$36</f>
        <v>0</v>
      </c>
      <c r="G218" s="610" t="str">
        <f xml:space="preserve"> 'T&amp;E'!G$36</f>
        <v>index</v>
      </c>
      <c r="H218" s="610">
        <f xml:space="preserve"> 'T&amp;E'!H$36</f>
        <v>0</v>
      </c>
      <c r="I218" s="610">
        <f xml:space="preserve"> 'T&amp;E'!I$36</f>
        <v>0</v>
      </c>
      <c r="J218" s="610">
        <f xml:space="preserve"> 'T&amp;E'!J$36</f>
        <v>0</v>
      </c>
      <c r="K218" s="610">
        <f xml:space="preserve"> 'T&amp;E'!K$36</f>
        <v>0</v>
      </c>
      <c r="L218" s="610">
        <f xml:space="preserve"> 'T&amp;E'!L$36</f>
        <v>1</v>
      </c>
      <c r="M218" s="610">
        <f xml:space="preserve"> 'T&amp;E'!M$36</f>
        <v>1</v>
      </c>
      <c r="N218" s="610">
        <f xml:space="preserve"> 'T&amp;E'!N$36</f>
        <v>1</v>
      </c>
      <c r="O218" s="610">
        <f xml:space="preserve"> 'T&amp;E'!O$36</f>
        <v>1</v>
      </c>
      <c r="P218" s="610">
        <f xml:space="preserve"> 'T&amp;E'!P$36</f>
        <v>1</v>
      </c>
      <c r="Q218" s="610">
        <f xml:space="preserve"> 'T&amp;E'!Q$36</f>
        <v>1</v>
      </c>
      <c r="R218" s="610">
        <f xml:space="preserve"> 'T&amp;E'!R$36</f>
        <v>1</v>
      </c>
      <c r="S218" s="610">
        <f xml:space="preserve"> 'T&amp;E'!S$36</f>
        <v>1</v>
      </c>
      <c r="T218" s="610">
        <f xml:space="preserve"> 'T&amp;E'!T$36</f>
        <v>1</v>
      </c>
      <c r="U218" s="610">
        <f xml:space="preserve"> 'T&amp;E'!U$36</f>
        <v>1</v>
      </c>
      <c r="V218" s="610">
        <f xml:space="preserve"> 'T&amp;E'!V$36</f>
        <v>1</v>
      </c>
      <c r="W218" s="610">
        <f xml:space="preserve"> 'T&amp;E'!W$36</f>
        <v>1</v>
      </c>
      <c r="X218" s="610">
        <f xml:space="preserve"> 'T&amp;E'!X$36</f>
        <v>1.0246540997307085</v>
      </c>
      <c r="Y218" s="610">
        <f xml:space="preserve"> 'T&amp;E'!Y$36</f>
        <v>1.0462778964311141</v>
      </c>
      <c r="Z218" s="610">
        <f xml:space="preserve"> 'T&amp;E'!Z$36</f>
        <v>1.0688302844584765</v>
      </c>
      <c r="AA218" s="610">
        <f xml:space="preserve"> 'T&amp;E'!AA$36</f>
        <v>1.0920141145881699</v>
      </c>
      <c r="AB218" s="610">
        <f xml:space="preserve"> 'T&amp;E'!AB$36</f>
        <v>1.1157643854273069</v>
      </c>
      <c r="AC218" s="610">
        <f xml:space="preserve"> 'T&amp;E'!AC$36</f>
        <v>1.1380796731358531</v>
      </c>
      <c r="AD218" s="610">
        <f xml:space="preserve"> 'T&amp;E'!AD$36</f>
        <v>1.1608412665985701</v>
      </c>
      <c r="AE218" s="610">
        <f xml:space="preserve"> 'T&amp;E'!AE$36</f>
        <v>1.1840580919305417</v>
      </c>
      <c r="AF218" s="610">
        <f xml:space="preserve"> 'T&amp;E'!AF$36</f>
        <v>1.2077392537691523</v>
      </c>
      <c r="AG218" s="610">
        <f xml:space="preserve"> 'T&amp;E'!AG$36</f>
        <v>1.2318940388445354</v>
      </c>
      <c r="AH218" s="610">
        <f xml:space="preserve"> 'T&amp;E'!AH$36</f>
        <v>1.2565319196214262</v>
      </c>
      <c r="AI218" s="610">
        <f xml:space="preserve"> 'T&amp;E'!AI$36</f>
        <v>1.2816625580138548</v>
      </c>
      <c r="AJ218" s="610">
        <f xml:space="preserve"> 'T&amp;E'!AJ$36</f>
        <v>1.307295809174132</v>
      </c>
      <c r="AK218" s="610">
        <f xml:space="preserve"> 'T&amp;E'!AK$36</f>
        <v>1.3334417253576147</v>
      </c>
      <c r="AL218" s="610">
        <f xml:space="preserve"> 'T&amp;E'!AL$36</f>
        <v>1.3601105598647669</v>
      </c>
      <c r="AM218" s="610">
        <f xml:space="preserve"> 'T&amp;E'!AM$36</f>
        <v>1.3873127710620623</v>
      </c>
      <c r="AN218" s="610">
        <f xml:space="preserve"> 'T&amp;E'!AN$36</f>
        <v>1.4150590264833036</v>
      </c>
      <c r="AO218" s="610">
        <f xml:space="preserve"> 'T&amp;E'!AO$36</f>
        <v>1.4433602070129699</v>
      </c>
      <c r="AP218" s="610">
        <f xml:space="preserve"> 'T&amp;E'!AP$36</f>
        <v>1.4722274111532292</v>
      </c>
      <c r="AQ218" s="610">
        <f xml:space="preserve"> 'T&amp;E'!AQ$36</f>
        <v>1.5016719593762937</v>
      </c>
      <c r="AR218" s="610">
        <f xml:space="preserve"> 'T&amp;E'!AR$36</f>
        <v>1.5317053985638196</v>
      </c>
      <c r="AS218" s="610">
        <f xml:space="preserve"> 'T&amp;E'!AS$36</f>
        <v>1.562339506535096</v>
      </c>
      <c r="AT218" s="610">
        <f xml:space="preserve"> 'T&amp;E'!AT$36</f>
        <v>1.5935862966657983</v>
      </c>
      <c r="AU218" s="610">
        <f xml:space="preserve"> 'T&amp;E'!AU$36</f>
        <v>1.6254580225991142</v>
      </c>
      <c r="AV218" s="610">
        <f xml:space="preserve"> 'T&amp;E'!AV$36</f>
        <v>1.6579671830510965</v>
      </c>
    </row>
    <row r="219" spans="1:48" ht="15" customHeight="1">
      <c r="K219" s="46"/>
    </row>
    <row r="220" spans="1:48" ht="15" customHeight="1">
      <c r="C220" s="17" t="s">
        <v>609</v>
      </c>
      <c r="K220" s="46"/>
    </row>
    <row r="221" spans="1:48" s="41" customFormat="1" ht="15" customHeight="1">
      <c r="A221" s="290"/>
      <c r="B221" s="290"/>
      <c r="C221" s="291"/>
      <c r="E221" s="108" t="str">
        <f xml:space="preserve"> 'T&amp;E'!E$9</f>
        <v>Model calendar year</v>
      </c>
      <c r="F221" s="108">
        <f xml:space="preserve"> 'T&amp;E'!F$9</f>
        <v>0</v>
      </c>
      <c r="G221" s="108" t="str">
        <f xml:space="preserve"> 'T&amp;E'!G$9</f>
        <v>year</v>
      </c>
      <c r="H221" s="108">
        <f xml:space="preserve"> 'T&amp;E'!H$9</f>
        <v>0</v>
      </c>
      <c r="I221" s="108">
        <f xml:space="preserve"> 'T&amp;E'!I$9</f>
        <v>0</v>
      </c>
      <c r="J221" s="108">
        <f xml:space="preserve"> 'T&amp;E'!J$9</f>
        <v>0</v>
      </c>
      <c r="K221" s="176">
        <f xml:space="preserve"> 'T&amp;E'!K$9</f>
        <v>0</v>
      </c>
      <c r="L221" s="108">
        <f xml:space="preserve"> 'T&amp;E'!L$9</f>
        <v>2014</v>
      </c>
      <c r="M221" s="108">
        <f xml:space="preserve"> 'T&amp;E'!M$9</f>
        <v>2015</v>
      </c>
      <c r="N221" s="108">
        <f xml:space="preserve"> 'T&amp;E'!N$9</f>
        <v>2016</v>
      </c>
      <c r="O221" s="108">
        <f xml:space="preserve"> 'T&amp;E'!O$9</f>
        <v>2017</v>
      </c>
      <c r="P221" s="108">
        <f xml:space="preserve"> 'T&amp;E'!P$9</f>
        <v>2018</v>
      </c>
      <c r="Q221" s="108">
        <f xml:space="preserve"> 'T&amp;E'!Q$9</f>
        <v>2019</v>
      </c>
      <c r="R221" s="108">
        <f xml:space="preserve"> 'T&amp;E'!R$9</f>
        <v>2020</v>
      </c>
      <c r="S221" s="108">
        <f xml:space="preserve"> 'T&amp;E'!S$9</f>
        <v>2021</v>
      </c>
      <c r="T221" s="108">
        <f xml:space="preserve"> 'T&amp;E'!T$9</f>
        <v>2022</v>
      </c>
      <c r="U221" s="108">
        <f xml:space="preserve"> 'T&amp;E'!U$9</f>
        <v>2023</v>
      </c>
      <c r="V221" s="108">
        <f xml:space="preserve"> 'T&amp;E'!V$9</f>
        <v>2024</v>
      </c>
      <c r="W221" s="108">
        <f xml:space="preserve"> 'T&amp;E'!W$9</f>
        <v>2025</v>
      </c>
      <c r="X221" s="108">
        <f xml:space="preserve"> 'T&amp;E'!X$9</f>
        <v>2026</v>
      </c>
      <c r="Y221" s="108">
        <f xml:space="preserve"> 'T&amp;E'!Y$9</f>
        <v>2027</v>
      </c>
      <c r="Z221" s="108">
        <f xml:space="preserve"> 'T&amp;E'!Z$9</f>
        <v>2028</v>
      </c>
      <c r="AA221" s="108">
        <f xml:space="preserve"> 'T&amp;E'!AA$9</f>
        <v>2029</v>
      </c>
      <c r="AB221" s="108">
        <f xml:space="preserve"> 'T&amp;E'!AB$9</f>
        <v>2030</v>
      </c>
      <c r="AC221" s="108">
        <f xml:space="preserve"> 'T&amp;E'!AC$9</f>
        <v>2031</v>
      </c>
      <c r="AD221" s="108">
        <f xml:space="preserve"> 'T&amp;E'!AD$9</f>
        <v>2032</v>
      </c>
      <c r="AE221" s="108">
        <f xml:space="preserve"> 'T&amp;E'!AE$9</f>
        <v>2033</v>
      </c>
      <c r="AF221" s="108">
        <f xml:space="preserve"> 'T&amp;E'!AF$9</f>
        <v>2034</v>
      </c>
      <c r="AG221" s="108">
        <f xml:space="preserve"> 'T&amp;E'!AG$9</f>
        <v>2035</v>
      </c>
      <c r="AH221" s="108">
        <f xml:space="preserve"> 'T&amp;E'!AH$9</f>
        <v>2036</v>
      </c>
      <c r="AI221" s="108">
        <f xml:space="preserve"> 'T&amp;E'!AI$9</f>
        <v>2037</v>
      </c>
      <c r="AJ221" s="108">
        <f xml:space="preserve"> 'T&amp;E'!AJ$9</f>
        <v>2038</v>
      </c>
      <c r="AK221" s="108">
        <f xml:space="preserve"> 'T&amp;E'!AK$9</f>
        <v>2039</v>
      </c>
      <c r="AL221" s="108">
        <f xml:space="preserve"> 'T&amp;E'!AL$9</f>
        <v>2040</v>
      </c>
      <c r="AM221" s="108">
        <f xml:space="preserve"> 'T&amp;E'!AM$9</f>
        <v>2041</v>
      </c>
      <c r="AN221" s="108">
        <f xml:space="preserve"> 'T&amp;E'!AN$9</f>
        <v>2042</v>
      </c>
      <c r="AO221" s="108">
        <f xml:space="preserve"> 'T&amp;E'!AO$9</f>
        <v>2043</v>
      </c>
      <c r="AP221" s="108">
        <f xml:space="preserve"> 'T&amp;E'!AP$9</f>
        <v>2044</v>
      </c>
      <c r="AQ221" s="108">
        <f xml:space="preserve"> 'T&amp;E'!AQ$9</f>
        <v>2045</v>
      </c>
      <c r="AR221" s="108">
        <f xml:space="preserve"> 'T&amp;E'!AR$9</f>
        <v>2046</v>
      </c>
      <c r="AS221" s="108">
        <f xml:space="preserve"> 'T&amp;E'!AS$9</f>
        <v>2047</v>
      </c>
      <c r="AT221" s="108">
        <f xml:space="preserve"> 'T&amp;E'!AT$9</f>
        <v>2048</v>
      </c>
      <c r="AU221" s="108">
        <f xml:space="preserve"> 'T&amp;E'!AU$9</f>
        <v>2049</v>
      </c>
      <c r="AV221" s="108">
        <f xml:space="preserve"> 'T&amp;E'!AV$9</f>
        <v>2050</v>
      </c>
    </row>
    <row r="222" spans="1:48" s="41" customFormat="1" ht="15" customHeight="1">
      <c r="A222" s="290"/>
      <c r="B222" s="290"/>
      <c r="C222" s="291"/>
      <c r="E222" s="293"/>
      <c r="F222" s="297" t="s">
        <v>612</v>
      </c>
      <c r="G222" s="293"/>
      <c r="H222" s="293"/>
      <c r="I222" s="293"/>
      <c r="J222" s="293"/>
      <c r="K222" s="176"/>
      <c r="L222" s="293"/>
      <c r="M222" s="293"/>
      <c r="N222" s="293"/>
      <c r="O222" s="293"/>
      <c r="P222" s="293"/>
      <c r="Q222" s="293"/>
      <c r="R222" s="293"/>
      <c r="S222" s="293"/>
      <c r="T222" s="293"/>
      <c r="U222" s="293"/>
      <c r="V222" s="293"/>
      <c r="W222" s="293"/>
      <c r="X222" s="293"/>
      <c r="Y222" s="293"/>
      <c r="Z222" s="293"/>
      <c r="AA222" s="293"/>
      <c r="AB222" s="293"/>
      <c r="AC222" s="293"/>
      <c r="AD222" s="293"/>
      <c r="AE222" s="293"/>
      <c r="AF222" s="293"/>
      <c r="AG222" s="293"/>
      <c r="AH222" s="293"/>
      <c r="AI222" s="293"/>
      <c r="AJ222" s="293"/>
      <c r="AK222" s="293"/>
      <c r="AL222" s="293"/>
      <c r="AM222" s="293"/>
      <c r="AN222" s="293"/>
      <c r="AO222" s="293"/>
      <c r="AP222" s="293"/>
      <c r="AQ222" s="293"/>
      <c r="AR222" s="293"/>
      <c r="AS222" s="293"/>
      <c r="AT222" s="293"/>
      <c r="AU222" s="293"/>
      <c r="AV222" s="293"/>
    </row>
    <row r="223" spans="1:48" ht="15" customHeight="1">
      <c r="E223" s="93" t="str">
        <f t="shared" ref="E223:F227" si="5" xml:space="preserve"> E201</f>
        <v>Cu forecast: Fut_17Apr25</v>
      </c>
      <c r="F223" s="93" t="str">
        <f t="shared" si="5"/>
        <v>Fut_17Apr25</v>
      </c>
      <c r="G223" s="93" t="s">
        <v>14</v>
      </c>
      <c r="K223" s="46"/>
      <c r="L223" s="3">
        <f xml:space="preserve"> IF($H201 = $F$208, IF(L201 = 0, K223 * L$218 / MAX(1, K$218), L201), IF(L201 = 0, K223 * L$218 / MAX(1,K$218), L201 * L$218))</f>
        <v>0</v>
      </c>
      <c r="M223" s="3">
        <f t="shared" ref="M223:AV223" si="6" xml:space="preserve"> IF($H201 = $F$208, IF(M201 = 0, L223 * M$218 / MAX(1, L$218), M201), IF(M201 = 0, L223 * M$218 / MAX(1,L$218), M201 * M$218))</f>
        <v>0</v>
      </c>
      <c r="N223" s="3">
        <f t="shared" si="6"/>
        <v>0</v>
      </c>
      <c r="O223" s="3">
        <f t="shared" si="6"/>
        <v>0</v>
      </c>
      <c r="P223" s="3">
        <f t="shared" si="6"/>
        <v>0</v>
      </c>
      <c r="Q223" s="3">
        <f t="shared" si="6"/>
        <v>0</v>
      </c>
      <c r="R223" s="3">
        <f t="shared" si="6"/>
        <v>0</v>
      </c>
      <c r="S223" s="3">
        <f t="shared" si="6"/>
        <v>0</v>
      </c>
      <c r="T223" s="3">
        <f t="shared" si="6"/>
        <v>0</v>
      </c>
      <c r="U223" s="3">
        <f t="shared" si="6"/>
        <v>0</v>
      </c>
      <c r="V223" s="3">
        <f t="shared" si="6"/>
        <v>0</v>
      </c>
      <c r="W223" s="3">
        <f t="shared" si="6"/>
        <v>9200</v>
      </c>
      <c r="X223" s="3">
        <f t="shared" si="6"/>
        <v>10839.675616</v>
      </c>
      <c r="Y223" s="3">
        <f t="shared" si="6"/>
        <v>11045.146199999999</v>
      </c>
      <c r="Z223" s="3">
        <f t="shared" si="6"/>
        <v>11265.608200000001</v>
      </c>
      <c r="AA223" s="3">
        <f t="shared" si="6"/>
        <v>11265.608200000001</v>
      </c>
      <c r="AB223" s="3">
        <f t="shared" si="6"/>
        <v>11510.624489023434</v>
      </c>
      <c r="AC223" s="3">
        <f t="shared" si="6"/>
        <v>11740.836978803902</v>
      </c>
      <c r="AD223" s="3">
        <f t="shared" si="6"/>
        <v>11975.653718379979</v>
      </c>
      <c r="AE223" s="3">
        <f t="shared" si="6"/>
        <v>12215.166792747581</v>
      </c>
      <c r="AF223" s="3">
        <f t="shared" si="6"/>
        <v>12459.47012860253</v>
      </c>
      <c r="AG223" s="3">
        <f t="shared" si="6"/>
        <v>12708.659531174582</v>
      </c>
      <c r="AH223" s="3">
        <f t="shared" si="6"/>
        <v>12962.832721798075</v>
      </c>
      <c r="AI223" s="3">
        <f t="shared" si="6"/>
        <v>13222.089376234037</v>
      </c>
      <c r="AJ223" s="3">
        <f t="shared" si="6"/>
        <v>13486.531163758718</v>
      </c>
      <c r="AK223" s="3">
        <f t="shared" si="6"/>
        <v>13756.261787033895</v>
      </c>
      <c r="AL223" s="3">
        <f t="shared" si="6"/>
        <v>14031.38702277457</v>
      </c>
      <c r="AM223" s="3">
        <f t="shared" si="6"/>
        <v>14312.014763230063</v>
      </c>
      <c r="AN223" s="3">
        <f t="shared" si="6"/>
        <v>14598.255058494666</v>
      </c>
      <c r="AO223" s="3">
        <f t="shared" si="6"/>
        <v>14890.220159664561</v>
      </c>
      <c r="AP223" s="3">
        <f t="shared" si="6"/>
        <v>15188.02456285785</v>
      </c>
      <c r="AQ223" s="3">
        <f t="shared" si="6"/>
        <v>15491.785054115006</v>
      </c>
      <c r="AR223" s="3">
        <f t="shared" si="6"/>
        <v>15801.620755197306</v>
      </c>
      <c r="AS223" s="3">
        <f t="shared" si="6"/>
        <v>16117.653170301252</v>
      </c>
      <c r="AT223" s="3">
        <f t="shared" si="6"/>
        <v>16440.006233707281</v>
      </c>
      <c r="AU223" s="3">
        <f t="shared" si="6"/>
        <v>16768.806358381426</v>
      </c>
      <c r="AV223" s="3">
        <f t="shared" si="6"/>
        <v>17104.182485549056</v>
      </c>
    </row>
    <row r="224" spans="1:48" ht="15" customHeight="1">
      <c r="E224" s="93" t="str">
        <f t="shared" si="5"/>
        <v>Cu forecast: IMF_WEO</v>
      </c>
      <c r="F224" s="93" t="str">
        <f t="shared" si="5"/>
        <v>IMF_WEO</v>
      </c>
      <c r="G224" s="93" t="s">
        <v>14</v>
      </c>
      <c r="K224" s="46"/>
      <c r="L224" s="3">
        <f t="shared" ref="L224:AV224" si="7" xml:space="preserve"> IF($H202 = $F$208, IF(L202 = 0, K224 * L$218 / MAX(1, K$218), L202), IF(L202 = 0, K224 * L$218 / MAX(1,K$218), L202 * L$218))</f>
        <v>6863.3969999999999</v>
      </c>
      <c r="M224" s="3">
        <f t="shared" si="7"/>
        <v>5510.4570000000003</v>
      </c>
      <c r="N224" s="3">
        <f t="shared" si="7"/>
        <v>4867.8969999999999</v>
      </c>
      <c r="O224" s="3">
        <f t="shared" si="7"/>
        <v>6169.94</v>
      </c>
      <c r="P224" s="3">
        <f t="shared" si="7"/>
        <v>6529.7979999999998</v>
      </c>
      <c r="Q224" s="3">
        <f t="shared" si="7"/>
        <v>6010.1450000000004</v>
      </c>
      <c r="R224" s="3">
        <f t="shared" si="7"/>
        <v>6174.558</v>
      </c>
      <c r="S224" s="3">
        <f t="shared" si="7"/>
        <v>9317.4089999999997</v>
      </c>
      <c r="T224" s="3">
        <f t="shared" si="7"/>
        <v>8828.9169999999995</v>
      </c>
      <c r="U224" s="3">
        <f t="shared" si="7"/>
        <v>8490.7620000000006</v>
      </c>
      <c r="V224" s="3">
        <f t="shared" si="7"/>
        <v>8550.723</v>
      </c>
      <c r="W224" s="3">
        <f t="shared" si="7"/>
        <v>8661.2289999999994</v>
      </c>
      <c r="X224" s="3">
        <f t="shared" si="7"/>
        <v>8676.2919999999995</v>
      </c>
      <c r="Y224" s="3">
        <f t="shared" si="7"/>
        <v>8667.75</v>
      </c>
      <c r="Z224" s="3">
        <f t="shared" si="7"/>
        <v>8655.625</v>
      </c>
      <c r="AA224" s="3">
        <f t="shared" si="7"/>
        <v>8668.5</v>
      </c>
      <c r="AB224" s="3">
        <f t="shared" si="7"/>
        <v>8857.0316499289966</v>
      </c>
      <c r="AC224" s="3">
        <f t="shared" si="7"/>
        <v>9034.1722829275768</v>
      </c>
      <c r="AD224" s="3">
        <f t="shared" si="7"/>
        <v>9214.855728586128</v>
      </c>
      <c r="AE224" s="3">
        <f t="shared" si="7"/>
        <v>9399.1528431578517</v>
      </c>
      <c r="AF224" s="3">
        <f t="shared" si="7"/>
        <v>9587.1359000210068</v>
      </c>
      <c r="AG224" s="3">
        <f t="shared" si="7"/>
        <v>9778.8786180214283</v>
      </c>
      <c r="AH224" s="3">
        <f t="shared" si="7"/>
        <v>9974.4561903818576</v>
      </c>
      <c r="AI224" s="3">
        <f t="shared" si="7"/>
        <v>10173.945314189496</v>
      </c>
      <c r="AJ224" s="3">
        <f t="shared" si="7"/>
        <v>10377.424220473287</v>
      </c>
      <c r="AK224" s="3">
        <f t="shared" si="7"/>
        <v>10584.972704882754</v>
      </c>
      <c r="AL224" s="3">
        <f t="shared" si="7"/>
        <v>10796.672158980407</v>
      </c>
      <c r="AM224" s="3">
        <f t="shared" si="7"/>
        <v>11012.605602160016</v>
      </c>
      <c r="AN224" s="3">
        <f t="shared" si="7"/>
        <v>11232.857714203217</v>
      </c>
      <c r="AO224" s="3">
        <f t="shared" si="7"/>
        <v>11457.514868487282</v>
      </c>
      <c r="AP224" s="3">
        <f t="shared" si="7"/>
        <v>11686.665165857026</v>
      </c>
      <c r="AQ224" s="3">
        <f t="shared" si="7"/>
        <v>11920.398469174168</v>
      </c>
      <c r="AR224" s="3">
        <f t="shared" si="7"/>
        <v>12158.806438557651</v>
      </c>
      <c r="AS224" s="3">
        <f t="shared" si="7"/>
        <v>12401.982567328805</v>
      </c>
      <c r="AT224" s="3">
        <f t="shared" si="7"/>
        <v>12650.022218675384</v>
      </c>
      <c r="AU224" s="3">
        <f t="shared" si="7"/>
        <v>12903.022663048891</v>
      </c>
      <c r="AV224" s="3">
        <f t="shared" si="7"/>
        <v>13161.083116309868</v>
      </c>
    </row>
    <row r="225" spans="1:48" ht="15" customHeight="1">
      <c r="E225" s="93" t="str">
        <f t="shared" si="5"/>
        <v>Cu forecast: ConstReal</v>
      </c>
      <c r="F225" s="93" t="str">
        <f t="shared" si="5"/>
        <v>ConstReal</v>
      </c>
      <c r="G225" s="93" t="s">
        <v>14</v>
      </c>
      <c r="K225" s="46"/>
      <c r="L225" s="3">
        <f t="shared" ref="L225:AV225" si="8" xml:space="preserve"> IF($H203 = $F$208, IF(L203 = 0, K225 * L$218 / MAX(1, K$218), L203), IF(L203 = 0, K225 * L$218 / MAX(1,K$218), L203 * L$218))</f>
        <v>0</v>
      </c>
      <c r="M225" s="3">
        <f t="shared" si="8"/>
        <v>0</v>
      </c>
      <c r="N225" s="3">
        <f t="shared" si="8"/>
        <v>0</v>
      </c>
      <c r="O225" s="3">
        <f t="shared" si="8"/>
        <v>0</v>
      </c>
      <c r="P225" s="3">
        <f t="shared" si="8"/>
        <v>0</v>
      </c>
      <c r="Q225" s="3">
        <f t="shared" si="8"/>
        <v>0</v>
      </c>
      <c r="R225" s="3">
        <f t="shared" si="8"/>
        <v>0</v>
      </c>
      <c r="S225" s="3">
        <f t="shared" si="8"/>
        <v>0</v>
      </c>
      <c r="T225" s="3">
        <f t="shared" si="8"/>
        <v>0</v>
      </c>
      <c r="U225" s="3">
        <f t="shared" si="8"/>
        <v>0</v>
      </c>
      <c r="V225" s="3">
        <f t="shared" si="8"/>
        <v>0</v>
      </c>
      <c r="W225" s="3">
        <f t="shared" si="8"/>
        <v>8500</v>
      </c>
      <c r="X225" s="3">
        <f t="shared" si="8"/>
        <v>8709.5598477110234</v>
      </c>
      <c r="Y225" s="3">
        <f t="shared" si="8"/>
        <v>8893.3621196644708</v>
      </c>
      <c r="Z225" s="3">
        <f t="shared" si="8"/>
        <v>9085.057417897051</v>
      </c>
      <c r="AA225" s="3">
        <f t="shared" si="8"/>
        <v>9282.1199739994445</v>
      </c>
      <c r="AB225" s="3">
        <f t="shared" si="8"/>
        <v>9483.9972761321096</v>
      </c>
      <c r="AC225" s="3">
        <f t="shared" si="8"/>
        <v>9673.6772216547524</v>
      </c>
      <c r="AD225" s="3">
        <f t="shared" si="8"/>
        <v>9867.1507660878469</v>
      </c>
      <c r="AE225" s="3">
        <f t="shared" si="8"/>
        <v>10064.493781409605</v>
      </c>
      <c r="AF225" s="3">
        <f t="shared" si="8"/>
        <v>10265.783657037795</v>
      </c>
      <c r="AG225" s="3">
        <f t="shared" si="8"/>
        <v>10471.099330178551</v>
      </c>
      <c r="AH225" s="3">
        <f t="shared" si="8"/>
        <v>10680.521316782122</v>
      </c>
      <c r="AI225" s="3">
        <f t="shared" si="8"/>
        <v>10894.131743117765</v>
      </c>
      <c r="AJ225" s="3">
        <f t="shared" si="8"/>
        <v>11112.014377980122</v>
      </c>
      <c r="AK225" s="3">
        <f t="shared" si="8"/>
        <v>11334.254665539725</v>
      </c>
      <c r="AL225" s="3">
        <f t="shared" si="8"/>
        <v>11560.93975885052</v>
      </c>
      <c r="AM225" s="3">
        <f t="shared" si="8"/>
        <v>11792.15855402753</v>
      </c>
      <c r="AN225" s="3">
        <f t="shared" si="8"/>
        <v>12028.001725108081</v>
      </c>
      <c r="AO225" s="3">
        <f t="shared" si="8"/>
        <v>12268.561759610244</v>
      </c>
      <c r="AP225" s="3">
        <f t="shared" si="8"/>
        <v>12513.93299480245</v>
      </c>
      <c r="AQ225" s="3">
        <f t="shared" si="8"/>
        <v>12764.211654698498</v>
      </c>
      <c r="AR225" s="3">
        <f t="shared" si="8"/>
        <v>13019.495887792469</v>
      </c>
      <c r="AS225" s="3">
        <f t="shared" si="8"/>
        <v>13279.885805548318</v>
      </c>
      <c r="AT225" s="3">
        <f t="shared" si="8"/>
        <v>13545.483521659287</v>
      </c>
      <c r="AU225" s="3">
        <f t="shared" si="8"/>
        <v>13816.393192092473</v>
      </c>
      <c r="AV225" s="3">
        <f t="shared" si="8"/>
        <v>14092.721055934324</v>
      </c>
    </row>
    <row r="226" spans="1:48" ht="15" customHeight="1">
      <c r="E226" s="93" t="str">
        <f t="shared" si="5"/>
        <v>Cu forecast: Other2</v>
      </c>
      <c r="F226" s="93" t="str">
        <f t="shared" si="5"/>
        <v>Other2</v>
      </c>
      <c r="G226" s="93" t="s">
        <v>14</v>
      </c>
      <c r="K226" s="46"/>
      <c r="L226" s="3">
        <f t="shared" ref="L226:AV226" si="9" xml:space="preserve"> IF($H204 = $F$208, IF(L204 = 0, K226 * L$218 / MAX(1, K$218), L204), IF(L204 = 0, K226 * L$218 / MAX(1,K$218), L204 * L$218))</f>
        <v>0</v>
      </c>
      <c r="M226" s="3">
        <f t="shared" si="9"/>
        <v>0</v>
      </c>
      <c r="N226" s="3">
        <f t="shared" si="9"/>
        <v>0</v>
      </c>
      <c r="O226" s="3">
        <f t="shared" si="9"/>
        <v>0</v>
      </c>
      <c r="P226" s="3">
        <f t="shared" si="9"/>
        <v>0</v>
      </c>
      <c r="Q226" s="3">
        <f t="shared" si="9"/>
        <v>0</v>
      </c>
      <c r="R226" s="3">
        <f t="shared" si="9"/>
        <v>0</v>
      </c>
      <c r="S226" s="3">
        <f t="shared" si="9"/>
        <v>0</v>
      </c>
      <c r="T226" s="3">
        <f t="shared" si="9"/>
        <v>0</v>
      </c>
      <c r="U226" s="3">
        <f t="shared" si="9"/>
        <v>0</v>
      </c>
      <c r="V226" s="3">
        <f t="shared" si="9"/>
        <v>0</v>
      </c>
      <c r="W226" s="3">
        <f t="shared" si="9"/>
        <v>6000</v>
      </c>
      <c r="X226" s="3">
        <f t="shared" si="9"/>
        <v>6147.9245983842511</v>
      </c>
      <c r="Y226" s="3">
        <f t="shared" si="9"/>
        <v>6277.6673785866851</v>
      </c>
      <c r="Z226" s="3">
        <f t="shared" si="9"/>
        <v>6412.9817067508593</v>
      </c>
      <c r="AA226" s="3">
        <f t="shared" si="9"/>
        <v>6552.084687529019</v>
      </c>
      <c r="AB226" s="3">
        <f t="shared" si="9"/>
        <v>6694.5863125638416</v>
      </c>
      <c r="AC226" s="3">
        <f t="shared" si="9"/>
        <v>6828.4780388151185</v>
      </c>
      <c r="AD226" s="3">
        <f t="shared" si="9"/>
        <v>6965.0475995914203</v>
      </c>
      <c r="AE226" s="3">
        <f t="shared" si="9"/>
        <v>7104.3485515832499</v>
      </c>
      <c r="AF226" s="3">
        <f t="shared" si="9"/>
        <v>7246.4355226149137</v>
      </c>
      <c r="AG226" s="3">
        <f t="shared" si="9"/>
        <v>7391.3642330672128</v>
      </c>
      <c r="AH226" s="3">
        <f t="shared" si="9"/>
        <v>7539.1915177285573</v>
      </c>
      <c r="AI226" s="3">
        <f t="shared" si="9"/>
        <v>7689.9753480831287</v>
      </c>
      <c r="AJ226" s="3">
        <f t="shared" si="9"/>
        <v>7843.7748550447923</v>
      </c>
      <c r="AK226" s="3">
        <f t="shared" si="9"/>
        <v>8000.650352145688</v>
      </c>
      <c r="AL226" s="3">
        <f t="shared" si="9"/>
        <v>8160.6633591886011</v>
      </c>
      <c r="AM226" s="3">
        <f t="shared" si="9"/>
        <v>8323.8766263723737</v>
      </c>
      <c r="AN226" s="3">
        <f t="shared" si="9"/>
        <v>8490.3541588998214</v>
      </c>
      <c r="AO226" s="3">
        <f t="shared" si="9"/>
        <v>8660.1612420778183</v>
      </c>
      <c r="AP226" s="3">
        <f t="shared" si="9"/>
        <v>8833.3644669193745</v>
      </c>
      <c r="AQ226" s="3">
        <f t="shared" si="9"/>
        <v>9010.031756257762</v>
      </c>
      <c r="AR226" s="3">
        <f t="shared" si="9"/>
        <v>9190.2323913829168</v>
      </c>
      <c r="AS226" s="3">
        <f t="shared" si="9"/>
        <v>9374.0370392105742</v>
      </c>
      <c r="AT226" s="3">
        <f t="shared" si="9"/>
        <v>9561.5177799947887</v>
      </c>
      <c r="AU226" s="3">
        <f t="shared" si="9"/>
        <v>9752.7481355946838</v>
      </c>
      <c r="AV226" s="3">
        <f t="shared" si="9"/>
        <v>9947.8030983065764</v>
      </c>
    </row>
    <row r="227" spans="1:48" ht="15" customHeight="1">
      <c r="E227" s="93" t="str">
        <f t="shared" si="5"/>
        <v>Cu forecast: Other3</v>
      </c>
      <c r="F227" s="93" t="str">
        <f t="shared" si="5"/>
        <v>Other3</v>
      </c>
      <c r="G227" s="93" t="s">
        <v>14</v>
      </c>
      <c r="K227" s="46"/>
      <c r="L227" s="3">
        <f t="shared" ref="L227:AV227" si="10" xml:space="preserve"> IF($H205 = $F$208, IF(L205 = 0, K227 * L$218 / MAX(1, K$218), L205), IF(L205 = 0, K227 * L$218 / MAX(1,K$218), L205 * L$218))</f>
        <v>0</v>
      </c>
      <c r="M227" s="3">
        <f t="shared" si="10"/>
        <v>0</v>
      </c>
      <c r="N227" s="3">
        <f t="shared" si="10"/>
        <v>0</v>
      </c>
      <c r="O227" s="3">
        <f t="shared" si="10"/>
        <v>0</v>
      </c>
      <c r="P227" s="3">
        <f t="shared" si="10"/>
        <v>0</v>
      </c>
      <c r="Q227" s="3">
        <f t="shared" si="10"/>
        <v>0</v>
      </c>
      <c r="R227" s="3">
        <f t="shared" si="10"/>
        <v>0</v>
      </c>
      <c r="S227" s="3">
        <f t="shared" si="10"/>
        <v>0</v>
      </c>
      <c r="T227" s="3">
        <f t="shared" si="10"/>
        <v>0</v>
      </c>
      <c r="U227" s="3">
        <f t="shared" si="10"/>
        <v>0</v>
      </c>
      <c r="V227" s="3">
        <f t="shared" si="10"/>
        <v>0</v>
      </c>
      <c r="W227" s="3">
        <f t="shared" si="10"/>
        <v>6500</v>
      </c>
      <c r="X227" s="3">
        <f t="shared" si="10"/>
        <v>6660.2516482496058</v>
      </c>
      <c r="Y227" s="3">
        <f t="shared" si="10"/>
        <v>6800.8063268022415</v>
      </c>
      <c r="Z227" s="3">
        <f t="shared" si="10"/>
        <v>6947.3968489800973</v>
      </c>
      <c r="AA227" s="3">
        <f t="shared" si="10"/>
        <v>7098.0917448231039</v>
      </c>
      <c r="AB227" s="3">
        <f t="shared" si="10"/>
        <v>7252.4685052774948</v>
      </c>
      <c r="AC227" s="3">
        <f t="shared" si="10"/>
        <v>7397.517875383046</v>
      </c>
      <c r="AD227" s="3">
        <f t="shared" si="10"/>
        <v>7545.4682328907056</v>
      </c>
      <c r="AE227" s="3">
        <f t="shared" si="10"/>
        <v>7696.3775975485205</v>
      </c>
      <c r="AF227" s="3">
        <f t="shared" si="10"/>
        <v>7850.3051494994888</v>
      </c>
      <c r="AG227" s="3">
        <f t="shared" si="10"/>
        <v>8007.3112524894796</v>
      </c>
      <c r="AH227" s="3">
        <f t="shared" si="10"/>
        <v>8167.4574775392693</v>
      </c>
      <c r="AI227" s="3">
        <f t="shared" si="10"/>
        <v>8330.8066270900545</v>
      </c>
      <c r="AJ227" s="3">
        <f t="shared" si="10"/>
        <v>8497.422759631856</v>
      </c>
      <c r="AK227" s="3">
        <f t="shared" si="10"/>
        <v>8667.371214824494</v>
      </c>
      <c r="AL227" s="3">
        <f t="shared" si="10"/>
        <v>8840.7186391209834</v>
      </c>
      <c r="AM227" s="3">
        <f t="shared" si="10"/>
        <v>9017.5330119034043</v>
      </c>
      <c r="AN227" s="3">
        <f t="shared" si="10"/>
        <v>9197.8836721414718</v>
      </c>
      <c r="AO227" s="3">
        <f t="shared" si="10"/>
        <v>9381.841345584302</v>
      </c>
      <c r="AP227" s="3">
        <f t="shared" si="10"/>
        <v>9569.4781724959867</v>
      </c>
      <c r="AQ227" s="3">
        <f t="shared" si="10"/>
        <v>9760.8677359459052</v>
      </c>
      <c r="AR227" s="3">
        <f t="shared" si="10"/>
        <v>9956.0850906648229</v>
      </c>
      <c r="AS227" s="3">
        <f t="shared" si="10"/>
        <v>10155.20679247812</v>
      </c>
      <c r="AT227" s="3">
        <f t="shared" si="10"/>
        <v>10358.310928327684</v>
      </c>
      <c r="AU227" s="3">
        <f t="shared" si="10"/>
        <v>10565.477146894238</v>
      </c>
      <c r="AV227" s="3">
        <f t="shared" si="10"/>
        <v>10776.786689832123</v>
      </c>
    </row>
    <row r="228" spans="1:48" ht="15" customHeight="1">
      <c r="E228" s="298"/>
      <c r="F228" s="298" t="s">
        <v>613</v>
      </c>
      <c r="G228" s="298"/>
      <c r="H228" s="294"/>
      <c r="I228" s="295"/>
      <c r="J228" s="294"/>
      <c r="K228" s="46"/>
      <c r="L228" s="296"/>
      <c r="M228" s="296"/>
      <c r="N228" s="296"/>
      <c r="O228" s="296"/>
      <c r="P228" s="296"/>
      <c r="Q228" s="296"/>
      <c r="R228" s="296"/>
      <c r="S228" s="296"/>
      <c r="T228" s="296"/>
      <c r="U228" s="296"/>
      <c r="V228" s="296"/>
      <c r="W228" s="296"/>
      <c r="X228" s="296"/>
      <c r="Y228" s="296"/>
      <c r="Z228" s="296"/>
      <c r="AA228" s="296"/>
      <c r="AB228" s="296"/>
      <c r="AC228" s="296"/>
      <c r="AD228" s="296"/>
      <c r="AE228" s="296"/>
      <c r="AF228" s="296"/>
      <c r="AG228" s="296"/>
      <c r="AH228" s="296"/>
      <c r="AI228" s="296"/>
      <c r="AJ228" s="296"/>
      <c r="AK228" s="296"/>
      <c r="AL228" s="296"/>
      <c r="AM228" s="296"/>
      <c r="AN228" s="296"/>
      <c r="AO228" s="296"/>
      <c r="AP228" s="296"/>
      <c r="AQ228" s="296"/>
      <c r="AR228" s="296"/>
      <c r="AS228" s="296"/>
      <c r="AT228" s="296"/>
      <c r="AU228" s="296"/>
      <c r="AV228" s="296"/>
    </row>
    <row r="229" spans="1:48" ht="15" customHeight="1">
      <c r="K229" s="46"/>
    </row>
    <row r="230" spans="1:48" ht="15" customHeight="1">
      <c r="E230" s="108" t="str">
        <f xml:space="preserve"> Metalkol_Model1!E$39</f>
        <v>Copper forecast price</v>
      </c>
      <c r="F230" s="108" t="str">
        <f xml:space="preserve"> Metalkol_Model1!F$39</f>
        <v>IMF_WEO</v>
      </c>
      <c r="G230" s="108" t="str">
        <f xml:space="preserve"> Metalkol_Model1!G$39</f>
        <v>option selected</v>
      </c>
      <c r="K230" s="46"/>
    </row>
    <row r="231" spans="1:48" ht="15" customHeight="1">
      <c r="E231" s="93" t="str">
        <f t="shared" ref="E231:AV231" si="11" xml:space="preserve"> INDEX(E222:E228, MATCH($F230, $F222:$F228, 0))</f>
        <v>Cu forecast: IMF_WEO</v>
      </c>
      <c r="F231" s="93" t="str">
        <f t="shared" si="11"/>
        <v>IMF_WEO</v>
      </c>
      <c r="G231" s="93" t="str">
        <f t="shared" si="11"/>
        <v>$ / tonne</v>
      </c>
      <c r="H231" s="3">
        <f t="shared" si="11"/>
        <v>0</v>
      </c>
      <c r="I231" s="3">
        <f t="shared" si="11"/>
        <v>0</v>
      </c>
      <c r="J231" s="3">
        <f t="shared" si="11"/>
        <v>0</v>
      </c>
      <c r="K231" s="97">
        <f t="shared" si="11"/>
        <v>0</v>
      </c>
      <c r="L231" s="3">
        <f t="shared" si="11"/>
        <v>6863.3969999999999</v>
      </c>
      <c r="M231" s="3">
        <f t="shared" si="11"/>
        <v>5510.4570000000003</v>
      </c>
      <c r="N231" s="3">
        <f t="shared" si="11"/>
        <v>4867.8969999999999</v>
      </c>
      <c r="O231" s="3">
        <f t="shared" si="11"/>
        <v>6169.94</v>
      </c>
      <c r="P231" s="3">
        <f t="shared" si="11"/>
        <v>6529.7979999999998</v>
      </c>
      <c r="Q231" s="3">
        <f t="shared" si="11"/>
        <v>6010.1450000000004</v>
      </c>
      <c r="R231" s="3">
        <f t="shared" si="11"/>
        <v>6174.558</v>
      </c>
      <c r="S231" s="3">
        <f t="shared" si="11"/>
        <v>9317.4089999999997</v>
      </c>
      <c r="T231" s="3">
        <f t="shared" si="11"/>
        <v>8828.9169999999995</v>
      </c>
      <c r="U231" s="3">
        <f t="shared" si="11"/>
        <v>8490.7620000000006</v>
      </c>
      <c r="V231" s="3">
        <f t="shared" si="11"/>
        <v>8550.723</v>
      </c>
      <c r="W231" s="3">
        <f t="shared" si="11"/>
        <v>8661.2289999999994</v>
      </c>
      <c r="X231" s="3">
        <f t="shared" si="11"/>
        <v>8676.2919999999995</v>
      </c>
      <c r="Y231" s="3">
        <f t="shared" si="11"/>
        <v>8667.75</v>
      </c>
      <c r="Z231" s="3">
        <f t="shared" si="11"/>
        <v>8655.625</v>
      </c>
      <c r="AA231" s="3">
        <f t="shared" si="11"/>
        <v>8668.5</v>
      </c>
      <c r="AB231" s="3">
        <f t="shared" si="11"/>
        <v>8857.0316499289966</v>
      </c>
      <c r="AC231" s="3">
        <f t="shared" si="11"/>
        <v>9034.1722829275768</v>
      </c>
      <c r="AD231" s="3">
        <f t="shared" si="11"/>
        <v>9214.855728586128</v>
      </c>
      <c r="AE231" s="3">
        <f t="shared" si="11"/>
        <v>9399.1528431578517</v>
      </c>
      <c r="AF231" s="3">
        <f t="shared" si="11"/>
        <v>9587.1359000210068</v>
      </c>
      <c r="AG231" s="3">
        <f t="shared" si="11"/>
        <v>9778.8786180214283</v>
      </c>
      <c r="AH231" s="3">
        <f t="shared" si="11"/>
        <v>9974.4561903818576</v>
      </c>
      <c r="AI231" s="3">
        <f t="shared" si="11"/>
        <v>10173.945314189496</v>
      </c>
      <c r="AJ231" s="3">
        <f t="shared" si="11"/>
        <v>10377.424220473287</v>
      </c>
      <c r="AK231" s="3">
        <f t="shared" si="11"/>
        <v>10584.972704882754</v>
      </c>
      <c r="AL231" s="3">
        <f t="shared" si="11"/>
        <v>10796.672158980407</v>
      </c>
      <c r="AM231" s="3">
        <f t="shared" si="11"/>
        <v>11012.605602160016</v>
      </c>
      <c r="AN231" s="3">
        <f t="shared" si="11"/>
        <v>11232.857714203217</v>
      </c>
      <c r="AO231" s="3">
        <f t="shared" si="11"/>
        <v>11457.514868487282</v>
      </c>
      <c r="AP231" s="3">
        <f t="shared" si="11"/>
        <v>11686.665165857026</v>
      </c>
      <c r="AQ231" s="3">
        <f t="shared" si="11"/>
        <v>11920.398469174168</v>
      </c>
      <c r="AR231" s="3">
        <f t="shared" si="11"/>
        <v>12158.806438557651</v>
      </c>
      <c r="AS231" s="3">
        <f t="shared" si="11"/>
        <v>12401.982567328805</v>
      </c>
      <c r="AT231" s="3">
        <f t="shared" si="11"/>
        <v>12650.022218675384</v>
      </c>
      <c r="AU231" s="3">
        <f t="shared" si="11"/>
        <v>12903.022663048891</v>
      </c>
      <c r="AV231" s="3">
        <f t="shared" si="11"/>
        <v>13161.083116309868</v>
      </c>
    </row>
    <row r="232" spans="1:48" ht="15" customHeight="1">
      <c r="K232" s="46"/>
    </row>
    <row r="233" spans="1:48" ht="15" customHeight="1">
      <c r="B233" s="16" t="s">
        <v>284</v>
      </c>
      <c r="D233" s="38"/>
      <c r="I233" s="18"/>
      <c r="K233" s="46"/>
      <c r="U233" s="3"/>
      <c r="V233" s="3"/>
      <c r="W233" s="3"/>
    </row>
    <row r="234" spans="1:48" ht="15" customHeight="1">
      <c r="C234" s="17" t="s">
        <v>267</v>
      </c>
      <c r="D234" s="38"/>
      <c r="I234" s="18"/>
      <c r="K234" s="46"/>
    </row>
    <row r="235" spans="1:48" s="32" customFormat="1" ht="15" customHeight="1">
      <c r="A235" s="246"/>
      <c r="B235" s="246"/>
      <c r="C235" s="247"/>
      <c r="D235" s="252"/>
      <c r="E235" s="183" t="s">
        <v>285</v>
      </c>
      <c r="F235" s="183"/>
      <c r="G235" s="183" t="s">
        <v>14</v>
      </c>
      <c r="I235" s="32" t="str">
        <f xml:space="preserve"> Sources!I$6</f>
        <v>II</v>
      </c>
      <c r="J235" s="103"/>
      <c r="K235" s="253"/>
      <c r="L235" s="85"/>
      <c r="M235" s="85"/>
      <c r="N235" s="85"/>
      <c r="O235" s="85"/>
      <c r="P235" s="85"/>
      <c r="Q235" s="85"/>
      <c r="R235" s="85"/>
      <c r="S235" s="85">
        <v>24597</v>
      </c>
      <c r="T235" s="85">
        <v>26789</v>
      </c>
      <c r="U235" s="85">
        <v>23668</v>
      </c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</row>
    <row r="236" spans="1:48" s="32" customFormat="1" ht="15" customHeight="1">
      <c r="A236" s="16"/>
      <c r="B236" s="16"/>
      <c r="C236" s="17"/>
      <c r="D236" s="38"/>
      <c r="E236" s="183" t="s">
        <v>286</v>
      </c>
      <c r="F236" s="183"/>
      <c r="G236" s="183" t="s">
        <v>14</v>
      </c>
      <c r="I236" s="32" t="str">
        <f xml:space="preserve"> Sources!I$6</f>
        <v>II</v>
      </c>
      <c r="J236" s="18"/>
      <c r="K236" s="46"/>
      <c r="L236" s="85"/>
      <c r="M236" s="85"/>
      <c r="N236" s="85"/>
      <c r="O236" s="85"/>
      <c r="P236" s="85"/>
      <c r="Q236" s="85"/>
      <c r="R236" s="85"/>
      <c r="S236" s="85"/>
      <c r="T236" s="85">
        <v>31500</v>
      </c>
      <c r="U236" s="85">
        <v>24051</v>
      </c>
      <c r="V236" s="85">
        <v>32700</v>
      </c>
      <c r="W236" s="85"/>
      <c r="X236" s="85"/>
      <c r="Y236" s="85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</row>
    <row r="237" spans="1:48" s="32" customFormat="1" ht="15" customHeight="1">
      <c r="A237" s="16"/>
      <c r="B237" s="16"/>
      <c r="C237" s="17"/>
      <c r="D237" s="38"/>
      <c r="E237" s="183" t="s">
        <v>287</v>
      </c>
      <c r="F237" s="183"/>
      <c r="G237" s="183" t="s">
        <v>271</v>
      </c>
      <c r="I237" s="32" t="str">
        <f xml:space="preserve"> Sources!I$6</f>
        <v>II</v>
      </c>
      <c r="J237" s="18"/>
      <c r="K237" s="46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>
        <v>25.81</v>
      </c>
      <c r="X237" s="85">
        <v>36.79</v>
      </c>
      <c r="Y237" s="85">
        <v>15.91</v>
      </c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</row>
    <row r="238" spans="1:48" s="32" customFormat="1" ht="15" customHeight="1">
      <c r="A238" s="16"/>
      <c r="B238" s="16"/>
      <c r="C238" s="17"/>
      <c r="D238" s="38"/>
      <c r="E238" s="183" t="s">
        <v>288</v>
      </c>
      <c r="F238" s="183"/>
      <c r="G238" s="183" t="s">
        <v>14</v>
      </c>
      <c r="I238" s="6" t="str">
        <f xml:space="preserve"> Sources!I$28</f>
        <v>XXIII</v>
      </c>
      <c r="J238" s="18"/>
      <c r="K238" s="46"/>
      <c r="L238" s="85"/>
      <c r="M238" s="85"/>
      <c r="N238" s="59"/>
      <c r="O238" s="40">
        <v>35031</v>
      </c>
      <c r="P238" s="58">
        <v>41337</v>
      </c>
      <c r="Q238" s="85">
        <v>30005</v>
      </c>
      <c r="R238" s="85">
        <v>28783</v>
      </c>
      <c r="S238" s="85">
        <v>27029</v>
      </c>
      <c r="T238" s="85">
        <v>30866</v>
      </c>
      <c r="U238" s="85">
        <v>29233</v>
      </c>
      <c r="V238" s="85">
        <v>26433</v>
      </c>
      <c r="W238" s="85">
        <v>61288</v>
      </c>
      <c r="X238" s="85"/>
      <c r="Y238" s="54"/>
      <c r="Z238" s="85"/>
      <c r="AA238" s="85"/>
      <c r="AB238" s="85"/>
      <c r="AC238" s="85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</row>
    <row r="239" spans="1:48" s="32" customFormat="1" ht="15" customHeight="1">
      <c r="A239" s="16"/>
      <c r="B239" s="16"/>
      <c r="C239" s="17"/>
      <c r="D239" s="38"/>
      <c r="E239" s="183" t="s">
        <v>289</v>
      </c>
      <c r="F239" s="183"/>
      <c r="G239" s="183" t="s">
        <v>271</v>
      </c>
      <c r="I239" s="6" t="str">
        <f xml:space="preserve"> Sources!I$28</f>
        <v>XXIII</v>
      </c>
      <c r="J239" s="18"/>
      <c r="K239" s="46"/>
      <c r="L239" s="85"/>
      <c r="M239" s="85"/>
      <c r="N239" s="85"/>
      <c r="O239" s="85">
        <v>15.89</v>
      </c>
      <c r="P239" s="85">
        <v>18.75</v>
      </c>
      <c r="Q239" s="85">
        <v>13.61</v>
      </c>
      <c r="R239" s="85">
        <v>13.06</v>
      </c>
      <c r="S239" s="85">
        <v>12.26</v>
      </c>
      <c r="T239" s="85">
        <v>14</v>
      </c>
      <c r="U239" s="85">
        <v>13.26</v>
      </c>
      <c r="V239" s="85">
        <v>11.99</v>
      </c>
      <c r="W239" s="85">
        <v>27.8</v>
      </c>
      <c r="X239" s="85"/>
      <c r="Y239" s="85"/>
      <c r="Z239" s="85"/>
      <c r="AA239" s="85"/>
      <c r="AB239" s="85"/>
      <c r="AC239" s="85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</row>
    <row r="240" spans="1:48" s="32" customFormat="1" ht="15" customHeight="1">
      <c r="A240" s="16"/>
      <c r="B240" s="16"/>
      <c r="C240" s="17"/>
      <c r="D240" s="38"/>
      <c r="E240" s="183" t="s">
        <v>274</v>
      </c>
      <c r="F240" s="183"/>
      <c r="G240" s="183" t="s">
        <v>271</v>
      </c>
      <c r="I240" s="6" t="str">
        <f xml:space="preserve"> Sources!I$30</f>
        <v>XXV</v>
      </c>
      <c r="J240" s="18"/>
      <c r="K240" s="46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>
        <v>24.95</v>
      </c>
      <c r="Y240" s="85">
        <v>24.95</v>
      </c>
      <c r="Z240" s="85">
        <v>24.95</v>
      </c>
      <c r="AA240" s="85">
        <v>24.95</v>
      </c>
      <c r="AB240" s="85">
        <v>24.95</v>
      </c>
      <c r="AC240" s="85">
        <v>24.95</v>
      </c>
      <c r="AD240" s="85">
        <v>24.95</v>
      </c>
      <c r="AE240" s="85">
        <v>24.95</v>
      </c>
      <c r="AF240" s="85">
        <v>24.95</v>
      </c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</row>
    <row r="241" spans="1:48" s="32" customFormat="1" ht="15" customHeight="1">
      <c r="A241" s="16"/>
      <c r="B241" s="16"/>
      <c r="C241" s="17"/>
      <c r="D241" s="38"/>
      <c r="E241" s="183" t="s">
        <v>275</v>
      </c>
      <c r="F241" s="183"/>
      <c r="G241" s="183" t="s">
        <v>271</v>
      </c>
      <c r="I241" s="6" t="str">
        <f xml:space="preserve"> Sources!I$28</f>
        <v>XXIII</v>
      </c>
      <c r="J241" s="18"/>
      <c r="K241" s="46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>
        <v>12.7</v>
      </c>
      <c r="Z241" s="85">
        <v>20</v>
      </c>
      <c r="AA241" s="85">
        <v>27</v>
      </c>
      <c r="AB241" s="85">
        <v>27</v>
      </c>
      <c r="AC241" s="85">
        <v>27</v>
      </c>
      <c r="AD241" s="85">
        <v>27</v>
      </c>
      <c r="AE241" s="85">
        <v>27</v>
      </c>
      <c r="AF241" s="85">
        <v>27</v>
      </c>
      <c r="AG241" s="85">
        <v>27</v>
      </c>
      <c r="AH241" s="85">
        <v>27</v>
      </c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</row>
    <row r="242" spans="1:48" s="46" customFormat="1" ht="15" customHeight="1">
      <c r="A242" s="42"/>
      <c r="B242" s="42"/>
      <c r="C242" s="43"/>
      <c r="D242" s="44"/>
      <c r="E242" s="323"/>
      <c r="F242" s="323"/>
      <c r="G242" s="323"/>
      <c r="J242" s="45"/>
      <c r="L242" s="55"/>
      <c r="M242" s="55"/>
      <c r="N242" s="55"/>
      <c r="O242" s="6"/>
      <c r="P242" s="55"/>
      <c r="Q242" s="55"/>
      <c r="R242" s="55"/>
      <c r="S242" s="55"/>
      <c r="T242" s="55"/>
      <c r="U242" s="55"/>
      <c r="V242" s="55"/>
      <c r="W242" s="56"/>
      <c r="X242" s="56"/>
      <c r="Y242" s="56"/>
      <c r="Z242" s="55"/>
      <c r="AA242" s="55"/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</row>
    <row r="243" spans="1:48" s="32" customFormat="1" ht="15" customHeight="1">
      <c r="A243" s="16"/>
      <c r="B243" s="16"/>
      <c r="C243" s="17" t="s">
        <v>276</v>
      </c>
      <c r="D243" s="38"/>
      <c r="E243" s="183"/>
      <c r="F243" s="183"/>
      <c r="G243" s="183"/>
      <c r="J243" s="18"/>
      <c r="K243" s="46"/>
      <c r="L243" s="55"/>
      <c r="M243" s="55"/>
      <c r="N243" s="55"/>
      <c r="O243" s="55"/>
      <c r="P243" s="55"/>
      <c r="Q243" s="55"/>
      <c r="R243" s="55"/>
      <c r="S243" s="55"/>
      <c r="T243" s="56"/>
      <c r="U243" s="56"/>
      <c r="V243" s="56"/>
      <c r="W243" s="55"/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</row>
    <row r="244" spans="1:48" s="32" customFormat="1" ht="15" customHeight="1">
      <c r="A244" s="16"/>
      <c r="B244" s="16"/>
      <c r="C244" s="17"/>
      <c r="D244" s="38"/>
      <c r="E244" s="183" t="s">
        <v>277</v>
      </c>
      <c r="F244" s="183"/>
      <c r="G244" s="183" t="s">
        <v>14</v>
      </c>
      <c r="I244" s="32" t="str">
        <f xml:space="preserve"> Sources!I$7</f>
        <v>III</v>
      </c>
      <c r="J244" s="18"/>
      <c r="K244" s="46"/>
      <c r="L244" s="85"/>
      <c r="M244" s="85"/>
      <c r="N244" s="85"/>
      <c r="O244" s="85"/>
      <c r="P244" s="85">
        <v>37915.613621262462</v>
      </c>
      <c r="Q244" s="85">
        <v>23393.025601516711</v>
      </c>
      <c r="R244" s="85">
        <v>26096.608442158846</v>
      </c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</row>
    <row r="245" spans="1:48" s="32" customFormat="1" ht="15" customHeight="1">
      <c r="A245" s="246"/>
      <c r="B245" s="246"/>
      <c r="C245" s="247"/>
      <c r="D245" s="252"/>
      <c r="E245" s="183" t="s">
        <v>278</v>
      </c>
      <c r="F245" s="183"/>
      <c r="G245" s="183" t="s">
        <v>14</v>
      </c>
      <c r="I245" s="32" t="str">
        <f xml:space="preserve"> Sources!I$7</f>
        <v>III</v>
      </c>
      <c r="J245" s="103"/>
      <c r="K245" s="253"/>
      <c r="L245" s="85"/>
      <c r="M245" s="85"/>
      <c r="N245" s="85"/>
      <c r="O245" s="85"/>
      <c r="P245" s="85">
        <v>37837.342671559352</v>
      </c>
      <c r="Q245" s="85">
        <v>23569.529749616766</v>
      </c>
      <c r="R245" s="85">
        <v>22218.616284913183</v>
      </c>
      <c r="S245" s="85">
        <v>37140.38136559639</v>
      </c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</row>
    <row r="246" spans="1:48" s="46" customFormat="1" ht="15" customHeight="1">
      <c r="A246" s="42"/>
      <c r="B246" s="42"/>
      <c r="C246" s="43"/>
      <c r="D246" s="44"/>
      <c r="E246" s="323"/>
      <c r="F246" s="323"/>
      <c r="G246" s="323"/>
      <c r="J246" s="45"/>
      <c r="L246" s="55"/>
      <c r="M246" s="55"/>
      <c r="N246" s="55"/>
      <c r="O246" s="55"/>
      <c r="P246" s="55"/>
      <c r="Q246" s="55"/>
      <c r="R246" s="55"/>
      <c r="S246" s="55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</row>
    <row r="247" spans="1:48" s="32" customFormat="1" ht="15" customHeight="1">
      <c r="A247" s="16"/>
      <c r="B247" s="16"/>
      <c r="C247" s="17" t="s">
        <v>279</v>
      </c>
      <c r="D247" s="38"/>
      <c r="E247" s="183"/>
      <c r="F247" s="183"/>
      <c r="G247" s="183"/>
      <c r="J247" s="18"/>
      <c r="K247" s="46"/>
      <c r="L247" s="55"/>
      <c r="M247" s="55"/>
      <c r="N247" s="55"/>
      <c r="O247" s="55"/>
      <c r="P247" s="55"/>
      <c r="Q247" s="55"/>
      <c r="R247" s="55"/>
      <c r="S247" s="55"/>
      <c r="T247" s="56"/>
      <c r="U247" s="56"/>
      <c r="V247" s="56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</row>
    <row r="248" spans="1:48" s="32" customFormat="1" ht="15" customHeight="1">
      <c r="A248" s="16"/>
      <c r="B248" s="16"/>
      <c r="C248" s="17"/>
      <c r="D248" s="38"/>
      <c r="E248" s="183" t="s">
        <v>290</v>
      </c>
      <c r="F248" s="183"/>
      <c r="G248" s="183" t="s">
        <v>14</v>
      </c>
      <c r="I248" s="565" t="str">
        <f xml:space="preserve"> Sources!I$11</f>
        <v>VII</v>
      </c>
      <c r="J248" s="18"/>
      <c r="K248" s="46"/>
      <c r="L248" s="40">
        <v>30801.474472639933</v>
      </c>
      <c r="M248" s="40">
        <v>28475.138962234018</v>
      </c>
      <c r="N248" s="40">
        <v>25457.973813352826</v>
      </c>
      <c r="O248" s="40">
        <v>55812.918144319126</v>
      </c>
      <c r="P248" s="40">
        <v>72880.813571715247</v>
      </c>
      <c r="Q248" s="40">
        <v>33212.65432671352</v>
      </c>
      <c r="R248" s="40">
        <v>31488.751904155153</v>
      </c>
      <c r="S248" s="40">
        <v>51247.136222782749</v>
      </c>
      <c r="T248" s="40">
        <v>63782.640008927956</v>
      </c>
      <c r="U248" s="40">
        <v>34357.907638366058</v>
      </c>
      <c r="V248" s="40">
        <v>26377.481795872256</v>
      </c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</row>
    <row r="249" spans="1:48" s="32" customFormat="1" ht="15" customHeight="1">
      <c r="A249" s="16"/>
      <c r="B249" s="16"/>
      <c r="C249" s="17"/>
      <c r="D249" s="38"/>
      <c r="E249" s="183" t="s">
        <v>291</v>
      </c>
      <c r="F249" s="183"/>
      <c r="G249" s="183" t="s">
        <v>14</v>
      </c>
      <c r="I249" s="565" t="str">
        <f xml:space="preserve"> Sources!I$12</f>
        <v>VIII</v>
      </c>
      <c r="J249" s="18"/>
      <c r="K249" s="46"/>
      <c r="L249" s="85"/>
      <c r="M249" s="85"/>
      <c r="N249" s="85"/>
      <c r="O249" s="85"/>
      <c r="P249" s="85">
        <v>82933.533333333326</v>
      </c>
      <c r="Q249" s="85">
        <v>38740.14</v>
      </c>
      <c r="R249" s="85">
        <v>34843.676666666666</v>
      </c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</row>
    <row r="250" spans="1:48" s="32" customFormat="1" ht="15" customHeight="1">
      <c r="A250" s="246"/>
      <c r="B250" s="246"/>
      <c r="C250" s="247"/>
      <c r="D250" s="252"/>
      <c r="E250" s="183" t="s">
        <v>292</v>
      </c>
      <c r="F250" s="183"/>
      <c r="G250" s="183" t="s">
        <v>14</v>
      </c>
      <c r="I250" s="6" t="str">
        <f xml:space="preserve"> Sources!I$13</f>
        <v>IX</v>
      </c>
      <c r="J250" s="103"/>
      <c r="K250" s="253"/>
      <c r="L250" s="40">
        <v>30780.7319565531</v>
      </c>
      <c r="M250" s="40">
        <v>28451.660698559601</v>
      </c>
      <c r="N250" s="40">
        <v>25463.3685425685</v>
      </c>
      <c r="O250" s="40">
        <v>55832.1709807429</v>
      </c>
      <c r="P250" s="40">
        <v>72911.236898013303</v>
      </c>
      <c r="Q250" s="40">
        <v>33177.6323053909</v>
      </c>
      <c r="R250" s="40">
        <v>31444.926902256499</v>
      </c>
      <c r="S250" s="40">
        <v>51235.518379838803</v>
      </c>
      <c r="T250" s="40">
        <v>63764.719304065497</v>
      </c>
      <c r="U250" s="40">
        <v>34275.041504525099</v>
      </c>
      <c r="V250" s="40">
        <v>26326.827560543301</v>
      </c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</row>
    <row r="251" spans="1:48" s="32" customFormat="1" ht="15" customHeight="1">
      <c r="A251" s="16"/>
      <c r="B251" s="16"/>
      <c r="C251" s="17"/>
      <c r="D251" s="38"/>
      <c r="E251" s="93"/>
      <c r="F251" s="93"/>
      <c r="G251" s="93"/>
      <c r="H251" s="18"/>
      <c r="I251" s="18"/>
      <c r="J251" s="18"/>
      <c r="K251" s="46"/>
      <c r="T251" s="6"/>
      <c r="X251" s="6"/>
      <c r="Y251" s="6"/>
      <c r="Z251" s="6"/>
    </row>
    <row r="252" spans="1:48" ht="15" customHeight="1">
      <c r="C252" s="17" t="s">
        <v>635</v>
      </c>
      <c r="D252" s="38"/>
      <c r="I252" s="18"/>
      <c r="K252" s="46"/>
      <c r="T252" s="3"/>
      <c r="X252" s="3"/>
      <c r="Y252" s="3"/>
      <c r="Z252" s="3"/>
    </row>
    <row r="253" spans="1:48" ht="15" customHeight="1">
      <c r="D253" s="38"/>
      <c r="E253" s="93" t="str">
        <f t="shared" ref="E253:AV253" si="12" xml:space="preserve"> E$192</f>
        <v>IMF WEO April 2024 Copper, grade A cathode, LME spot price, CIF European ports,</v>
      </c>
      <c r="F253" s="93">
        <f t="shared" si="12"/>
        <v>0</v>
      </c>
      <c r="G253" s="93" t="str">
        <f t="shared" si="12"/>
        <v>US$ per metric tonne</v>
      </c>
      <c r="H253" s="3">
        <f t="shared" si="12"/>
        <v>0</v>
      </c>
      <c r="I253" s="3" t="str">
        <f t="shared" si="12"/>
        <v>to add, from WEO file</v>
      </c>
      <c r="J253" s="3">
        <f t="shared" si="12"/>
        <v>0</v>
      </c>
      <c r="K253" s="97">
        <f t="shared" si="12"/>
        <v>0</v>
      </c>
      <c r="L253" s="3" t="e">
        <f>#REF!</f>
        <v>#REF!</v>
      </c>
      <c r="M253" s="3" t="e">
        <f>#REF!</f>
        <v>#REF!</v>
      </c>
      <c r="N253" s="3" t="e">
        <f>#REF!</f>
        <v>#REF!</v>
      </c>
      <c r="O253" s="3" t="e">
        <f>#REF!</f>
        <v>#REF!</v>
      </c>
      <c r="P253" s="3" t="e">
        <f>#REF!</f>
        <v>#REF!</v>
      </c>
      <c r="Q253" s="3" t="e">
        <f>#REF!</f>
        <v>#REF!</v>
      </c>
      <c r="R253" s="3" t="e">
        <f>#REF!</f>
        <v>#REF!</v>
      </c>
      <c r="S253" s="3" t="e">
        <f>#REF!</f>
        <v>#REF!</v>
      </c>
      <c r="T253" s="3">
        <f t="shared" ref="T253:AD253" si="13" xml:space="preserve"> L$192</f>
        <v>6863.3969999999999</v>
      </c>
      <c r="U253" s="3">
        <f t="shared" si="13"/>
        <v>5510.4570000000003</v>
      </c>
      <c r="V253" s="3">
        <f t="shared" si="13"/>
        <v>4867.8969999999999</v>
      </c>
      <c r="W253" s="3">
        <f t="shared" si="13"/>
        <v>6169.94</v>
      </c>
      <c r="X253" s="3">
        <f t="shared" si="13"/>
        <v>6529.7979999999998</v>
      </c>
      <c r="Y253" s="3">
        <f t="shared" si="13"/>
        <v>6010.1450000000004</v>
      </c>
      <c r="Z253" s="3">
        <f t="shared" si="13"/>
        <v>6174.558</v>
      </c>
      <c r="AA253" s="3">
        <f t="shared" si="13"/>
        <v>9317.4089999999997</v>
      </c>
      <c r="AB253" s="3">
        <f t="shared" si="13"/>
        <v>8828.9169999999995</v>
      </c>
      <c r="AC253" s="3">
        <f t="shared" si="13"/>
        <v>8490.7620000000006</v>
      </c>
      <c r="AD253" s="3">
        <f t="shared" si="13"/>
        <v>8550.723</v>
      </c>
      <c r="AE253" s="3">
        <f t="shared" si="12"/>
        <v>0</v>
      </c>
      <c r="AF253" s="3">
        <f t="shared" si="12"/>
        <v>0</v>
      </c>
      <c r="AG253" s="3">
        <f t="shared" si="12"/>
        <v>0</v>
      </c>
      <c r="AH253" s="3">
        <f t="shared" si="12"/>
        <v>0</v>
      </c>
      <c r="AI253" s="3">
        <f t="shared" si="12"/>
        <v>0</v>
      </c>
      <c r="AJ253" s="3">
        <f t="shared" si="12"/>
        <v>0</v>
      </c>
      <c r="AK253" s="3">
        <f t="shared" si="12"/>
        <v>0</v>
      </c>
      <c r="AL253" s="3">
        <f t="shared" si="12"/>
        <v>0</v>
      </c>
      <c r="AM253" s="3">
        <f t="shared" si="12"/>
        <v>0</v>
      </c>
      <c r="AN253" s="3">
        <f t="shared" si="12"/>
        <v>0</v>
      </c>
      <c r="AO253" s="3">
        <f t="shared" si="12"/>
        <v>0</v>
      </c>
      <c r="AP253" s="3">
        <f t="shared" si="12"/>
        <v>0</v>
      </c>
      <c r="AQ253" s="3">
        <f t="shared" si="12"/>
        <v>0</v>
      </c>
      <c r="AR253" s="3">
        <f t="shared" si="12"/>
        <v>0</v>
      </c>
      <c r="AS253" s="3">
        <f t="shared" si="12"/>
        <v>0</v>
      </c>
      <c r="AT253" s="3">
        <f t="shared" si="12"/>
        <v>0</v>
      </c>
      <c r="AU253" s="3">
        <f t="shared" si="12"/>
        <v>0</v>
      </c>
      <c r="AV253" s="3">
        <f t="shared" si="12"/>
        <v>0</v>
      </c>
    </row>
    <row r="254" spans="1:48" ht="15" customHeight="1">
      <c r="D254" s="38"/>
      <c r="E254" s="93" t="s">
        <v>634</v>
      </c>
      <c r="G254" s="93" t="s">
        <v>148</v>
      </c>
      <c r="I254" s="18"/>
      <c r="K254" s="46"/>
      <c r="L254" s="373">
        <f t="shared" ref="L254:AV254" si="14" xml:space="preserve"> IFERROR(L250 / L253, 0)</f>
        <v>0</v>
      </c>
      <c r="M254" s="373">
        <f t="shared" si="14"/>
        <v>0</v>
      </c>
      <c r="N254" s="373">
        <f t="shared" si="14"/>
        <v>0</v>
      </c>
      <c r="O254" s="373">
        <f t="shared" si="14"/>
        <v>0</v>
      </c>
      <c r="P254" s="373">
        <f t="shared" si="14"/>
        <v>0</v>
      </c>
      <c r="Q254" s="373">
        <f t="shared" si="14"/>
        <v>0</v>
      </c>
      <c r="R254" s="373">
        <f t="shared" si="14"/>
        <v>0</v>
      </c>
      <c r="S254" s="373">
        <f t="shared" si="14"/>
        <v>0</v>
      </c>
      <c r="T254" s="373">
        <f t="shared" si="14"/>
        <v>9.2905480047366478</v>
      </c>
      <c r="U254" s="373">
        <f t="shared" si="14"/>
        <v>6.2199998120891058</v>
      </c>
      <c r="V254" s="373">
        <f t="shared" si="14"/>
        <v>5.4082548502039591</v>
      </c>
      <c r="W254" s="373">
        <f t="shared" si="14"/>
        <v>0</v>
      </c>
      <c r="X254" s="373">
        <f t="shared" si="14"/>
        <v>0</v>
      </c>
      <c r="Y254" s="373">
        <f t="shared" si="14"/>
        <v>0</v>
      </c>
      <c r="Z254" s="373">
        <f t="shared" si="14"/>
        <v>0</v>
      </c>
      <c r="AA254" s="373">
        <f t="shared" si="14"/>
        <v>0</v>
      </c>
      <c r="AB254" s="373">
        <f t="shared" si="14"/>
        <v>0</v>
      </c>
      <c r="AC254" s="373">
        <f t="shared" si="14"/>
        <v>0</v>
      </c>
      <c r="AD254" s="373">
        <f t="shared" si="14"/>
        <v>0</v>
      </c>
      <c r="AE254" s="373">
        <f t="shared" si="14"/>
        <v>0</v>
      </c>
      <c r="AF254" s="373">
        <f t="shared" si="14"/>
        <v>0</v>
      </c>
      <c r="AG254" s="373">
        <f t="shared" si="14"/>
        <v>0</v>
      </c>
      <c r="AH254" s="373">
        <f t="shared" si="14"/>
        <v>0</v>
      </c>
      <c r="AI254" s="373">
        <f t="shared" si="14"/>
        <v>0</v>
      </c>
      <c r="AJ254" s="373">
        <f t="shared" si="14"/>
        <v>0</v>
      </c>
      <c r="AK254" s="373">
        <f t="shared" si="14"/>
        <v>0</v>
      </c>
      <c r="AL254" s="373">
        <f t="shared" si="14"/>
        <v>0</v>
      </c>
      <c r="AM254" s="373">
        <f t="shared" si="14"/>
        <v>0</v>
      </c>
      <c r="AN254" s="373">
        <f t="shared" si="14"/>
        <v>0</v>
      </c>
      <c r="AO254" s="373">
        <f t="shared" si="14"/>
        <v>0</v>
      </c>
      <c r="AP254" s="373">
        <f t="shared" si="14"/>
        <v>0</v>
      </c>
      <c r="AQ254" s="373">
        <f t="shared" si="14"/>
        <v>0</v>
      </c>
      <c r="AR254" s="373">
        <f t="shared" si="14"/>
        <v>0</v>
      </c>
      <c r="AS254" s="373">
        <f t="shared" si="14"/>
        <v>0</v>
      </c>
      <c r="AT254" s="373">
        <f t="shared" si="14"/>
        <v>0</v>
      </c>
      <c r="AU254" s="373">
        <f t="shared" si="14"/>
        <v>0</v>
      </c>
      <c r="AV254" s="373">
        <f t="shared" si="14"/>
        <v>0</v>
      </c>
    </row>
    <row r="255" spans="1:48" ht="15" customHeight="1">
      <c r="D255" s="38"/>
      <c r="E255" s="93" t="str">
        <f>E254</f>
        <v>Cobalt price as % of Cu price</v>
      </c>
      <c r="F255" s="93">
        <f xml:space="preserve"> AVERAGEIF(L254:AV254, "&gt;0")</f>
        <v>6.9729342223432376</v>
      </c>
      <c r="G255" s="93" t="str">
        <f xml:space="preserve"> G254</f>
        <v>factor</v>
      </c>
      <c r="I255" s="18"/>
      <c r="K255" s="46"/>
      <c r="L255" s="364"/>
      <c r="M255" s="364"/>
      <c r="N255" s="364"/>
      <c r="O255" s="364"/>
      <c r="P255" s="364"/>
      <c r="Q255" s="364"/>
      <c r="R255" s="364"/>
      <c r="S255" s="364"/>
      <c r="T255" s="364"/>
      <c r="U255" s="364"/>
      <c r="V255" s="364"/>
      <c r="W255" s="364"/>
      <c r="X255" s="364"/>
      <c r="Y255" s="364"/>
      <c r="Z255" s="364"/>
      <c r="AA255" s="364"/>
      <c r="AB255" s="364"/>
      <c r="AC255" s="364"/>
      <c r="AD255" s="364"/>
      <c r="AE255" s="364"/>
      <c r="AF255" s="364"/>
      <c r="AG255" s="364"/>
      <c r="AH255" s="364"/>
      <c r="AI255" s="364"/>
      <c r="AJ255" s="364"/>
      <c r="AK255" s="364"/>
      <c r="AL255" s="364"/>
      <c r="AM255" s="364"/>
      <c r="AN255" s="364"/>
      <c r="AO255" s="364"/>
      <c r="AP255" s="364"/>
      <c r="AQ255" s="364"/>
      <c r="AR255" s="364"/>
      <c r="AS255" s="364"/>
      <c r="AT255" s="364"/>
      <c r="AU255" s="364"/>
      <c r="AV255" s="364"/>
    </row>
    <row r="256" spans="1:48" ht="15" customHeight="1">
      <c r="D256" s="38"/>
      <c r="I256" s="18"/>
      <c r="K256" s="46"/>
      <c r="T256" s="3"/>
      <c r="X256" s="3"/>
      <c r="Y256" s="3"/>
      <c r="Z256" s="3"/>
    </row>
    <row r="257" spans="1:48" ht="15" customHeight="1">
      <c r="C257" s="17" t="s">
        <v>631</v>
      </c>
      <c r="K257" s="46"/>
    </row>
    <row r="258" spans="1:48" ht="15" customHeight="1">
      <c r="E258" s="93" t="str">
        <f>"Co forecast: " &amp; F258</f>
        <v>Co forecast: Fut_17Apr25</v>
      </c>
      <c r="F258" s="242" t="s">
        <v>604</v>
      </c>
      <c r="G258" s="93" t="s">
        <v>271</v>
      </c>
      <c r="H258" s="104" t="s">
        <v>599</v>
      </c>
      <c r="K258" s="46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299">
        <v>16.3</v>
      </c>
      <c r="AF258" s="363">
        <v>17</v>
      </c>
      <c r="AG258" s="363">
        <v>18</v>
      </c>
      <c r="AH258" s="363">
        <v>18</v>
      </c>
      <c r="AI258" s="363">
        <v>18</v>
      </c>
      <c r="AJ258" s="104"/>
      <c r="AK258" s="104"/>
      <c r="AL258" s="104"/>
      <c r="AM258" s="104"/>
      <c r="AN258" s="104"/>
      <c r="AO258" s="104"/>
      <c r="AP258" s="104"/>
      <c r="AQ258" s="104"/>
      <c r="AR258" s="104"/>
      <c r="AS258" s="104"/>
      <c r="AT258" s="104"/>
      <c r="AU258" s="104"/>
      <c r="AV258" s="104"/>
    </row>
    <row r="259" spans="1:48" ht="15" customHeight="1">
      <c r="E259" s="93" t="str">
        <f xml:space="preserve"> InputsCon!E$201</f>
        <v>Convert  lb / tonnes</v>
      </c>
      <c r="F259" s="93">
        <f xml:space="preserve"> InputsCon!F$201</f>
        <v>2204.62</v>
      </c>
      <c r="G259" s="93" t="str">
        <f xml:space="preserve"> InputsCon!G$201</f>
        <v>lb / tonne</v>
      </c>
      <c r="K259" s="46"/>
      <c r="AE259" s="105" t="s">
        <v>632</v>
      </c>
    </row>
    <row r="260" spans="1:48" ht="15" customHeight="1">
      <c r="K260" s="46"/>
    </row>
    <row r="261" spans="1:48" ht="15" customHeight="1">
      <c r="E261" s="108" t="str">
        <f xml:space="preserve"> InputsCon!E$49</f>
        <v>Constant real terms Co price forecast</v>
      </c>
      <c r="F261" s="108">
        <f xml:space="preserve"> InputsCon!F$49</f>
        <v>35000</v>
      </c>
      <c r="G261" s="108" t="str">
        <f xml:space="preserve"> InputsCon!G$49</f>
        <v>$ / tonne</v>
      </c>
      <c r="K261" s="46"/>
    </row>
    <row r="262" spans="1:48" ht="15" customHeight="1">
      <c r="E262" s="183" t="s">
        <v>636</v>
      </c>
      <c r="F262" s="183">
        <f xml:space="preserve"> F$255</f>
        <v>6.9729342223432376</v>
      </c>
      <c r="G262" s="183" t="s">
        <v>148</v>
      </c>
      <c r="K262" s="46"/>
    </row>
    <row r="263" spans="1:48" ht="15" customHeight="1">
      <c r="K263" s="46"/>
    </row>
    <row r="264" spans="1:48" ht="15" customHeight="1">
      <c r="E264" s="298"/>
      <c r="F264" s="298" t="s">
        <v>612</v>
      </c>
      <c r="G264" s="298"/>
      <c r="H264" s="294"/>
      <c r="I264" s="295"/>
      <c r="J264" s="294"/>
      <c r="K264" s="294"/>
      <c r="L264" s="294"/>
      <c r="M264" s="294"/>
      <c r="N264" s="294"/>
      <c r="O264" s="294"/>
      <c r="P264" s="294"/>
      <c r="Q264" s="294"/>
      <c r="R264" s="294"/>
      <c r="S264" s="294"/>
      <c r="T264" s="294"/>
      <c r="U264" s="294"/>
      <c r="V264" s="294"/>
      <c r="W264" s="294"/>
      <c r="X264" s="294"/>
      <c r="Y264" s="294"/>
      <c r="Z264" s="294"/>
      <c r="AA264" s="294"/>
      <c r="AB264" s="294"/>
      <c r="AC264" s="294"/>
      <c r="AD264" s="294"/>
      <c r="AE264" s="294"/>
      <c r="AF264" s="294"/>
      <c r="AG264" s="294"/>
      <c r="AH264" s="294"/>
      <c r="AI264" s="294"/>
      <c r="AJ264" s="294"/>
      <c r="AK264" s="294"/>
      <c r="AL264" s="294"/>
      <c r="AM264" s="294"/>
      <c r="AN264" s="294"/>
      <c r="AO264" s="294"/>
      <c r="AP264" s="294"/>
      <c r="AQ264" s="294"/>
      <c r="AR264" s="294"/>
      <c r="AS264" s="294"/>
      <c r="AT264" s="294"/>
      <c r="AU264" s="294"/>
      <c r="AV264" s="294"/>
    </row>
    <row r="265" spans="1:48" s="3" customFormat="1" ht="15" customHeight="1">
      <c r="A265" s="95"/>
      <c r="B265" s="95"/>
      <c r="C265" s="96"/>
      <c r="E265" s="93" t="str">
        <f>"Co forecast: " &amp; F265</f>
        <v>Co forecast: Fut_17Apr25</v>
      </c>
      <c r="F265" s="242" t="s">
        <v>604</v>
      </c>
      <c r="G265" s="93" t="s">
        <v>14</v>
      </c>
      <c r="H265" s="289" t="s">
        <v>599</v>
      </c>
      <c r="I265" s="97"/>
      <c r="K265" s="98"/>
      <c r="L265" s="289">
        <v>0</v>
      </c>
      <c r="M265" s="289">
        <v>0</v>
      </c>
      <c r="N265" s="289">
        <v>0</v>
      </c>
      <c r="O265" s="289">
        <v>0</v>
      </c>
      <c r="P265" s="289">
        <v>0</v>
      </c>
      <c r="Q265" s="289">
        <v>0</v>
      </c>
      <c r="R265" s="289">
        <v>0</v>
      </c>
      <c r="S265" s="289">
        <v>0</v>
      </c>
      <c r="T265" s="289">
        <v>0</v>
      </c>
      <c r="U265" s="289">
        <v>0</v>
      </c>
      <c r="V265" s="289">
        <v>0</v>
      </c>
      <c r="W265" s="289">
        <f xml:space="preserve"> AE258 * $F259</f>
        <v>35935.305999999997</v>
      </c>
      <c r="X265" s="289">
        <f xml:space="preserve"> AF258 * $F259</f>
        <v>37478.54</v>
      </c>
      <c r="Y265" s="289">
        <f xml:space="preserve"> AG258 * $F259</f>
        <v>39683.159999999996</v>
      </c>
      <c r="Z265" s="289">
        <f xml:space="preserve"> AH258 * $F259</f>
        <v>39683.159999999996</v>
      </c>
      <c r="AA265" s="289">
        <f xml:space="preserve"> AI258 * $F259</f>
        <v>39683.159999999996</v>
      </c>
      <c r="AB265" s="289">
        <v>0</v>
      </c>
      <c r="AC265" s="289">
        <v>0</v>
      </c>
      <c r="AD265" s="289">
        <v>0</v>
      </c>
      <c r="AE265" s="289">
        <v>0</v>
      </c>
      <c r="AF265" s="289">
        <v>0</v>
      </c>
      <c r="AG265" s="289">
        <v>0</v>
      </c>
      <c r="AH265" s="289">
        <v>0</v>
      </c>
      <c r="AI265" s="289">
        <v>0</v>
      </c>
      <c r="AJ265" s="289">
        <v>0</v>
      </c>
      <c r="AK265" s="289">
        <v>0</v>
      </c>
      <c r="AL265" s="289">
        <v>0</v>
      </c>
      <c r="AM265" s="289">
        <v>0</v>
      </c>
      <c r="AN265" s="289">
        <v>0</v>
      </c>
      <c r="AO265" s="289">
        <v>0</v>
      </c>
      <c r="AP265" s="289">
        <v>0</v>
      </c>
      <c r="AQ265" s="289">
        <v>0</v>
      </c>
      <c r="AR265" s="289">
        <v>0</v>
      </c>
      <c r="AS265" s="289">
        <v>0</v>
      </c>
      <c r="AT265" s="289">
        <v>0</v>
      </c>
      <c r="AU265" s="289">
        <v>0</v>
      </c>
      <c r="AV265" s="289">
        <v>0</v>
      </c>
    </row>
    <row r="266" spans="1:48" s="3" customFormat="1" ht="15" customHeight="1">
      <c r="A266" s="95"/>
      <c r="B266" s="95"/>
      <c r="C266" s="96"/>
      <c r="E266" s="93" t="str">
        <f>"Co forecast: " &amp; F266</f>
        <v>Co forecast: IMF_WEO</v>
      </c>
      <c r="F266" s="242" t="s">
        <v>591</v>
      </c>
      <c r="G266" s="93" t="s">
        <v>14</v>
      </c>
      <c r="H266" s="289" t="s">
        <v>599</v>
      </c>
      <c r="I266" s="97"/>
      <c r="K266" s="98"/>
      <c r="L266" s="289">
        <v>0</v>
      </c>
      <c r="M266" s="289">
        <v>0</v>
      </c>
      <c r="N266" s="289">
        <v>0</v>
      </c>
      <c r="O266" s="289">
        <v>0</v>
      </c>
      <c r="P266" s="289">
        <v>0</v>
      </c>
      <c r="Q266" s="289">
        <v>0</v>
      </c>
      <c r="R266" s="289">
        <v>0</v>
      </c>
      <c r="S266" s="289">
        <v>0</v>
      </c>
      <c r="T266" s="289">
        <v>0</v>
      </c>
      <c r="U266" s="289">
        <v>0</v>
      </c>
      <c r="V266" s="289">
        <v>0</v>
      </c>
      <c r="W266" s="289">
        <v>40000</v>
      </c>
      <c r="X266" s="289">
        <v>40000</v>
      </c>
      <c r="Y266" s="289">
        <v>40000</v>
      </c>
      <c r="Z266" s="289">
        <v>40000</v>
      </c>
      <c r="AA266" s="289">
        <v>40000</v>
      </c>
      <c r="AB266" s="289">
        <v>0</v>
      </c>
      <c r="AC266" s="289">
        <v>0</v>
      </c>
      <c r="AD266" s="289">
        <v>0</v>
      </c>
      <c r="AE266" s="289">
        <v>0</v>
      </c>
      <c r="AF266" s="289">
        <v>0</v>
      </c>
      <c r="AG266" s="289">
        <v>0</v>
      </c>
      <c r="AH266" s="289">
        <v>0</v>
      </c>
      <c r="AI266" s="289">
        <v>0</v>
      </c>
      <c r="AJ266" s="289">
        <v>0</v>
      </c>
      <c r="AK266" s="289">
        <v>0</v>
      </c>
      <c r="AL266" s="289">
        <v>0</v>
      </c>
      <c r="AM266" s="289">
        <v>0</v>
      </c>
      <c r="AN266" s="289">
        <v>0</v>
      </c>
      <c r="AO266" s="289">
        <v>0</v>
      </c>
      <c r="AP266" s="289">
        <v>0</v>
      </c>
      <c r="AQ266" s="289">
        <v>0</v>
      </c>
      <c r="AR266" s="289">
        <v>0</v>
      </c>
      <c r="AS266" s="289">
        <v>0</v>
      </c>
      <c r="AT266" s="289">
        <v>0</v>
      </c>
      <c r="AU266" s="289">
        <v>0</v>
      </c>
      <c r="AV266" s="289">
        <v>0</v>
      </c>
    </row>
    <row r="267" spans="1:48" s="3" customFormat="1" ht="15" customHeight="1">
      <c r="A267" s="95"/>
      <c r="B267" s="95"/>
      <c r="C267" s="96"/>
      <c r="E267" s="93" t="str">
        <f>"Co forecast: " &amp; F267</f>
        <v>Co forecast: ConstReal</v>
      </c>
      <c r="F267" s="242" t="s">
        <v>605</v>
      </c>
      <c r="G267" s="93" t="s">
        <v>14</v>
      </c>
      <c r="H267" s="289" t="s">
        <v>600</v>
      </c>
      <c r="I267" s="97"/>
      <c r="K267" s="98"/>
      <c r="L267" s="289">
        <v>0</v>
      </c>
      <c r="M267" s="289">
        <v>0</v>
      </c>
      <c r="N267" s="289">
        <v>0</v>
      </c>
      <c r="O267" s="289">
        <v>0</v>
      </c>
      <c r="P267" s="289">
        <v>0</v>
      </c>
      <c r="Q267" s="289">
        <v>0</v>
      </c>
      <c r="R267" s="289">
        <v>0</v>
      </c>
      <c r="S267" s="289">
        <v>0</v>
      </c>
      <c r="T267" s="289">
        <v>0</v>
      </c>
      <c r="U267" s="289">
        <v>0</v>
      </c>
      <c r="V267" s="289">
        <v>0</v>
      </c>
      <c r="W267" s="289">
        <f xml:space="preserve"> InputsCon!$F49</f>
        <v>35000</v>
      </c>
      <c r="X267" s="289">
        <f xml:space="preserve"> InputsCon!$F49</f>
        <v>35000</v>
      </c>
      <c r="Y267" s="289">
        <f xml:space="preserve"> InputsCon!$F49</f>
        <v>35000</v>
      </c>
      <c r="Z267" s="289">
        <f xml:space="preserve"> InputsCon!$F49</f>
        <v>35000</v>
      </c>
      <c r="AA267" s="289">
        <f xml:space="preserve"> InputsCon!$F49</f>
        <v>35000</v>
      </c>
      <c r="AB267" s="289">
        <v>0</v>
      </c>
      <c r="AC267" s="289">
        <v>0</v>
      </c>
      <c r="AD267" s="289">
        <v>0</v>
      </c>
      <c r="AE267" s="289">
        <v>0</v>
      </c>
      <c r="AF267" s="289">
        <v>0</v>
      </c>
      <c r="AG267" s="289">
        <v>0</v>
      </c>
      <c r="AH267" s="289">
        <v>0</v>
      </c>
      <c r="AI267" s="289">
        <v>0</v>
      </c>
      <c r="AJ267" s="289">
        <v>0</v>
      </c>
      <c r="AK267" s="289">
        <v>0</v>
      </c>
      <c r="AL267" s="289">
        <v>0</v>
      </c>
      <c r="AM267" s="289">
        <v>0</v>
      </c>
      <c r="AN267" s="289">
        <v>0</v>
      </c>
      <c r="AO267" s="289">
        <v>0</v>
      </c>
      <c r="AP267" s="289">
        <v>0</v>
      </c>
      <c r="AQ267" s="289">
        <v>0</v>
      </c>
      <c r="AR267" s="289">
        <v>0</v>
      </c>
      <c r="AS267" s="289">
        <v>0</v>
      </c>
      <c r="AT267" s="289">
        <v>0</v>
      </c>
      <c r="AU267" s="289">
        <v>0</v>
      </c>
      <c r="AV267" s="289">
        <v>0</v>
      </c>
    </row>
    <row r="268" spans="1:48" ht="15" customHeight="1">
      <c r="E268" s="93" t="str">
        <f>"Co forecast: " &amp; F268</f>
        <v>Co forecast: Downside</v>
      </c>
      <c r="F268" s="242" t="s">
        <v>1088</v>
      </c>
      <c r="G268" s="93" t="s">
        <v>14</v>
      </c>
      <c r="H268" s="289" t="s">
        <v>600</v>
      </c>
      <c r="K268" s="46"/>
      <c r="L268" s="242">
        <v>0</v>
      </c>
      <c r="M268" s="242">
        <v>0</v>
      </c>
      <c r="N268" s="242">
        <v>0</v>
      </c>
      <c r="O268" s="242">
        <v>0</v>
      </c>
      <c r="P268" s="242">
        <v>0</v>
      </c>
      <c r="Q268" s="242">
        <v>0</v>
      </c>
      <c r="R268" s="242">
        <v>0</v>
      </c>
      <c r="S268" s="242">
        <v>0</v>
      </c>
      <c r="T268" s="242">
        <v>0</v>
      </c>
      <c r="U268" s="242">
        <v>0</v>
      </c>
      <c r="V268" s="242">
        <v>0</v>
      </c>
      <c r="W268" s="242">
        <v>40000</v>
      </c>
      <c r="X268" s="242">
        <v>35000</v>
      </c>
      <c r="Y268" s="242">
        <v>30000</v>
      </c>
      <c r="Z268" s="242">
        <v>25000</v>
      </c>
      <c r="AA268" s="242">
        <v>20000</v>
      </c>
      <c r="AB268" s="242">
        <v>0</v>
      </c>
      <c r="AC268" s="242">
        <v>0</v>
      </c>
      <c r="AD268" s="242">
        <v>0</v>
      </c>
      <c r="AE268" s="242">
        <v>0</v>
      </c>
      <c r="AF268" s="242">
        <v>0</v>
      </c>
      <c r="AG268" s="242">
        <v>0</v>
      </c>
      <c r="AH268" s="242">
        <v>0</v>
      </c>
      <c r="AI268" s="242">
        <v>0</v>
      </c>
      <c r="AJ268" s="242">
        <v>0</v>
      </c>
      <c r="AK268" s="242">
        <v>0</v>
      </c>
      <c r="AL268" s="242">
        <v>0</v>
      </c>
      <c r="AM268" s="242">
        <v>0</v>
      </c>
      <c r="AN268" s="242">
        <v>0</v>
      </c>
      <c r="AO268" s="242">
        <v>0</v>
      </c>
      <c r="AP268" s="242">
        <v>0</v>
      </c>
      <c r="AQ268" s="242">
        <v>0</v>
      </c>
      <c r="AR268" s="242">
        <v>0</v>
      </c>
      <c r="AS268" s="242">
        <v>0</v>
      </c>
      <c r="AT268" s="242">
        <v>0</v>
      </c>
      <c r="AU268" s="242">
        <v>0</v>
      </c>
      <c r="AV268" s="242">
        <v>0</v>
      </c>
    </row>
    <row r="269" spans="1:48" ht="15" customHeight="1">
      <c r="E269" s="93" t="str">
        <f>"Co forecast: " &amp; F269</f>
        <v>Co forecast: Other3</v>
      </c>
      <c r="F269" s="242" t="s">
        <v>593</v>
      </c>
      <c r="G269" s="93" t="s">
        <v>14</v>
      </c>
      <c r="H269" s="289" t="s">
        <v>600</v>
      </c>
      <c r="K269" s="46"/>
      <c r="L269" s="242">
        <v>0</v>
      </c>
      <c r="M269" s="242">
        <v>0</v>
      </c>
      <c r="N269" s="242">
        <v>0</v>
      </c>
      <c r="O269" s="242">
        <v>0</v>
      </c>
      <c r="P269" s="242">
        <v>0</v>
      </c>
      <c r="Q269" s="242">
        <v>0</v>
      </c>
      <c r="R269" s="242">
        <v>0</v>
      </c>
      <c r="S269" s="242">
        <v>0</v>
      </c>
      <c r="T269" s="242">
        <v>0</v>
      </c>
      <c r="U269" s="242">
        <v>0</v>
      </c>
      <c r="V269" s="242">
        <v>0</v>
      </c>
      <c r="W269" s="242">
        <v>25000</v>
      </c>
      <c r="X269" s="242">
        <v>25000</v>
      </c>
      <c r="Y269" s="242">
        <v>25000</v>
      </c>
      <c r="Z269" s="242">
        <v>25000</v>
      </c>
      <c r="AA269" s="242">
        <v>25000</v>
      </c>
      <c r="AB269" s="242">
        <v>0</v>
      </c>
      <c r="AC269" s="242">
        <v>0</v>
      </c>
      <c r="AD269" s="242">
        <v>0</v>
      </c>
      <c r="AE269" s="242">
        <v>0</v>
      </c>
      <c r="AF269" s="242">
        <v>0</v>
      </c>
      <c r="AG269" s="242">
        <v>0</v>
      </c>
      <c r="AH269" s="242">
        <v>0</v>
      </c>
      <c r="AI269" s="242">
        <v>0</v>
      </c>
      <c r="AJ269" s="242">
        <v>0</v>
      </c>
      <c r="AK269" s="242">
        <v>0</v>
      </c>
      <c r="AL269" s="242">
        <v>0</v>
      </c>
      <c r="AM269" s="242">
        <v>0</v>
      </c>
      <c r="AN269" s="242">
        <v>0</v>
      </c>
      <c r="AO269" s="242">
        <v>0</v>
      </c>
      <c r="AP269" s="242">
        <v>0</v>
      </c>
      <c r="AQ269" s="242">
        <v>0</v>
      </c>
      <c r="AR269" s="242">
        <v>0</v>
      </c>
      <c r="AS269" s="242">
        <v>0</v>
      </c>
      <c r="AT269" s="242">
        <v>0</v>
      </c>
      <c r="AU269" s="242">
        <v>0</v>
      </c>
      <c r="AV269" s="242">
        <v>0</v>
      </c>
    </row>
    <row r="270" spans="1:48" ht="15" customHeight="1">
      <c r="E270" s="298" t="str">
        <f>"Cu forecast: " &amp; F270</f>
        <v>Cu forecast: last</v>
      </c>
      <c r="F270" s="298" t="s">
        <v>613</v>
      </c>
      <c r="G270" s="298"/>
      <c r="H270" s="296"/>
      <c r="I270" s="295"/>
      <c r="J270" s="294"/>
      <c r="K270" s="294"/>
      <c r="L270" s="294"/>
      <c r="M270" s="298"/>
      <c r="N270" s="298"/>
      <c r="O270" s="298"/>
      <c r="P270" s="298"/>
      <c r="Q270" s="298"/>
      <c r="R270" s="298"/>
      <c r="S270" s="298"/>
      <c r="T270" s="298"/>
      <c r="U270" s="298"/>
      <c r="V270" s="298"/>
      <c r="W270" s="298"/>
      <c r="X270" s="298"/>
      <c r="Y270" s="298"/>
      <c r="Z270" s="298"/>
      <c r="AA270" s="298"/>
      <c r="AB270" s="298"/>
      <c r="AC270" s="298"/>
      <c r="AD270" s="298"/>
      <c r="AE270" s="298"/>
      <c r="AF270" s="298"/>
      <c r="AG270" s="298"/>
      <c r="AH270" s="298"/>
      <c r="AI270" s="298"/>
      <c r="AJ270" s="298"/>
      <c r="AK270" s="298"/>
      <c r="AL270" s="298"/>
      <c r="AM270" s="298"/>
      <c r="AN270" s="298"/>
      <c r="AO270" s="298"/>
      <c r="AP270" s="298"/>
      <c r="AQ270" s="298"/>
      <c r="AR270" s="298"/>
      <c r="AS270" s="298"/>
      <c r="AT270" s="298"/>
      <c r="AU270" s="298"/>
      <c r="AV270" s="298"/>
    </row>
    <row r="271" spans="1:48" ht="15" customHeight="1">
      <c r="K271" s="46"/>
    </row>
    <row r="272" spans="1:48" ht="15" customHeight="1">
      <c r="E272" s="93" t="s">
        <v>606</v>
      </c>
      <c r="F272" s="670" t="str">
        <f xml:space="preserve"> InputsCon!F$59</f>
        <v>nominal</v>
      </c>
      <c r="G272" s="108" t="str">
        <f xml:space="preserve"> InputsCon!G$59</f>
        <v>option</v>
      </c>
      <c r="K272" s="46"/>
    </row>
    <row r="273" spans="1:48" ht="15" customHeight="1">
      <c r="E273" s="93" t="s">
        <v>606</v>
      </c>
      <c r="F273" s="670" t="str">
        <f xml:space="preserve"> InputsCon!F$60</f>
        <v>real</v>
      </c>
      <c r="G273" s="108" t="str">
        <f xml:space="preserve"> InputsCon!G$60</f>
        <v>option</v>
      </c>
      <c r="K273" s="46"/>
    </row>
    <row r="274" spans="1:48" ht="15" customHeight="1">
      <c r="K274" s="46"/>
    </row>
    <row r="275" spans="1:48" ht="15" customHeight="1">
      <c r="E275" s="176" t="str">
        <f xml:space="preserve"> 'T&amp;E'!E$45</f>
        <v>Real terms conversion year</v>
      </c>
      <c r="F275" s="176">
        <f xml:space="preserve"> 'T&amp;E'!F$45</f>
        <v>2023</v>
      </c>
      <c r="G275" s="176" t="str">
        <f xml:space="preserve"> 'T&amp;E'!G$45</f>
        <v>year</v>
      </c>
      <c r="K275" s="46"/>
    </row>
    <row r="276" spans="1:48" ht="15" customHeight="1">
      <c r="E276" s="176" t="str">
        <f xml:space="preserve"> 'T&amp;E'!E$33</f>
        <v>First forecast year</v>
      </c>
      <c r="F276" s="176">
        <f xml:space="preserve"> 'T&amp;E'!F$33</f>
        <v>2025</v>
      </c>
      <c r="G276" s="176" t="str">
        <f xml:space="preserve"> 'T&amp;E'!G$33</f>
        <v>year</v>
      </c>
      <c r="K276" s="46"/>
    </row>
    <row r="277" spans="1:48" ht="15" customHeight="1">
      <c r="K277" s="46"/>
    </row>
    <row r="278" spans="1:48" ht="15" customHeight="1">
      <c r="C278" s="17" t="s">
        <v>603</v>
      </c>
      <c r="I278"/>
      <c r="K278" s="46"/>
    </row>
    <row r="279" spans="1:48" s="41" customFormat="1" ht="15" customHeight="1">
      <c r="A279" s="290"/>
      <c r="B279" s="290"/>
      <c r="C279" s="291"/>
      <c r="E279" s="108" t="str">
        <f xml:space="preserve"> 'T&amp;E'!E$9</f>
        <v>Model calendar year</v>
      </c>
      <c r="F279" s="108">
        <f xml:space="preserve"> 'T&amp;E'!F$9</f>
        <v>0</v>
      </c>
      <c r="G279" s="108" t="str">
        <f xml:space="preserve"> 'T&amp;E'!G$9</f>
        <v>year</v>
      </c>
      <c r="H279" s="108">
        <f xml:space="preserve"> 'T&amp;E'!H$9</f>
        <v>0</v>
      </c>
      <c r="I279" s="108">
        <f xml:space="preserve"> 'T&amp;E'!I$9</f>
        <v>0</v>
      </c>
      <c r="J279" s="108">
        <f xml:space="preserve"> 'T&amp;E'!J$9</f>
        <v>0</v>
      </c>
      <c r="K279" s="176">
        <f xml:space="preserve"> 'T&amp;E'!K$9</f>
        <v>0</v>
      </c>
      <c r="L279" s="108">
        <f xml:space="preserve"> 'T&amp;E'!L$9</f>
        <v>2014</v>
      </c>
      <c r="M279" s="108">
        <f xml:space="preserve"> 'T&amp;E'!M$9</f>
        <v>2015</v>
      </c>
      <c r="N279" s="108">
        <f xml:space="preserve"> 'T&amp;E'!N$9</f>
        <v>2016</v>
      </c>
      <c r="O279" s="108">
        <f xml:space="preserve"> 'T&amp;E'!O$9</f>
        <v>2017</v>
      </c>
      <c r="P279" s="108">
        <f xml:space="preserve"> 'T&amp;E'!P$9</f>
        <v>2018</v>
      </c>
      <c r="Q279" s="108">
        <f xml:space="preserve"> 'T&amp;E'!Q$9</f>
        <v>2019</v>
      </c>
      <c r="R279" s="108">
        <f xml:space="preserve"> 'T&amp;E'!R$9</f>
        <v>2020</v>
      </c>
      <c r="S279" s="108">
        <f xml:space="preserve"> 'T&amp;E'!S$9</f>
        <v>2021</v>
      </c>
      <c r="T279" s="108">
        <f xml:space="preserve"> 'T&amp;E'!T$9</f>
        <v>2022</v>
      </c>
      <c r="U279" s="108">
        <f xml:space="preserve"> 'T&amp;E'!U$9</f>
        <v>2023</v>
      </c>
      <c r="V279" s="108">
        <f xml:space="preserve"> 'T&amp;E'!V$9</f>
        <v>2024</v>
      </c>
      <c r="W279" s="108">
        <f xml:space="preserve"> 'T&amp;E'!W$9</f>
        <v>2025</v>
      </c>
      <c r="X279" s="108">
        <f xml:space="preserve"> 'T&amp;E'!X$9</f>
        <v>2026</v>
      </c>
      <c r="Y279" s="108">
        <f xml:space="preserve"> 'T&amp;E'!Y$9</f>
        <v>2027</v>
      </c>
      <c r="Z279" s="108">
        <f xml:space="preserve"> 'T&amp;E'!Z$9</f>
        <v>2028</v>
      </c>
      <c r="AA279" s="108">
        <f xml:space="preserve"> 'T&amp;E'!AA$9</f>
        <v>2029</v>
      </c>
      <c r="AB279" s="108">
        <f xml:space="preserve"> 'T&amp;E'!AB$9</f>
        <v>2030</v>
      </c>
      <c r="AC279" s="108">
        <f xml:space="preserve"> 'T&amp;E'!AC$9</f>
        <v>2031</v>
      </c>
      <c r="AD279" s="108">
        <f xml:space="preserve"> 'T&amp;E'!AD$9</f>
        <v>2032</v>
      </c>
      <c r="AE279" s="108">
        <f xml:space="preserve"> 'T&amp;E'!AE$9</f>
        <v>2033</v>
      </c>
      <c r="AF279" s="108">
        <f xml:space="preserve"> 'T&amp;E'!AF$9</f>
        <v>2034</v>
      </c>
      <c r="AG279" s="108">
        <f xml:space="preserve"> 'T&amp;E'!AG$9</f>
        <v>2035</v>
      </c>
      <c r="AH279" s="108">
        <f xml:space="preserve"> 'T&amp;E'!AH$9</f>
        <v>2036</v>
      </c>
      <c r="AI279" s="108">
        <f xml:space="preserve"> 'T&amp;E'!AI$9</f>
        <v>2037</v>
      </c>
      <c r="AJ279" s="108">
        <f xml:space="preserve"> 'T&amp;E'!AJ$9</f>
        <v>2038</v>
      </c>
      <c r="AK279" s="108">
        <f xml:space="preserve"> 'T&amp;E'!AK$9</f>
        <v>2039</v>
      </c>
      <c r="AL279" s="108">
        <f xml:space="preserve"> 'T&amp;E'!AL$9</f>
        <v>2040</v>
      </c>
      <c r="AM279" s="108">
        <f xml:space="preserve"> 'T&amp;E'!AM$9</f>
        <v>2041</v>
      </c>
      <c r="AN279" s="108">
        <f xml:space="preserve"> 'T&amp;E'!AN$9</f>
        <v>2042</v>
      </c>
      <c r="AO279" s="108">
        <f xml:space="preserve"> 'T&amp;E'!AO$9</f>
        <v>2043</v>
      </c>
      <c r="AP279" s="108">
        <f xml:space="preserve"> 'T&amp;E'!AP$9</f>
        <v>2044</v>
      </c>
      <c r="AQ279" s="108">
        <f xml:space="preserve"> 'T&amp;E'!AQ$9</f>
        <v>2045</v>
      </c>
      <c r="AR279" s="108">
        <f xml:space="preserve"> 'T&amp;E'!AR$9</f>
        <v>2046</v>
      </c>
      <c r="AS279" s="108">
        <f xml:space="preserve"> 'T&amp;E'!AS$9</f>
        <v>2047</v>
      </c>
      <c r="AT279" s="108">
        <f xml:space="preserve"> 'T&amp;E'!AT$9</f>
        <v>2048</v>
      </c>
      <c r="AU279" s="108">
        <f xml:space="preserve"> 'T&amp;E'!AU$9</f>
        <v>2049</v>
      </c>
      <c r="AV279" s="108">
        <f xml:space="preserve"> 'T&amp;E'!AV$9</f>
        <v>2050</v>
      </c>
    </row>
    <row r="280" spans="1:48" s="93" customFormat="1" ht="15" customHeight="1">
      <c r="A280" s="92"/>
      <c r="B280" s="92"/>
      <c r="C280" s="197"/>
      <c r="E280" s="93" t="str">
        <f xml:space="preserve"> E$10</f>
        <v>US Inflation, average consumer prices Act + forecast</v>
      </c>
      <c r="F280" s="93">
        <f xml:space="preserve"> F$10</f>
        <v>0</v>
      </c>
      <c r="G280" s="93" t="str">
        <f xml:space="preserve"> G$10</f>
        <v>index</v>
      </c>
      <c r="H280" s="93">
        <f xml:space="preserve"> H$10</f>
        <v>0</v>
      </c>
      <c r="J280" s="93">
        <f t="shared" ref="J280:AV280" si="15" xml:space="preserve"> J$10</f>
        <v>0</v>
      </c>
      <c r="K280" s="94">
        <f t="shared" si="15"/>
        <v>0</v>
      </c>
      <c r="L280" s="93">
        <f t="shared" si="15"/>
        <v>201.55799999999999</v>
      </c>
      <c r="M280" s="93">
        <f t="shared" si="15"/>
        <v>207.34399999999999</v>
      </c>
      <c r="N280" s="93">
        <f t="shared" si="15"/>
        <v>215.25399999999999</v>
      </c>
      <c r="O280" s="93">
        <f t="shared" si="15"/>
        <v>214.565</v>
      </c>
      <c r="P280" s="93">
        <f t="shared" si="15"/>
        <v>218.07599999999999</v>
      </c>
      <c r="Q280" s="93">
        <f t="shared" si="15"/>
        <v>224.923</v>
      </c>
      <c r="R280" s="93">
        <f t="shared" si="15"/>
        <v>229.58600000000001</v>
      </c>
      <c r="S280" s="93">
        <f t="shared" si="15"/>
        <v>232.952</v>
      </c>
      <c r="T280" s="93">
        <f t="shared" si="15"/>
        <v>236.715</v>
      </c>
      <c r="U280" s="93">
        <f t="shared" si="15"/>
        <v>237.00200000000001</v>
      </c>
      <c r="V280" s="93">
        <f t="shared" si="15"/>
        <v>240.005</v>
      </c>
      <c r="W280" s="93">
        <f t="shared" si="15"/>
        <v>245.12100000000001</v>
      </c>
      <c r="X280" s="93">
        <f t="shared" si="15"/>
        <v>251.1</v>
      </c>
      <c r="Y280" s="93">
        <f t="shared" si="15"/>
        <v>255.65299999999999</v>
      </c>
      <c r="Z280" s="93">
        <f t="shared" si="15"/>
        <v>258.846</v>
      </c>
      <c r="AA280" s="93">
        <f t="shared" si="15"/>
        <v>270.96600000000001</v>
      </c>
      <c r="AB280" s="93">
        <f t="shared" si="15"/>
        <v>292.62099999999998</v>
      </c>
      <c r="AC280" s="93">
        <f t="shared" si="15"/>
        <v>304.70100000000002</v>
      </c>
      <c r="AD280" s="93">
        <f t="shared" si="15"/>
        <v>313.55900000000003</v>
      </c>
      <c r="AE280" s="93">
        <f t="shared" si="15"/>
        <v>319.83100000000002</v>
      </c>
      <c r="AF280" s="93">
        <f t="shared" si="15"/>
        <v>326.416</v>
      </c>
      <c r="AG280" s="93">
        <f t="shared" si="15"/>
        <v>333.27</v>
      </c>
      <c r="AH280" s="93">
        <f t="shared" si="15"/>
        <v>340.32400000000001</v>
      </c>
      <c r="AI280" s="93">
        <f t="shared" si="15"/>
        <v>347.61700000000002</v>
      </c>
      <c r="AJ280" s="93">
        <f t="shared" si="15"/>
        <v>354.56934000000001</v>
      </c>
      <c r="AK280" s="93">
        <f t="shared" si="15"/>
        <v>361.66072680000002</v>
      </c>
      <c r="AL280" s="93">
        <f t="shared" si="15"/>
        <v>368.89394133600001</v>
      </c>
      <c r="AM280" s="93">
        <f t="shared" si="15"/>
        <v>376.27182016272002</v>
      </c>
      <c r="AN280" s="93">
        <f t="shared" si="15"/>
        <v>383.79725656597441</v>
      </c>
      <c r="AO280" s="93">
        <f t="shared" si="15"/>
        <v>391.47320169729392</v>
      </c>
      <c r="AP280" s="93">
        <f t="shared" si="15"/>
        <v>399.30266573123981</v>
      </c>
      <c r="AQ280" s="93">
        <f t="shared" si="15"/>
        <v>407.28871904586464</v>
      </c>
      <c r="AR280" s="93">
        <f t="shared" si="15"/>
        <v>415.43449342678196</v>
      </c>
      <c r="AS280" s="93">
        <f t="shared" si="15"/>
        <v>423.74318329531758</v>
      </c>
      <c r="AT280" s="93">
        <f t="shared" si="15"/>
        <v>432.21804696122393</v>
      </c>
      <c r="AU280" s="93">
        <f t="shared" si="15"/>
        <v>440.86240790044843</v>
      </c>
      <c r="AV280" s="93">
        <f t="shared" si="15"/>
        <v>449.6796560584574</v>
      </c>
    </row>
    <row r="281" spans="1:48" ht="15" customHeight="1">
      <c r="E281" s="93" t="s">
        <v>602</v>
      </c>
      <c r="F281" s="93" cm="1">
        <f t="array" ref="F281" xml:space="preserve"> INDEX(L280:AV280,, MATCH(F275, L279:AV279, 0))</f>
        <v>237.00200000000001</v>
      </c>
      <c r="G281" s="93" t="str">
        <f xml:space="preserve"> G280</f>
        <v>index</v>
      </c>
      <c r="H281" s="93"/>
      <c r="I281" s="93"/>
      <c r="J281" s="93"/>
      <c r="K281" s="94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</row>
    <row r="282" spans="1:48" s="41" customFormat="1" ht="15" customHeight="1">
      <c r="A282" s="290"/>
      <c r="B282" s="290"/>
      <c r="C282" s="291"/>
      <c r="E282" s="108" t="str">
        <f xml:space="preserve"> 'T&amp;E'!E$36</f>
        <v>USD CPI Inflation (incl forecast) from 2025</v>
      </c>
      <c r="F282" s="108">
        <f xml:space="preserve"> 'T&amp;E'!F$36</f>
        <v>0</v>
      </c>
      <c r="G282" s="610" t="str">
        <f xml:space="preserve"> 'T&amp;E'!G$36</f>
        <v>index</v>
      </c>
      <c r="H282" s="610">
        <f xml:space="preserve"> 'T&amp;E'!H$36</f>
        <v>0</v>
      </c>
      <c r="I282" s="610">
        <f xml:space="preserve"> 'T&amp;E'!I$36</f>
        <v>0</v>
      </c>
      <c r="J282" s="610">
        <f xml:space="preserve"> 'T&amp;E'!J$36</f>
        <v>0</v>
      </c>
      <c r="K282" s="610">
        <f xml:space="preserve"> 'T&amp;E'!K$36</f>
        <v>0</v>
      </c>
      <c r="L282" s="610">
        <f xml:space="preserve"> 'T&amp;E'!L$36</f>
        <v>1</v>
      </c>
      <c r="M282" s="610">
        <f xml:space="preserve"> 'T&amp;E'!M$36</f>
        <v>1</v>
      </c>
      <c r="N282" s="610">
        <f xml:space="preserve"> 'T&amp;E'!N$36</f>
        <v>1</v>
      </c>
      <c r="O282" s="610">
        <f xml:space="preserve"> 'T&amp;E'!O$36</f>
        <v>1</v>
      </c>
      <c r="P282" s="610">
        <f xml:space="preserve"> 'T&amp;E'!P$36</f>
        <v>1</v>
      </c>
      <c r="Q282" s="610">
        <f xml:space="preserve"> 'T&amp;E'!Q$36</f>
        <v>1</v>
      </c>
      <c r="R282" s="610">
        <f xml:space="preserve"> 'T&amp;E'!R$36</f>
        <v>1</v>
      </c>
      <c r="S282" s="610">
        <f xml:space="preserve"> 'T&amp;E'!S$36</f>
        <v>1</v>
      </c>
      <c r="T282" s="610">
        <f xml:space="preserve"> 'T&amp;E'!T$36</f>
        <v>1</v>
      </c>
      <c r="U282" s="610">
        <f xml:space="preserve"> 'T&amp;E'!U$36</f>
        <v>1</v>
      </c>
      <c r="V282" s="610">
        <f xml:space="preserve"> 'T&amp;E'!V$36</f>
        <v>1</v>
      </c>
      <c r="W282" s="610">
        <f xml:space="preserve"> 'T&amp;E'!W$36</f>
        <v>1</v>
      </c>
      <c r="X282" s="610">
        <f xml:space="preserve"> 'T&amp;E'!X$36</f>
        <v>1.0246540997307085</v>
      </c>
      <c r="Y282" s="610">
        <f xml:space="preserve"> 'T&amp;E'!Y$36</f>
        <v>1.0462778964311141</v>
      </c>
      <c r="Z282" s="610">
        <f xml:space="preserve"> 'T&amp;E'!Z$36</f>
        <v>1.0688302844584765</v>
      </c>
      <c r="AA282" s="610">
        <f xml:space="preserve"> 'T&amp;E'!AA$36</f>
        <v>1.0920141145881699</v>
      </c>
      <c r="AB282" s="610">
        <f xml:space="preserve"> 'T&amp;E'!AB$36</f>
        <v>1.1157643854273069</v>
      </c>
      <c r="AC282" s="610">
        <f xml:space="preserve"> 'T&amp;E'!AC$36</f>
        <v>1.1380796731358531</v>
      </c>
      <c r="AD282" s="610">
        <f xml:space="preserve"> 'T&amp;E'!AD$36</f>
        <v>1.1608412665985701</v>
      </c>
      <c r="AE282" s="610">
        <f xml:space="preserve"> 'T&amp;E'!AE$36</f>
        <v>1.1840580919305417</v>
      </c>
      <c r="AF282" s="610">
        <f xml:space="preserve"> 'T&amp;E'!AF$36</f>
        <v>1.2077392537691523</v>
      </c>
      <c r="AG282" s="610">
        <f xml:space="preserve"> 'T&amp;E'!AG$36</f>
        <v>1.2318940388445354</v>
      </c>
      <c r="AH282" s="610">
        <f xml:space="preserve"> 'T&amp;E'!AH$36</f>
        <v>1.2565319196214262</v>
      </c>
      <c r="AI282" s="610">
        <f xml:space="preserve"> 'T&amp;E'!AI$36</f>
        <v>1.2816625580138548</v>
      </c>
      <c r="AJ282" s="610">
        <f xml:space="preserve"> 'T&amp;E'!AJ$36</f>
        <v>1.307295809174132</v>
      </c>
      <c r="AK282" s="610">
        <f xml:space="preserve"> 'T&amp;E'!AK$36</f>
        <v>1.3334417253576147</v>
      </c>
      <c r="AL282" s="610">
        <f xml:space="preserve"> 'T&amp;E'!AL$36</f>
        <v>1.3601105598647669</v>
      </c>
      <c r="AM282" s="610">
        <f xml:space="preserve"> 'T&amp;E'!AM$36</f>
        <v>1.3873127710620623</v>
      </c>
      <c r="AN282" s="610">
        <f xml:space="preserve"> 'T&amp;E'!AN$36</f>
        <v>1.4150590264833036</v>
      </c>
      <c r="AO282" s="610">
        <f xml:space="preserve"> 'T&amp;E'!AO$36</f>
        <v>1.4433602070129699</v>
      </c>
      <c r="AP282" s="610">
        <f xml:space="preserve"> 'T&amp;E'!AP$36</f>
        <v>1.4722274111532292</v>
      </c>
      <c r="AQ282" s="610">
        <f xml:space="preserve"> 'T&amp;E'!AQ$36</f>
        <v>1.5016719593762937</v>
      </c>
      <c r="AR282" s="610">
        <f xml:space="preserve"> 'T&amp;E'!AR$36</f>
        <v>1.5317053985638196</v>
      </c>
      <c r="AS282" s="610">
        <f xml:space="preserve"> 'T&amp;E'!AS$36</f>
        <v>1.562339506535096</v>
      </c>
      <c r="AT282" s="610">
        <f xml:space="preserve"> 'T&amp;E'!AT$36</f>
        <v>1.5935862966657983</v>
      </c>
      <c r="AU282" s="610">
        <f xml:space="preserve"> 'T&amp;E'!AU$36</f>
        <v>1.6254580225991142</v>
      </c>
      <c r="AV282" s="610">
        <f xml:space="preserve"> 'T&amp;E'!AV$36</f>
        <v>1.6579671830510965</v>
      </c>
    </row>
    <row r="283" spans="1:48" ht="15" customHeight="1">
      <c r="K283" s="46"/>
    </row>
    <row r="284" spans="1:48" ht="15" customHeight="1">
      <c r="C284" s="17" t="s">
        <v>637</v>
      </c>
      <c r="K284" s="46"/>
    </row>
    <row r="285" spans="1:48" s="41" customFormat="1" ht="15" customHeight="1">
      <c r="A285" s="290"/>
      <c r="B285" s="290"/>
      <c r="C285" s="291"/>
      <c r="E285" s="108" t="str">
        <f xml:space="preserve"> 'T&amp;E'!E$9</f>
        <v>Model calendar year</v>
      </c>
      <c r="F285" s="108">
        <f xml:space="preserve"> 'T&amp;E'!F$9</f>
        <v>0</v>
      </c>
      <c r="G285" s="108" t="str">
        <f xml:space="preserve"> 'T&amp;E'!G$9</f>
        <v>year</v>
      </c>
      <c r="H285" s="108">
        <f xml:space="preserve"> 'T&amp;E'!H$9</f>
        <v>0</v>
      </c>
      <c r="I285" s="108">
        <f xml:space="preserve"> 'T&amp;E'!I$9</f>
        <v>0</v>
      </c>
      <c r="J285" s="108">
        <f xml:space="preserve"> 'T&amp;E'!J$9</f>
        <v>0</v>
      </c>
      <c r="K285" s="176">
        <f xml:space="preserve"> 'T&amp;E'!K$9</f>
        <v>0</v>
      </c>
      <c r="L285" s="108">
        <f xml:space="preserve"> 'T&amp;E'!L$9</f>
        <v>2014</v>
      </c>
      <c r="M285" s="108">
        <f xml:space="preserve"> 'T&amp;E'!M$9</f>
        <v>2015</v>
      </c>
      <c r="N285" s="108">
        <f xml:space="preserve"> 'T&amp;E'!N$9</f>
        <v>2016</v>
      </c>
      <c r="O285" s="108">
        <f xml:space="preserve"> 'T&amp;E'!O$9</f>
        <v>2017</v>
      </c>
      <c r="P285" s="108">
        <f xml:space="preserve"> 'T&amp;E'!P$9</f>
        <v>2018</v>
      </c>
      <c r="Q285" s="108">
        <f xml:space="preserve"> 'T&amp;E'!Q$9</f>
        <v>2019</v>
      </c>
      <c r="R285" s="108">
        <f xml:space="preserve"> 'T&amp;E'!R$9</f>
        <v>2020</v>
      </c>
      <c r="S285" s="108">
        <f xml:space="preserve"> 'T&amp;E'!S$9</f>
        <v>2021</v>
      </c>
      <c r="T285" s="108">
        <f xml:space="preserve"> 'T&amp;E'!T$9</f>
        <v>2022</v>
      </c>
      <c r="U285" s="108">
        <f xml:space="preserve"> 'T&amp;E'!U$9</f>
        <v>2023</v>
      </c>
      <c r="V285" s="108">
        <f xml:space="preserve"> 'T&amp;E'!V$9</f>
        <v>2024</v>
      </c>
      <c r="W285" s="108">
        <f xml:space="preserve"> 'T&amp;E'!W$9</f>
        <v>2025</v>
      </c>
      <c r="X285" s="108">
        <f xml:space="preserve"> 'T&amp;E'!X$9</f>
        <v>2026</v>
      </c>
      <c r="Y285" s="108">
        <f xml:space="preserve"> 'T&amp;E'!Y$9</f>
        <v>2027</v>
      </c>
      <c r="Z285" s="108">
        <f xml:space="preserve"> 'T&amp;E'!Z$9</f>
        <v>2028</v>
      </c>
      <c r="AA285" s="108">
        <f xml:space="preserve"> 'T&amp;E'!AA$9</f>
        <v>2029</v>
      </c>
      <c r="AB285" s="108">
        <f xml:space="preserve"> 'T&amp;E'!AB$9</f>
        <v>2030</v>
      </c>
      <c r="AC285" s="108">
        <f xml:space="preserve"> 'T&amp;E'!AC$9</f>
        <v>2031</v>
      </c>
      <c r="AD285" s="108">
        <f xml:space="preserve"> 'T&amp;E'!AD$9</f>
        <v>2032</v>
      </c>
      <c r="AE285" s="108">
        <f xml:space="preserve"> 'T&amp;E'!AE$9</f>
        <v>2033</v>
      </c>
      <c r="AF285" s="108">
        <f xml:space="preserve"> 'T&amp;E'!AF$9</f>
        <v>2034</v>
      </c>
      <c r="AG285" s="108">
        <f xml:space="preserve"> 'T&amp;E'!AG$9</f>
        <v>2035</v>
      </c>
      <c r="AH285" s="108">
        <f xml:space="preserve"> 'T&amp;E'!AH$9</f>
        <v>2036</v>
      </c>
      <c r="AI285" s="108">
        <f xml:space="preserve"> 'T&amp;E'!AI$9</f>
        <v>2037</v>
      </c>
      <c r="AJ285" s="108">
        <f xml:space="preserve"> 'T&amp;E'!AJ$9</f>
        <v>2038</v>
      </c>
      <c r="AK285" s="108">
        <f xml:space="preserve"> 'T&amp;E'!AK$9</f>
        <v>2039</v>
      </c>
      <c r="AL285" s="108">
        <f xml:space="preserve"> 'T&amp;E'!AL$9</f>
        <v>2040</v>
      </c>
      <c r="AM285" s="108">
        <f xml:space="preserve"> 'T&amp;E'!AM$9</f>
        <v>2041</v>
      </c>
      <c r="AN285" s="108">
        <f xml:space="preserve"> 'T&amp;E'!AN$9</f>
        <v>2042</v>
      </c>
      <c r="AO285" s="108">
        <f xml:space="preserve"> 'T&amp;E'!AO$9</f>
        <v>2043</v>
      </c>
      <c r="AP285" s="108">
        <f xml:space="preserve"> 'T&amp;E'!AP$9</f>
        <v>2044</v>
      </c>
      <c r="AQ285" s="108">
        <f xml:space="preserve"> 'T&amp;E'!AQ$9</f>
        <v>2045</v>
      </c>
      <c r="AR285" s="108">
        <f xml:space="preserve"> 'T&amp;E'!AR$9</f>
        <v>2046</v>
      </c>
      <c r="AS285" s="108">
        <f xml:space="preserve"> 'T&amp;E'!AS$9</f>
        <v>2047</v>
      </c>
      <c r="AT285" s="108">
        <f xml:space="preserve"> 'T&amp;E'!AT$9</f>
        <v>2048</v>
      </c>
      <c r="AU285" s="108">
        <f xml:space="preserve"> 'T&amp;E'!AU$9</f>
        <v>2049</v>
      </c>
      <c r="AV285" s="108">
        <f xml:space="preserve"> 'T&amp;E'!AV$9</f>
        <v>2050</v>
      </c>
    </row>
    <row r="286" spans="1:48" s="41" customFormat="1" ht="15" customHeight="1">
      <c r="A286" s="290"/>
      <c r="B286" s="290"/>
      <c r="C286" s="291"/>
      <c r="E286" s="293"/>
      <c r="F286" s="297" t="s">
        <v>612</v>
      </c>
      <c r="G286" s="293"/>
      <c r="H286" s="293"/>
      <c r="I286" s="293"/>
      <c r="J286" s="293"/>
      <c r="K286" s="176"/>
      <c r="L286" s="293"/>
      <c r="M286" s="293"/>
      <c r="N286" s="293"/>
      <c r="O286" s="293"/>
      <c r="P286" s="293"/>
      <c r="Q286" s="293"/>
      <c r="R286" s="293"/>
      <c r="S286" s="293"/>
      <c r="T286" s="293"/>
      <c r="U286" s="293"/>
      <c r="V286" s="293"/>
      <c r="W286" s="293"/>
      <c r="X286" s="293"/>
      <c r="Y286" s="293"/>
      <c r="Z286" s="293"/>
      <c r="AA286" s="293"/>
      <c r="AB286" s="293"/>
      <c r="AC286" s="293"/>
      <c r="AD286" s="293"/>
      <c r="AE286" s="293"/>
      <c r="AF286" s="293"/>
      <c r="AG286" s="293"/>
      <c r="AH286" s="293"/>
      <c r="AI286" s="293"/>
      <c r="AJ286" s="293"/>
      <c r="AK286" s="293"/>
      <c r="AL286" s="293"/>
      <c r="AM286" s="293"/>
      <c r="AN286" s="293"/>
      <c r="AO286" s="293"/>
      <c r="AP286" s="293"/>
      <c r="AQ286" s="293"/>
      <c r="AR286" s="293"/>
      <c r="AS286" s="293"/>
      <c r="AT286" s="293"/>
      <c r="AU286" s="293"/>
      <c r="AV286" s="293"/>
    </row>
    <row r="287" spans="1:48" ht="15" customHeight="1">
      <c r="E287" s="93" t="str">
        <f t="shared" ref="E287:F291" si="16" xml:space="preserve"> E265</f>
        <v>Co forecast: Fut_17Apr25</v>
      </c>
      <c r="F287" s="93" t="str">
        <f t="shared" si="16"/>
        <v>Fut_17Apr25</v>
      </c>
      <c r="G287" s="93" t="s">
        <v>14</v>
      </c>
      <c r="K287" s="46"/>
      <c r="L287" s="3">
        <f t="shared" ref="L287:U287" si="17" xml:space="preserve"> IF($H265 = $F$272, IF(L265 = 0, K287 * L$282 / MAX(1, K$282), L265), IF(L265 = 0, K287 * L$282 / MAX(1,K$282), L265 * L$282))</f>
        <v>0</v>
      </c>
      <c r="M287" s="3">
        <f t="shared" si="17"/>
        <v>0</v>
      </c>
      <c r="N287" s="3">
        <f t="shared" si="17"/>
        <v>0</v>
      </c>
      <c r="O287" s="3">
        <f t="shared" si="17"/>
        <v>0</v>
      </c>
      <c r="P287" s="3">
        <f t="shared" si="17"/>
        <v>0</v>
      </c>
      <c r="Q287" s="3">
        <f t="shared" si="17"/>
        <v>0</v>
      </c>
      <c r="R287" s="3">
        <f t="shared" si="17"/>
        <v>0</v>
      </c>
      <c r="S287" s="3">
        <f t="shared" si="17"/>
        <v>0</v>
      </c>
      <c r="T287" s="3">
        <f t="shared" si="17"/>
        <v>0</v>
      </c>
      <c r="U287" s="3">
        <f t="shared" si="17"/>
        <v>0</v>
      </c>
      <c r="V287" s="3">
        <f t="shared" ref="V287:AV287" si="18" xml:space="preserve"> IF($H265 = $F$272, IF(V265 = 0, U287 * V$282 / MAX(1, U$282), V265), IF(V265 = 0, U287 * V$282 / MAX(1,U$282), V265 * V$282))</f>
        <v>0</v>
      </c>
      <c r="W287" s="3">
        <f t="shared" si="18"/>
        <v>35935.305999999997</v>
      </c>
      <c r="X287" s="3">
        <f t="shared" si="18"/>
        <v>37478.54</v>
      </c>
      <c r="Y287" s="3">
        <f t="shared" si="18"/>
        <v>39683.159999999996</v>
      </c>
      <c r="Z287" s="3">
        <f t="shared" si="18"/>
        <v>39683.159999999996</v>
      </c>
      <c r="AA287" s="3">
        <f t="shared" si="18"/>
        <v>39683.159999999996</v>
      </c>
      <c r="AB287" s="3">
        <f t="shared" si="18"/>
        <v>40546.231076794866</v>
      </c>
      <c r="AC287" s="3">
        <f t="shared" si="18"/>
        <v>41357.155698330767</v>
      </c>
      <c r="AD287" s="3">
        <f t="shared" si="18"/>
        <v>42184.298812297377</v>
      </c>
      <c r="AE287" s="3">
        <f t="shared" si="18"/>
        <v>43027.984788543334</v>
      </c>
      <c r="AF287" s="3">
        <f t="shared" si="18"/>
        <v>43888.544484314189</v>
      </c>
      <c r="AG287" s="3">
        <f t="shared" si="18"/>
        <v>44766.315374000478</v>
      </c>
      <c r="AH287" s="3">
        <f t="shared" si="18"/>
        <v>45661.641681480491</v>
      </c>
      <c r="AI287" s="3">
        <f t="shared" si="18"/>
        <v>46574.874515110103</v>
      </c>
      <c r="AJ287" s="3">
        <f t="shared" si="18"/>
        <v>47506.372005412311</v>
      </c>
      <c r="AK287" s="3">
        <f t="shared" si="18"/>
        <v>48456.49944552056</v>
      </c>
      <c r="AL287" s="3">
        <f t="shared" si="18"/>
        <v>49425.629434430964</v>
      </c>
      <c r="AM287" s="3">
        <f t="shared" si="18"/>
        <v>50414.142023119581</v>
      </c>
      <c r="AN287" s="3">
        <f t="shared" si="18"/>
        <v>51422.424863581982</v>
      </c>
      <c r="AO287" s="3">
        <f t="shared" si="18"/>
        <v>52450.87336085362</v>
      </c>
      <c r="AP287" s="3">
        <f t="shared" si="18"/>
        <v>53499.890828070696</v>
      </c>
      <c r="AQ287" s="3">
        <f t="shared" si="18"/>
        <v>54569.888644632105</v>
      </c>
      <c r="AR287" s="3">
        <f t="shared" si="18"/>
        <v>55661.286417524745</v>
      </c>
      <c r="AS287" s="3">
        <f t="shared" si="18"/>
        <v>56774.512145875233</v>
      </c>
      <c r="AT287" s="3">
        <f t="shared" si="18"/>
        <v>57910.002388792753</v>
      </c>
      <c r="AU287" s="3">
        <f t="shared" si="18"/>
        <v>59068.202436568608</v>
      </c>
      <c r="AV287" s="3">
        <f t="shared" si="18"/>
        <v>60249.566485299983</v>
      </c>
    </row>
    <row r="288" spans="1:48" ht="15" customHeight="1">
      <c r="E288" s="93" t="str">
        <f t="shared" si="16"/>
        <v>Co forecast: IMF_WEO</v>
      </c>
      <c r="F288" s="93" t="str">
        <f t="shared" si="16"/>
        <v>IMF_WEO</v>
      </c>
      <c r="G288" s="93" t="s">
        <v>14</v>
      </c>
      <c r="K288" s="46"/>
      <c r="L288" s="3">
        <f t="shared" ref="L288:U288" si="19" xml:space="preserve"> IF($H266 = $F$272, IF(L266 = 0, K288 * L$282 / MAX(1, K$282), L266), IF(L266 = 0, K288 * L$282 / MAX(1,K$282), L266 * L$282))</f>
        <v>0</v>
      </c>
      <c r="M288" s="3">
        <f t="shared" si="19"/>
        <v>0</v>
      </c>
      <c r="N288" s="3">
        <f t="shared" si="19"/>
        <v>0</v>
      </c>
      <c r="O288" s="3">
        <f t="shared" si="19"/>
        <v>0</v>
      </c>
      <c r="P288" s="3">
        <f t="shared" si="19"/>
        <v>0</v>
      </c>
      <c r="Q288" s="3">
        <f t="shared" si="19"/>
        <v>0</v>
      </c>
      <c r="R288" s="3">
        <f t="shared" si="19"/>
        <v>0</v>
      </c>
      <c r="S288" s="3">
        <f t="shared" si="19"/>
        <v>0</v>
      </c>
      <c r="T288" s="3">
        <f t="shared" si="19"/>
        <v>0</v>
      </c>
      <c r="U288" s="3">
        <f t="shared" si="19"/>
        <v>0</v>
      </c>
      <c r="V288" s="3">
        <f t="shared" ref="V288:AV288" si="20" xml:space="preserve"> IF($H266 = $F$272, IF(V266 = 0, U288 * V$282 / MAX(1, U$282), V266), IF(V266 = 0, U288 * V$282 / MAX(1,U$282), V266 * V$282))</f>
        <v>0</v>
      </c>
      <c r="W288" s="3">
        <f t="shared" si="20"/>
        <v>40000</v>
      </c>
      <c r="X288" s="3">
        <f t="shared" si="20"/>
        <v>40000</v>
      </c>
      <c r="Y288" s="3">
        <f t="shared" si="20"/>
        <v>40000</v>
      </c>
      <c r="Z288" s="3">
        <f t="shared" si="20"/>
        <v>40000</v>
      </c>
      <c r="AA288" s="3">
        <f t="shared" si="20"/>
        <v>40000</v>
      </c>
      <c r="AB288" s="3">
        <f t="shared" si="20"/>
        <v>40869.962046162531</v>
      </c>
      <c r="AC288" s="3">
        <f t="shared" si="20"/>
        <v>41687.361287085783</v>
      </c>
      <c r="AD288" s="3">
        <f t="shared" si="20"/>
        <v>42521.108512827494</v>
      </c>
      <c r="AE288" s="3">
        <f t="shared" si="20"/>
        <v>43371.530683084049</v>
      </c>
      <c r="AF288" s="3">
        <f t="shared" si="20"/>
        <v>44238.961296745721</v>
      </c>
      <c r="AG288" s="3">
        <f t="shared" si="20"/>
        <v>45123.740522680637</v>
      </c>
      <c r="AH288" s="3">
        <f t="shared" si="20"/>
        <v>46026.215333134256</v>
      </c>
      <c r="AI288" s="3">
        <f t="shared" si="20"/>
        <v>46946.739639796942</v>
      </c>
      <c r="AJ288" s="3">
        <f t="shared" si="20"/>
        <v>47885.674432592888</v>
      </c>
      <c r="AK288" s="3">
        <f t="shared" si="20"/>
        <v>48843.38792124475</v>
      </c>
      <c r="AL288" s="3">
        <f t="shared" si="20"/>
        <v>49820.255679669637</v>
      </c>
      <c r="AM288" s="3">
        <f t="shared" si="20"/>
        <v>50816.660793263036</v>
      </c>
      <c r="AN288" s="3">
        <f t="shared" si="20"/>
        <v>51832.994009128306</v>
      </c>
      <c r="AO288" s="3">
        <f t="shared" si="20"/>
        <v>52869.653889310874</v>
      </c>
      <c r="AP288" s="3">
        <f t="shared" si="20"/>
        <v>53927.046967097092</v>
      </c>
      <c r="AQ288" s="3">
        <f t="shared" si="20"/>
        <v>55005.587906439039</v>
      </c>
      <c r="AR288" s="3">
        <f t="shared" si="20"/>
        <v>56105.699664567815</v>
      </c>
      <c r="AS288" s="3">
        <f t="shared" si="20"/>
        <v>57227.813657859173</v>
      </c>
      <c r="AT288" s="3">
        <f t="shared" si="20"/>
        <v>58372.369931016365</v>
      </c>
      <c r="AU288" s="3">
        <f t="shared" si="20"/>
        <v>59539.817329636688</v>
      </c>
      <c r="AV288" s="3">
        <f t="shared" si="20"/>
        <v>60730.613676229419</v>
      </c>
    </row>
    <row r="289" spans="1:48" ht="15" customHeight="1">
      <c r="E289" s="93" t="str">
        <f t="shared" si="16"/>
        <v>Co forecast: ConstReal</v>
      </c>
      <c r="F289" s="93" t="str">
        <f t="shared" si="16"/>
        <v>ConstReal</v>
      </c>
      <c r="G289" s="93" t="s">
        <v>14</v>
      </c>
      <c r="K289" s="46"/>
      <c r="L289" s="3">
        <f t="shared" ref="L289:U289" si="21" xml:space="preserve"> IF($H267 = $F$272, IF(L267 = 0, K289 * L$282 / MAX(1, K$282), L267), IF(L267 = 0, K289 * L$282 / MAX(1,K$282), L267 * L$282))</f>
        <v>0</v>
      </c>
      <c r="M289" s="3">
        <f t="shared" si="21"/>
        <v>0</v>
      </c>
      <c r="N289" s="3">
        <f t="shared" si="21"/>
        <v>0</v>
      </c>
      <c r="O289" s="3">
        <f t="shared" si="21"/>
        <v>0</v>
      </c>
      <c r="P289" s="3">
        <f t="shared" si="21"/>
        <v>0</v>
      </c>
      <c r="Q289" s="3">
        <f t="shared" si="21"/>
        <v>0</v>
      </c>
      <c r="R289" s="3">
        <f t="shared" si="21"/>
        <v>0</v>
      </c>
      <c r="S289" s="3">
        <f t="shared" si="21"/>
        <v>0</v>
      </c>
      <c r="T289" s="3">
        <f t="shared" si="21"/>
        <v>0</v>
      </c>
      <c r="U289" s="3">
        <f t="shared" si="21"/>
        <v>0</v>
      </c>
      <c r="V289" s="3">
        <f t="shared" ref="V289:AV289" si="22" xml:space="preserve"> IF($H267 = $F$272, IF(V267 = 0, U289 * V$282 / MAX(1, U$282), V267), IF(V267 = 0, U289 * V$282 / MAX(1,U$282), V267 * V$282))</f>
        <v>0</v>
      </c>
      <c r="W289" s="3">
        <f t="shared" si="22"/>
        <v>35000</v>
      </c>
      <c r="X289" s="3">
        <f t="shared" si="22"/>
        <v>35862.893490574796</v>
      </c>
      <c r="Y289" s="3">
        <f t="shared" si="22"/>
        <v>36619.726375088998</v>
      </c>
      <c r="Z289" s="3">
        <f t="shared" si="22"/>
        <v>37409.05995604668</v>
      </c>
      <c r="AA289" s="3">
        <f t="shared" si="22"/>
        <v>38220.494010585942</v>
      </c>
      <c r="AB289" s="3">
        <f t="shared" si="22"/>
        <v>39051.753489955736</v>
      </c>
      <c r="AC289" s="3">
        <f t="shared" si="22"/>
        <v>39832.788559754852</v>
      </c>
      <c r="AD289" s="3">
        <f t="shared" si="22"/>
        <v>40629.444330949947</v>
      </c>
      <c r="AE289" s="3">
        <f t="shared" si="22"/>
        <v>41442.033217568955</v>
      </c>
      <c r="AF289" s="3">
        <f t="shared" si="22"/>
        <v>42270.873881920328</v>
      </c>
      <c r="AG289" s="3">
        <f t="shared" si="22"/>
        <v>43116.291359558738</v>
      </c>
      <c r="AH289" s="3">
        <f t="shared" si="22"/>
        <v>43978.617186749914</v>
      </c>
      <c r="AI289" s="3">
        <f t="shared" si="22"/>
        <v>44858.189530484909</v>
      </c>
      <c r="AJ289" s="3">
        <f t="shared" si="22"/>
        <v>45755.353321094612</v>
      </c>
      <c r="AK289" s="3">
        <f t="shared" si="22"/>
        <v>46670.460387516512</v>
      </c>
      <c r="AL289" s="3">
        <f t="shared" si="22"/>
        <v>47603.869595266835</v>
      </c>
      <c r="AM289" s="3">
        <f t="shared" si="22"/>
        <v>48555.946987172167</v>
      </c>
      <c r="AN289" s="3">
        <f t="shared" si="22"/>
        <v>49527.065926915617</v>
      </c>
      <c r="AO289" s="3">
        <f t="shared" si="22"/>
        <v>50517.607245453932</v>
      </c>
      <c r="AP289" s="3">
        <f t="shared" si="22"/>
        <v>51527.959390363016</v>
      </c>
      <c r="AQ289" s="3">
        <f t="shared" si="22"/>
        <v>52558.518578170275</v>
      </c>
      <c r="AR289" s="3">
        <f t="shared" si="22"/>
        <v>53609.688949733682</v>
      </c>
      <c r="AS289" s="3">
        <f t="shared" si="22"/>
        <v>54681.882728728357</v>
      </c>
      <c r="AT289" s="3">
        <f t="shared" si="22"/>
        <v>55775.520383302937</v>
      </c>
      <c r="AU289" s="3">
        <f t="shared" si="22"/>
        <v>56891.030790968995</v>
      </c>
      <c r="AV289" s="3">
        <f t="shared" si="22"/>
        <v>58028.851406788381</v>
      </c>
    </row>
    <row r="290" spans="1:48" ht="15" customHeight="1">
      <c r="E290" s="93" t="str">
        <f t="shared" si="16"/>
        <v>Co forecast: Downside</v>
      </c>
      <c r="F290" s="93" t="str">
        <f t="shared" si="16"/>
        <v>Downside</v>
      </c>
      <c r="G290" s="93" t="s">
        <v>14</v>
      </c>
      <c r="K290" s="46"/>
      <c r="L290" s="3">
        <f t="shared" ref="L290:U290" si="23" xml:space="preserve"> IF($H268 = $F$272, IF(L268 = 0, K290 * L$282 / MAX(1, K$282), L268), IF(L268 = 0, K290 * L$282 / MAX(1,K$282), L268 * L$282))</f>
        <v>0</v>
      </c>
      <c r="M290" s="3">
        <f t="shared" si="23"/>
        <v>0</v>
      </c>
      <c r="N290" s="3">
        <f t="shared" si="23"/>
        <v>0</v>
      </c>
      <c r="O290" s="3">
        <f t="shared" si="23"/>
        <v>0</v>
      </c>
      <c r="P290" s="3">
        <f t="shared" si="23"/>
        <v>0</v>
      </c>
      <c r="Q290" s="3">
        <f t="shared" si="23"/>
        <v>0</v>
      </c>
      <c r="R290" s="3">
        <f t="shared" si="23"/>
        <v>0</v>
      </c>
      <c r="S290" s="3">
        <f t="shared" si="23"/>
        <v>0</v>
      </c>
      <c r="T290" s="3">
        <f t="shared" si="23"/>
        <v>0</v>
      </c>
      <c r="U290" s="3">
        <f t="shared" si="23"/>
        <v>0</v>
      </c>
      <c r="V290" s="3">
        <f t="shared" ref="V290:AV290" si="24" xml:space="preserve"> IF($H268 = $F$272, IF(V268 = 0, U290 * V$282 / MAX(1, U$282), V268), IF(V268 = 0, U290 * V$282 / MAX(1,U$282), V268 * V$282))</f>
        <v>0</v>
      </c>
      <c r="W290" s="3">
        <f t="shared" si="24"/>
        <v>40000</v>
      </c>
      <c r="X290" s="3">
        <f t="shared" si="24"/>
        <v>35862.893490574796</v>
      </c>
      <c r="Y290" s="3">
        <f t="shared" si="24"/>
        <v>31388.336892933425</v>
      </c>
      <c r="Z290" s="3">
        <f t="shared" si="24"/>
        <v>26720.757111461913</v>
      </c>
      <c r="AA290" s="3">
        <f t="shared" si="24"/>
        <v>21840.282291763397</v>
      </c>
      <c r="AB290" s="3">
        <f t="shared" si="24"/>
        <v>22315.287708546137</v>
      </c>
      <c r="AC290" s="3">
        <f t="shared" si="24"/>
        <v>22761.593462717061</v>
      </c>
      <c r="AD290" s="3">
        <f t="shared" si="24"/>
        <v>23216.825331971399</v>
      </c>
      <c r="AE290" s="3">
        <f t="shared" si="24"/>
        <v>23681.161838610828</v>
      </c>
      <c r="AF290" s="3">
        <f t="shared" si="24"/>
        <v>24154.785075383039</v>
      </c>
      <c r="AG290" s="3">
        <f t="shared" si="24"/>
        <v>24637.880776890699</v>
      </c>
      <c r="AH290" s="3">
        <f t="shared" si="24"/>
        <v>25130.638392428515</v>
      </c>
      <c r="AI290" s="3">
        <f t="shared" si="24"/>
        <v>25633.251160277086</v>
      </c>
      <c r="AJ290" s="3">
        <f t="shared" si="24"/>
        <v>26145.916183482634</v>
      </c>
      <c r="AK290" s="3">
        <f t="shared" si="24"/>
        <v>26668.834507152289</v>
      </c>
      <c r="AL290" s="3">
        <f t="shared" si="24"/>
        <v>27202.211197295332</v>
      </c>
      <c r="AM290" s="3">
        <f t="shared" si="24"/>
        <v>27746.255421241243</v>
      </c>
      <c r="AN290" s="3">
        <f t="shared" si="24"/>
        <v>28301.180529666068</v>
      </c>
      <c r="AO290" s="3">
        <f t="shared" si="24"/>
        <v>28867.204140259393</v>
      </c>
      <c r="AP290" s="3">
        <f t="shared" si="24"/>
        <v>29444.548223064579</v>
      </c>
      <c r="AQ290" s="3">
        <f t="shared" si="24"/>
        <v>30033.43918752587</v>
      </c>
      <c r="AR290" s="3">
        <f t="shared" si="24"/>
        <v>30634.107971276389</v>
      </c>
      <c r="AS290" s="3">
        <f t="shared" si="24"/>
        <v>31246.790130701916</v>
      </c>
      <c r="AT290" s="3">
        <f t="shared" si="24"/>
        <v>31871.725933315964</v>
      </c>
      <c r="AU290" s="3">
        <f t="shared" si="24"/>
        <v>32509.160451982279</v>
      </c>
      <c r="AV290" s="3">
        <f t="shared" si="24"/>
        <v>33159.343661021921</v>
      </c>
    </row>
    <row r="291" spans="1:48" ht="15" customHeight="1">
      <c r="E291" s="93" t="str">
        <f t="shared" si="16"/>
        <v>Co forecast: Other3</v>
      </c>
      <c r="F291" s="93" t="str">
        <f t="shared" si="16"/>
        <v>Other3</v>
      </c>
      <c r="G291" s="93" t="s">
        <v>14</v>
      </c>
      <c r="K291" s="46"/>
      <c r="L291" s="3">
        <f t="shared" ref="L291:U291" si="25" xml:space="preserve"> IF($H269 = $F$272, IF(L269 = 0, K291 * L$282 / MAX(1, K$282), L269), IF(L269 = 0, K291 * L$282 / MAX(1,K$282), L269 * L$282))</f>
        <v>0</v>
      </c>
      <c r="M291" s="3">
        <f t="shared" si="25"/>
        <v>0</v>
      </c>
      <c r="N291" s="3">
        <f t="shared" si="25"/>
        <v>0</v>
      </c>
      <c r="O291" s="3">
        <f t="shared" si="25"/>
        <v>0</v>
      </c>
      <c r="P291" s="3">
        <f t="shared" si="25"/>
        <v>0</v>
      </c>
      <c r="Q291" s="3">
        <f t="shared" si="25"/>
        <v>0</v>
      </c>
      <c r="R291" s="3">
        <f t="shared" si="25"/>
        <v>0</v>
      </c>
      <c r="S291" s="3">
        <f t="shared" si="25"/>
        <v>0</v>
      </c>
      <c r="T291" s="3">
        <f t="shared" si="25"/>
        <v>0</v>
      </c>
      <c r="U291" s="3">
        <f t="shared" si="25"/>
        <v>0</v>
      </c>
      <c r="V291" s="3">
        <f t="shared" ref="V291:AV291" si="26" xml:space="preserve"> IF($H269 = $F$272, IF(V269 = 0, U291 * V$282 / MAX(1, U$282), V269), IF(V269 = 0, U291 * V$282 / MAX(1,U$282), V269 * V$282))</f>
        <v>0</v>
      </c>
      <c r="W291" s="3">
        <f t="shared" si="26"/>
        <v>25000</v>
      </c>
      <c r="X291" s="3">
        <f t="shared" si="26"/>
        <v>25616.352493267714</v>
      </c>
      <c r="Y291" s="3">
        <f t="shared" si="26"/>
        <v>26156.947410777851</v>
      </c>
      <c r="Z291" s="3">
        <f t="shared" si="26"/>
        <v>26720.757111461913</v>
      </c>
      <c r="AA291" s="3">
        <f t="shared" si="26"/>
        <v>27300.352864704248</v>
      </c>
      <c r="AB291" s="3">
        <f t="shared" si="26"/>
        <v>27894.109635682675</v>
      </c>
      <c r="AC291" s="3">
        <f t="shared" si="26"/>
        <v>28451.991828396331</v>
      </c>
      <c r="AD291" s="3">
        <f t="shared" si="26"/>
        <v>29021.031664964255</v>
      </c>
      <c r="AE291" s="3">
        <f t="shared" si="26"/>
        <v>29601.452298263543</v>
      </c>
      <c r="AF291" s="3">
        <f t="shared" si="26"/>
        <v>30193.481344228807</v>
      </c>
      <c r="AG291" s="3">
        <f t="shared" si="26"/>
        <v>30797.350971113385</v>
      </c>
      <c r="AH291" s="3">
        <f t="shared" si="26"/>
        <v>31413.297990535655</v>
      </c>
      <c r="AI291" s="3">
        <f t="shared" si="26"/>
        <v>32041.563950346368</v>
      </c>
      <c r="AJ291" s="3">
        <f t="shared" si="26"/>
        <v>32682.395229353297</v>
      </c>
      <c r="AK291" s="3">
        <f t="shared" si="26"/>
        <v>33336.043133940366</v>
      </c>
      <c r="AL291" s="3">
        <f t="shared" si="26"/>
        <v>34002.763996619171</v>
      </c>
      <c r="AM291" s="3">
        <f t="shared" si="26"/>
        <v>34682.819276551556</v>
      </c>
      <c r="AN291" s="3">
        <f t="shared" si="26"/>
        <v>35376.475662082586</v>
      </c>
      <c r="AO291" s="3">
        <f t="shared" si="26"/>
        <v>36084.005175324237</v>
      </c>
      <c r="AP291" s="3">
        <f t="shared" si="26"/>
        <v>36805.685278830722</v>
      </c>
      <c r="AQ291" s="3">
        <f t="shared" si="26"/>
        <v>37541.798984407338</v>
      </c>
      <c r="AR291" s="3">
        <f t="shared" si="26"/>
        <v>38292.634964095487</v>
      </c>
      <c r="AS291" s="3">
        <f t="shared" si="26"/>
        <v>39058.487663377397</v>
      </c>
      <c r="AT291" s="3">
        <f t="shared" si="26"/>
        <v>39839.65741664495</v>
      </c>
      <c r="AU291" s="3">
        <f t="shared" si="26"/>
        <v>40636.450564977851</v>
      </c>
      <c r="AV291" s="3">
        <f t="shared" si="26"/>
        <v>41449.179576277405</v>
      </c>
    </row>
    <row r="292" spans="1:48" ht="15" customHeight="1">
      <c r="E292" s="298"/>
      <c r="F292" s="298" t="s">
        <v>613</v>
      </c>
      <c r="G292" s="298"/>
      <c r="H292" s="294"/>
      <c r="I292" s="295"/>
      <c r="J292" s="294"/>
      <c r="K292" s="46"/>
      <c r="L292" s="296"/>
      <c r="M292" s="296"/>
      <c r="N292" s="296"/>
      <c r="O292" s="296"/>
      <c r="P292" s="296"/>
      <c r="Q292" s="296"/>
      <c r="R292" s="296"/>
      <c r="S292" s="296"/>
      <c r="T292" s="296"/>
      <c r="U292" s="296"/>
      <c r="V292" s="296"/>
      <c r="W292" s="296"/>
      <c r="X292" s="296"/>
      <c r="Y292" s="296"/>
      <c r="Z292" s="296"/>
      <c r="AA292" s="296"/>
      <c r="AB292" s="296"/>
      <c r="AC292" s="296"/>
      <c r="AD292" s="296"/>
      <c r="AE292" s="296"/>
      <c r="AF292" s="296"/>
      <c r="AG292" s="296"/>
      <c r="AH292" s="296"/>
      <c r="AI292" s="296"/>
      <c r="AJ292" s="296"/>
      <c r="AK292" s="296"/>
      <c r="AL292" s="296"/>
      <c r="AM292" s="296"/>
      <c r="AN292" s="296"/>
      <c r="AO292" s="296"/>
      <c r="AP292" s="296"/>
      <c r="AQ292" s="296"/>
      <c r="AR292" s="296"/>
      <c r="AS292" s="296"/>
      <c r="AT292" s="296"/>
      <c r="AU292" s="296"/>
      <c r="AV292" s="296"/>
    </row>
    <row r="293" spans="1:48" ht="15" customHeight="1">
      <c r="K293" s="46"/>
    </row>
    <row r="294" spans="1:48" ht="15" customHeight="1">
      <c r="E294" s="108" t="str">
        <f xml:space="preserve"> Metalkol_Model1!E$100</f>
        <v>Cobalt forecast price</v>
      </c>
      <c r="F294" s="108" t="str">
        <f xml:space="preserve"> Metalkol_Model1!F$100</f>
        <v>IMF_WEO</v>
      </c>
      <c r="G294" s="108" t="str">
        <f xml:space="preserve"> Metalkol_Model1!G$100</f>
        <v>option selected</v>
      </c>
      <c r="K294" s="46"/>
    </row>
    <row r="295" spans="1:48" ht="15" customHeight="1">
      <c r="E295" s="93" t="str">
        <f t="shared" ref="E295:AV295" si="27" xml:space="preserve"> INDEX(E286:E292, MATCH($F294, $F286:$F292, 0))</f>
        <v>Co forecast: IMF_WEO</v>
      </c>
      <c r="F295" s="93" t="str">
        <f t="shared" si="27"/>
        <v>IMF_WEO</v>
      </c>
      <c r="G295" s="93" t="str">
        <f t="shared" si="27"/>
        <v>$ / tonne</v>
      </c>
      <c r="H295" s="3">
        <f t="shared" si="27"/>
        <v>0</v>
      </c>
      <c r="I295" s="3">
        <f t="shared" si="27"/>
        <v>0</v>
      </c>
      <c r="J295" s="3">
        <f t="shared" si="27"/>
        <v>0</v>
      </c>
      <c r="K295" s="97">
        <f t="shared" si="27"/>
        <v>0</v>
      </c>
      <c r="L295" s="3">
        <f t="shared" si="27"/>
        <v>0</v>
      </c>
      <c r="M295" s="3">
        <f t="shared" si="27"/>
        <v>0</v>
      </c>
      <c r="N295" s="3">
        <f t="shared" si="27"/>
        <v>0</v>
      </c>
      <c r="O295" s="3">
        <f t="shared" si="27"/>
        <v>0</v>
      </c>
      <c r="P295" s="3">
        <f t="shared" si="27"/>
        <v>0</v>
      </c>
      <c r="Q295" s="3">
        <f t="shared" si="27"/>
        <v>0</v>
      </c>
      <c r="R295" s="3">
        <f t="shared" si="27"/>
        <v>0</v>
      </c>
      <c r="S295" s="3">
        <f t="shared" si="27"/>
        <v>0</v>
      </c>
      <c r="T295" s="3">
        <f t="shared" si="27"/>
        <v>0</v>
      </c>
      <c r="U295" s="3">
        <f t="shared" si="27"/>
        <v>0</v>
      </c>
      <c r="V295" s="3">
        <f t="shared" si="27"/>
        <v>0</v>
      </c>
      <c r="W295" s="3">
        <f t="shared" si="27"/>
        <v>40000</v>
      </c>
      <c r="X295" s="3">
        <f t="shared" si="27"/>
        <v>40000</v>
      </c>
      <c r="Y295" s="3">
        <f t="shared" si="27"/>
        <v>40000</v>
      </c>
      <c r="Z295" s="3">
        <f t="shared" si="27"/>
        <v>40000</v>
      </c>
      <c r="AA295" s="3">
        <f t="shared" si="27"/>
        <v>40000</v>
      </c>
      <c r="AB295" s="3">
        <f t="shared" si="27"/>
        <v>40869.962046162531</v>
      </c>
      <c r="AC295" s="3">
        <f t="shared" si="27"/>
        <v>41687.361287085783</v>
      </c>
      <c r="AD295" s="3">
        <f t="shared" si="27"/>
        <v>42521.108512827494</v>
      </c>
      <c r="AE295" s="3">
        <f t="shared" si="27"/>
        <v>43371.530683084049</v>
      </c>
      <c r="AF295" s="3">
        <f t="shared" si="27"/>
        <v>44238.961296745721</v>
      </c>
      <c r="AG295" s="3">
        <f t="shared" si="27"/>
        <v>45123.740522680637</v>
      </c>
      <c r="AH295" s="3">
        <f t="shared" si="27"/>
        <v>46026.215333134256</v>
      </c>
      <c r="AI295" s="3">
        <f t="shared" si="27"/>
        <v>46946.739639796942</v>
      </c>
      <c r="AJ295" s="3">
        <f t="shared" si="27"/>
        <v>47885.674432592888</v>
      </c>
      <c r="AK295" s="3">
        <f t="shared" si="27"/>
        <v>48843.38792124475</v>
      </c>
      <c r="AL295" s="3">
        <f t="shared" si="27"/>
        <v>49820.255679669637</v>
      </c>
      <c r="AM295" s="3">
        <f t="shared" si="27"/>
        <v>50816.660793263036</v>
      </c>
      <c r="AN295" s="3">
        <f t="shared" si="27"/>
        <v>51832.994009128306</v>
      </c>
      <c r="AO295" s="3">
        <f t="shared" si="27"/>
        <v>52869.653889310874</v>
      </c>
      <c r="AP295" s="3">
        <f t="shared" si="27"/>
        <v>53927.046967097092</v>
      </c>
      <c r="AQ295" s="3">
        <f t="shared" si="27"/>
        <v>55005.587906439039</v>
      </c>
      <c r="AR295" s="3">
        <f t="shared" si="27"/>
        <v>56105.699664567815</v>
      </c>
      <c r="AS295" s="3">
        <f t="shared" si="27"/>
        <v>57227.813657859173</v>
      </c>
      <c r="AT295" s="3">
        <f t="shared" si="27"/>
        <v>58372.369931016365</v>
      </c>
      <c r="AU295" s="3">
        <f t="shared" si="27"/>
        <v>59539.817329636688</v>
      </c>
      <c r="AV295" s="3">
        <f t="shared" si="27"/>
        <v>60730.613676229419</v>
      </c>
    </row>
    <row r="296" spans="1:48" ht="15" customHeight="1">
      <c r="D296" s="38"/>
      <c r="I296" s="18"/>
      <c r="K296" s="46"/>
      <c r="T296" s="3"/>
      <c r="X296" s="3"/>
      <c r="Y296" s="3"/>
      <c r="Z296" s="3"/>
    </row>
    <row r="297" spans="1:48" ht="15" customHeight="1">
      <c r="B297" s="16" t="s">
        <v>293</v>
      </c>
      <c r="D297" s="38"/>
      <c r="I297" s="18"/>
      <c r="K297" s="46"/>
    </row>
    <row r="298" spans="1:48" ht="15" customHeight="1">
      <c r="D298" s="38"/>
      <c r="E298" s="93" t="s">
        <v>294</v>
      </c>
      <c r="G298" s="93" t="s">
        <v>29</v>
      </c>
      <c r="I298" s="41" t="str">
        <f xml:space="preserve"> Sources!I$6</f>
        <v>II</v>
      </c>
      <c r="K298" s="46"/>
      <c r="L298" s="85"/>
      <c r="M298" s="85"/>
      <c r="N298" s="85"/>
      <c r="O298" s="85"/>
      <c r="P298" s="85"/>
      <c r="Q298" s="85"/>
      <c r="R298" s="85"/>
      <c r="S298" s="85">
        <v>643.78099999999995</v>
      </c>
      <c r="T298" s="85">
        <v>1007.172</v>
      </c>
      <c r="U298" s="85">
        <v>597.18200000000002</v>
      </c>
      <c r="V298" s="85">
        <v>-26.678999999999998</v>
      </c>
      <c r="W298" s="85">
        <v>3.0070000000000001</v>
      </c>
      <c r="X298" s="85">
        <v>867.91700000000003</v>
      </c>
      <c r="Y298" s="85">
        <v>1327.9590000000001</v>
      </c>
      <c r="Z298" s="85"/>
      <c r="AA298" s="85"/>
      <c r="AB298" s="85"/>
      <c r="AC298" s="85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</row>
    <row r="299" spans="1:48" ht="15" customHeight="1">
      <c r="D299" s="38"/>
      <c r="E299" s="93" t="s">
        <v>295</v>
      </c>
      <c r="G299" s="93" t="s">
        <v>29</v>
      </c>
      <c r="I299" s="41" t="str">
        <f xml:space="preserve"> Sources!I$6</f>
        <v>II</v>
      </c>
      <c r="K299" s="46"/>
      <c r="L299" s="85"/>
      <c r="M299" s="85"/>
      <c r="N299" s="85"/>
      <c r="O299" s="85"/>
      <c r="P299" s="85"/>
      <c r="Q299" s="85"/>
      <c r="R299" s="85"/>
      <c r="S299" s="85">
        <v>57.496000000000002</v>
      </c>
      <c r="T299" s="85">
        <v>71.337999999999994</v>
      </c>
      <c r="U299" s="85">
        <v>72.519000000000005</v>
      </c>
      <c r="V299" s="85">
        <v>-0.44800000000000001</v>
      </c>
      <c r="W299" s="85"/>
      <c r="X299" s="85">
        <v>396.91399999999999</v>
      </c>
      <c r="Y299" s="85">
        <v>58.353999999999999</v>
      </c>
      <c r="Z299" s="85"/>
      <c r="AA299" s="85"/>
      <c r="AB299" s="85"/>
      <c r="AC299" s="85"/>
      <c r="AD299" s="85"/>
      <c r="AE299" s="85"/>
      <c r="AF299" s="85"/>
      <c r="AG299" s="85"/>
      <c r="AH299" s="85"/>
      <c r="AI299" s="85"/>
      <c r="AJ299" s="85"/>
      <c r="AK299" s="85"/>
      <c r="AL299" s="85"/>
      <c r="AM299" s="85"/>
      <c r="AN299" s="85"/>
      <c r="AO299" s="85"/>
      <c r="AP299" s="85"/>
      <c r="AQ299" s="85"/>
      <c r="AR299" s="85"/>
      <c r="AS299" s="85"/>
      <c r="AT299" s="85"/>
      <c r="AU299" s="85"/>
      <c r="AV299" s="85"/>
    </row>
    <row r="300" spans="1:48" ht="15" customHeight="1">
      <c r="D300" s="38"/>
      <c r="E300" s="93" t="s">
        <v>296</v>
      </c>
      <c r="G300" s="93" t="s">
        <v>29</v>
      </c>
      <c r="I300" s="41" t="str">
        <f xml:space="preserve"> Sources!I$6</f>
        <v>II</v>
      </c>
      <c r="K300" s="46"/>
      <c r="L300" s="85"/>
      <c r="M300" s="85"/>
      <c r="N300" s="85"/>
      <c r="O300" s="85"/>
      <c r="P300" s="85"/>
      <c r="Q300" s="85"/>
      <c r="R300" s="85"/>
      <c r="S300" s="85">
        <v>104.343</v>
      </c>
      <c r="T300" s="85"/>
      <c r="U300" s="85"/>
      <c r="V300" s="85"/>
      <c r="W300" s="85">
        <v>22.286000000000001</v>
      </c>
      <c r="X300" s="85">
        <v>0.26300000000000001</v>
      </c>
      <c r="Y300" s="85"/>
      <c r="Z300" s="85"/>
      <c r="AA300" s="85"/>
      <c r="AB300" s="85"/>
      <c r="AC300" s="85"/>
      <c r="AD300" s="85"/>
      <c r="AE300" s="85"/>
      <c r="AF300" s="85"/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85"/>
      <c r="AR300" s="85"/>
      <c r="AS300" s="85"/>
      <c r="AT300" s="85"/>
      <c r="AU300" s="85"/>
      <c r="AV300" s="85"/>
    </row>
    <row r="301" spans="1:48" ht="15" customHeight="1" collapsed="1">
      <c r="D301" s="38"/>
      <c r="I301" s="18"/>
      <c r="K301" s="46"/>
    </row>
    <row r="302" spans="1:48" ht="15" customHeight="1">
      <c r="D302" s="38"/>
      <c r="I302" s="18"/>
      <c r="K302" s="46"/>
    </row>
    <row r="303" spans="1:48" s="31" customFormat="1" ht="15" customHeight="1">
      <c r="A303" s="34" t="s">
        <v>297</v>
      </c>
      <c r="B303" s="28"/>
      <c r="C303" s="29"/>
      <c r="D303" s="30"/>
      <c r="E303" s="701"/>
      <c r="F303" s="701"/>
      <c r="G303" s="701"/>
      <c r="H303" s="28"/>
      <c r="I303" s="28"/>
      <c r="J303" s="28"/>
      <c r="K303" s="42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</row>
    <row r="304" spans="1:48" ht="15" customHeight="1">
      <c r="D304" s="38"/>
      <c r="I304" s="18"/>
      <c r="K304" s="46"/>
    </row>
    <row r="305" spans="1:57" ht="15" customHeight="1">
      <c r="D305" s="38"/>
      <c r="E305" s="93" t="s">
        <v>298</v>
      </c>
      <c r="G305" s="93" t="s">
        <v>29</v>
      </c>
      <c r="I305" s="70" t="str">
        <f xml:space="preserve"> Sources!I$15</f>
        <v>XI</v>
      </c>
      <c r="J305" s="18">
        <f xml:space="preserve"> SUM(L305:AV305)</f>
        <v>462.42599999999999</v>
      </c>
      <c r="K305" s="46"/>
      <c r="L305" s="40">
        <v>35.426000000000002</v>
      </c>
      <c r="M305" s="40">
        <v>176</v>
      </c>
      <c r="N305" s="40">
        <v>96</v>
      </c>
      <c r="O305" s="40">
        <v>105</v>
      </c>
      <c r="P305" s="40">
        <v>50</v>
      </c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</row>
    <row r="306" spans="1:57" ht="15" customHeight="1">
      <c r="C306" s="17" t="s">
        <v>299</v>
      </c>
      <c r="D306" s="38"/>
      <c r="I306" s="70"/>
      <c r="K306" s="46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</row>
    <row r="307" spans="1:57" ht="15" customHeight="1">
      <c r="D307" s="38"/>
      <c r="E307" s="93" t="s">
        <v>300</v>
      </c>
      <c r="G307" s="93" t="s">
        <v>29</v>
      </c>
      <c r="I307" s="70" t="str">
        <f xml:space="preserve"> Sources!I$21</f>
        <v>XVI</v>
      </c>
      <c r="J307" s="18">
        <f xml:space="preserve"> SUM(L307:AV307)</f>
        <v>2649.2999999999984</v>
      </c>
      <c r="K307" s="46"/>
      <c r="L307" s="40"/>
      <c r="M307" s="40"/>
      <c r="N307" s="40"/>
      <c r="O307" s="40"/>
      <c r="P307" s="40"/>
      <c r="Q307" s="40">
        <v>320.39999999999998</v>
      </c>
      <c r="R307" s="40">
        <v>353.4</v>
      </c>
      <c r="S307" s="40">
        <v>370.8</v>
      </c>
      <c r="T307" s="40">
        <v>132.5</v>
      </c>
      <c r="U307" s="40">
        <v>120.2</v>
      </c>
      <c r="V307" s="40">
        <v>67.599999999999994</v>
      </c>
      <c r="W307" s="40">
        <v>67.599999999999994</v>
      </c>
      <c r="X307" s="40">
        <v>67.599999999999994</v>
      </c>
      <c r="Y307" s="40">
        <v>67.599999999999994</v>
      </c>
      <c r="Z307" s="40">
        <v>67.599999999999994</v>
      </c>
      <c r="AA307" s="40">
        <v>67.599999999999994</v>
      </c>
      <c r="AB307" s="40">
        <v>67.599999999999994</v>
      </c>
      <c r="AC307" s="40">
        <v>67.599999999999994</v>
      </c>
      <c r="AD307" s="40">
        <v>67.599999999999994</v>
      </c>
      <c r="AE307" s="40">
        <v>67.599999999999994</v>
      </c>
      <c r="AF307" s="40">
        <v>67.599999999999994</v>
      </c>
      <c r="AG307" s="40">
        <v>67.599999999999994</v>
      </c>
      <c r="AH307" s="40">
        <v>67.599999999999994</v>
      </c>
      <c r="AI307" s="40">
        <v>67.599999999999994</v>
      </c>
      <c r="AJ307" s="40">
        <v>67.599999999999994</v>
      </c>
      <c r="AK307" s="40">
        <v>67.599999999999994</v>
      </c>
      <c r="AL307" s="40">
        <v>67.599999999999994</v>
      </c>
      <c r="AM307" s="40">
        <v>67.599999999999994</v>
      </c>
      <c r="AN307" s="40">
        <v>67.599999999999994</v>
      </c>
      <c r="AO307" s="40">
        <v>67.599999999999994</v>
      </c>
      <c r="AP307" s="40"/>
      <c r="AQ307" s="40"/>
      <c r="AR307" s="40"/>
      <c r="AS307" s="40"/>
      <c r="AT307" s="40"/>
      <c r="AU307" s="40"/>
      <c r="AV307" s="40"/>
    </row>
    <row r="308" spans="1:57" ht="15" customHeight="1">
      <c r="C308" s="17" t="s">
        <v>301</v>
      </c>
      <c r="D308" s="38"/>
      <c r="I308" s="70"/>
      <c r="K308" s="46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</row>
    <row r="309" spans="1:57" ht="15" customHeight="1">
      <c r="D309" s="38"/>
      <c r="E309" s="93" t="s">
        <v>302</v>
      </c>
      <c r="G309" s="93" t="s">
        <v>29</v>
      </c>
      <c r="I309" s="70" t="str">
        <f xml:space="preserve"> Sources!I$27</f>
        <v>XXII</v>
      </c>
      <c r="J309" s="18">
        <f xml:space="preserve"> SUM(L309:AV309)</f>
        <v>1088.3000000000002</v>
      </c>
      <c r="K309" s="46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>
        <v>65.8</v>
      </c>
      <c r="Y309" s="40">
        <v>81.099999999999994</v>
      </c>
      <c r="Z309" s="40">
        <v>108.6</v>
      </c>
      <c r="AA309" s="40">
        <v>146.30000000000001</v>
      </c>
      <c r="AB309" s="40">
        <v>57.208333333333336</v>
      </c>
      <c r="AC309" s="40">
        <v>57.208333333333336</v>
      </c>
      <c r="AD309" s="40">
        <v>57.208333333333336</v>
      </c>
      <c r="AE309" s="40">
        <v>57.208333333333336</v>
      </c>
      <c r="AF309" s="40">
        <v>57.208333333333336</v>
      </c>
      <c r="AG309" s="40">
        <v>57.208333333333336</v>
      </c>
      <c r="AH309" s="40">
        <v>57.208333333333336</v>
      </c>
      <c r="AI309" s="40">
        <v>57.208333333333336</v>
      </c>
      <c r="AJ309" s="40">
        <v>57.208333333333336</v>
      </c>
      <c r="AK309" s="40">
        <v>57.208333333333336</v>
      </c>
      <c r="AL309" s="40">
        <v>57.208333333333336</v>
      </c>
      <c r="AM309" s="40">
        <v>57.208333333333336</v>
      </c>
      <c r="AN309" s="40"/>
      <c r="AO309" s="40"/>
      <c r="AP309" s="40"/>
      <c r="AQ309" s="40"/>
      <c r="AR309" s="40"/>
      <c r="AS309" s="40"/>
      <c r="AT309" s="40"/>
      <c r="AU309" s="40"/>
      <c r="AV309" s="40"/>
    </row>
    <row r="310" spans="1:57" ht="15" customHeight="1">
      <c r="D310" s="38"/>
      <c r="E310" s="93" t="s">
        <v>303</v>
      </c>
      <c r="G310" s="93" t="s">
        <v>29</v>
      </c>
      <c r="I310" s="70" t="str">
        <f xml:space="preserve"> Sources!I$27</f>
        <v>XXII</v>
      </c>
      <c r="J310" s="18">
        <f xml:space="preserve"> SUM(L310:AV310)</f>
        <v>841.39999999999975</v>
      </c>
      <c r="K310" s="46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>
        <v>414.8</v>
      </c>
      <c r="Y310" s="40">
        <v>143.1</v>
      </c>
      <c r="Z310" s="40">
        <v>88.6</v>
      </c>
      <c r="AA310" s="40">
        <v>47.6</v>
      </c>
      <c r="AB310" s="40">
        <v>12.275</v>
      </c>
      <c r="AC310" s="40">
        <v>12.275</v>
      </c>
      <c r="AD310" s="40">
        <v>12.275</v>
      </c>
      <c r="AE310" s="40">
        <v>12.275</v>
      </c>
      <c r="AF310" s="40">
        <v>12.275</v>
      </c>
      <c r="AG310" s="40">
        <v>12.275</v>
      </c>
      <c r="AH310" s="40">
        <v>12.275</v>
      </c>
      <c r="AI310" s="40">
        <v>12.275</v>
      </c>
      <c r="AJ310" s="40">
        <v>12.275</v>
      </c>
      <c r="AK310" s="40">
        <v>12.275</v>
      </c>
      <c r="AL310" s="40">
        <v>12.275</v>
      </c>
      <c r="AM310" s="40">
        <v>12.275</v>
      </c>
      <c r="AN310" s="40"/>
      <c r="AO310" s="40"/>
      <c r="AP310" s="40"/>
      <c r="AQ310" s="40"/>
      <c r="AR310" s="40"/>
      <c r="AS310" s="40"/>
      <c r="AT310" s="40"/>
      <c r="AU310" s="40"/>
      <c r="AV310" s="40"/>
    </row>
    <row r="311" spans="1:57" ht="15" customHeight="1">
      <c r="C311" s="17" t="s">
        <v>304</v>
      </c>
      <c r="D311" s="38"/>
      <c r="I311" s="70"/>
      <c r="K311" s="46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</row>
    <row r="312" spans="1:57" ht="15" customHeight="1">
      <c r="D312" s="38"/>
      <c r="E312" s="93" t="s">
        <v>302</v>
      </c>
      <c r="G312" s="93" t="s">
        <v>29</v>
      </c>
      <c r="I312" s="70" t="str">
        <f xml:space="preserve"> Sources!I$27</f>
        <v>XXII</v>
      </c>
      <c r="J312" s="18">
        <f xml:space="preserve"> SUM(L312:AV312)</f>
        <v>1103.73</v>
      </c>
      <c r="K312" s="46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>
        <v>60.94</v>
      </c>
      <c r="Z312" s="40">
        <v>214.63</v>
      </c>
      <c r="AA312" s="40">
        <v>90.91</v>
      </c>
      <c r="AB312" s="40">
        <v>89.19</v>
      </c>
      <c r="AC312" s="40">
        <v>54.004999999999995</v>
      </c>
      <c r="AD312" s="40">
        <v>54.004999999999995</v>
      </c>
      <c r="AE312" s="40">
        <v>54.004999999999995</v>
      </c>
      <c r="AF312" s="40">
        <v>54.004999999999995</v>
      </c>
      <c r="AG312" s="40">
        <v>54.004999999999995</v>
      </c>
      <c r="AH312" s="40">
        <v>54.004999999999995</v>
      </c>
      <c r="AI312" s="40">
        <v>54.004999999999995</v>
      </c>
      <c r="AJ312" s="40">
        <v>54.004999999999995</v>
      </c>
      <c r="AK312" s="40">
        <v>54.004999999999995</v>
      </c>
      <c r="AL312" s="40">
        <v>54.004999999999995</v>
      </c>
      <c r="AM312" s="40">
        <v>54.004999999999995</v>
      </c>
      <c r="AN312" s="40">
        <v>54.004999999999995</v>
      </c>
      <c r="AO312" s="40"/>
      <c r="AP312" s="40"/>
      <c r="AQ312" s="40"/>
      <c r="AR312" s="40"/>
      <c r="AS312" s="40"/>
      <c r="AT312" s="40"/>
      <c r="AU312" s="40"/>
      <c r="AV312" s="40"/>
    </row>
    <row r="313" spans="1:57" ht="15" customHeight="1">
      <c r="D313" s="38"/>
      <c r="E313" s="93" t="s">
        <v>303</v>
      </c>
      <c r="G313" s="93" t="s">
        <v>29</v>
      </c>
      <c r="I313" s="70" t="str">
        <f xml:space="preserve"> Sources!I$27</f>
        <v>XXII</v>
      </c>
      <c r="J313" s="18">
        <f xml:space="preserve"> SUM(L313:AV313)</f>
        <v>2256.4199999999992</v>
      </c>
      <c r="K313" s="46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>
        <v>356.54</v>
      </c>
      <c r="Z313" s="40">
        <v>145.37</v>
      </c>
      <c r="AA313" s="40">
        <v>174.38</v>
      </c>
      <c r="AB313" s="40">
        <v>110.94</v>
      </c>
      <c r="AC313" s="40">
        <v>122.4325</v>
      </c>
      <c r="AD313" s="40">
        <v>122.4325</v>
      </c>
      <c r="AE313" s="40">
        <v>122.4325</v>
      </c>
      <c r="AF313" s="40">
        <v>122.4325</v>
      </c>
      <c r="AG313" s="40">
        <v>122.4325</v>
      </c>
      <c r="AH313" s="40">
        <v>122.4325</v>
      </c>
      <c r="AI313" s="40">
        <v>122.4325</v>
      </c>
      <c r="AJ313" s="40">
        <v>122.4325</v>
      </c>
      <c r="AK313" s="40">
        <v>122.4325</v>
      </c>
      <c r="AL313" s="40">
        <v>122.4325</v>
      </c>
      <c r="AM313" s="40">
        <v>122.4325</v>
      </c>
      <c r="AN313" s="40">
        <v>122.4325</v>
      </c>
      <c r="AO313" s="40"/>
      <c r="AP313" s="40"/>
      <c r="AQ313" s="40"/>
      <c r="AR313" s="40"/>
      <c r="AS313" s="40"/>
      <c r="AT313" s="40"/>
      <c r="AU313" s="40"/>
      <c r="AV313" s="40"/>
    </row>
    <row r="314" spans="1:57" ht="15" customHeight="1">
      <c r="D314" s="38"/>
      <c r="I314" s="18"/>
      <c r="K314" s="46"/>
      <c r="Y314" s="3"/>
    </row>
    <row r="315" spans="1:57" ht="15" customHeight="1">
      <c r="A315" s="34" t="s">
        <v>305</v>
      </c>
      <c r="B315" s="34"/>
      <c r="C315" s="34"/>
      <c r="D315" s="34"/>
      <c r="E315" s="704"/>
      <c r="F315" s="704"/>
      <c r="G315" s="704"/>
      <c r="H315" s="34"/>
      <c r="I315" s="34"/>
      <c r="J315" s="34"/>
      <c r="K315" s="181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48"/>
      <c r="AX315" s="48"/>
      <c r="AY315" s="48"/>
      <c r="AZ315" s="48"/>
      <c r="BA315" s="48"/>
      <c r="BB315" s="48"/>
      <c r="BC315" s="48"/>
      <c r="BD315" s="48"/>
      <c r="BE315" s="48"/>
    </row>
    <row r="316" spans="1:57" ht="15" customHeight="1">
      <c r="E316" s="92"/>
    </row>
    <row r="317" spans="1:57" ht="15" customHeight="1">
      <c r="C317" s="17" t="s">
        <v>299</v>
      </c>
      <c r="E317" s="92"/>
    </row>
    <row r="318" spans="1:57" ht="15" customHeight="1">
      <c r="E318" s="93" t="s">
        <v>306</v>
      </c>
      <c r="G318" s="93" t="s">
        <v>29</v>
      </c>
      <c r="I318" s="70" t="str">
        <f xml:space="preserve"> Sources!I$21</f>
        <v>XVI</v>
      </c>
      <c r="J318" s="32">
        <f>SUM(L318:AV318)</f>
        <v>4216.2999999999984</v>
      </c>
      <c r="L318" s="40"/>
      <c r="M318" s="40"/>
      <c r="N318" s="40"/>
      <c r="O318" s="40"/>
      <c r="P318" s="40"/>
      <c r="Q318" s="40">
        <v>139.30000000000001</v>
      </c>
      <c r="R318" s="40">
        <v>209.9</v>
      </c>
      <c r="S318" s="40">
        <v>203.4</v>
      </c>
      <c r="T318" s="40">
        <v>202.1</v>
      </c>
      <c r="U318" s="40">
        <v>248.4</v>
      </c>
      <c r="V318" s="40">
        <v>160.66</v>
      </c>
      <c r="W318" s="40">
        <v>160.66</v>
      </c>
      <c r="X318" s="40">
        <v>160.66</v>
      </c>
      <c r="Y318" s="40">
        <v>160.66</v>
      </c>
      <c r="Z318" s="40">
        <v>160.66</v>
      </c>
      <c r="AA318" s="40">
        <v>160.66</v>
      </c>
      <c r="AB318" s="40">
        <v>160.66</v>
      </c>
      <c r="AC318" s="40">
        <v>160.66</v>
      </c>
      <c r="AD318" s="40">
        <v>160.66</v>
      </c>
      <c r="AE318" s="40">
        <v>160.66</v>
      </c>
      <c r="AF318" s="40">
        <v>160.66</v>
      </c>
      <c r="AG318" s="40">
        <v>160.66</v>
      </c>
      <c r="AH318" s="40">
        <v>160.66</v>
      </c>
      <c r="AI318" s="40">
        <v>160.66</v>
      </c>
      <c r="AJ318" s="40">
        <v>160.66</v>
      </c>
      <c r="AK318" s="40">
        <v>160.66</v>
      </c>
      <c r="AL318" s="40">
        <v>160.66</v>
      </c>
      <c r="AM318" s="40">
        <v>160.66</v>
      </c>
      <c r="AN318" s="40">
        <v>160.66</v>
      </c>
      <c r="AO318" s="40">
        <v>160.66</v>
      </c>
      <c r="AP318" s="40"/>
      <c r="AQ318" s="40"/>
      <c r="AR318" s="40"/>
      <c r="AS318" s="40"/>
      <c r="AT318" s="40"/>
      <c r="AU318" s="40"/>
      <c r="AV318" s="40"/>
    </row>
    <row r="319" spans="1:57" ht="15" customHeight="1">
      <c r="E319" s="93" t="s">
        <v>307</v>
      </c>
      <c r="G319" s="93" t="s">
        <v>29</v>
      </c>
      <c r="I319" s="70" t="str">
        <f xml:space="preserve"> Sources!I$21</f>
        <v>XVI</v>
      </c>
      <c r="J319" s="32">
        <f>SUM(L319:AV319)</f>
        <v>4491.1000000000004</v>
      </c>
      <c r="L319" s="40"/>
      <c r="M319" s="40"/>
      <c r="N319" s="40"/>
      <c r="O319" s="40"/>
      <c r="P319" s="40"/>
      <c r="Q319" s="40">
        <v>108.9</v>
      </c>
      <c r="R319" s="40">
        <v>142.4</v>
      </c>
      <c r="S319" s="40">
        <v>150.1</v>
      </c>
      <c r="T319" s="40">
        <v>179.3</v>
      </c>
      <c r="U319" s="40">
        <v>220.7</v>
      </c>
      <c r="V319" s="40">
        <v>184.48499999999999</v>
      </c>
      <c r="W319" s="40">
        <v>184.48499999999999</v>
      </c>
      <c r="X319" s="40">
        <v>184.48499999999999</v>
      </c>
      <c r="Y319" s="40">
        <v>184.48499999999999</v>
      </c>
      <c r="Z319" s="40">
        <v>184.48499999999999</v>
      </c>
      <c r="AA319" s="40">
        <v>184.48499999999999</v>
      </c>
      <c r="AB319" s="40">
        <v>184.48499999999999</v>
      </c>
      <c r="AC319" s="40">
        <v>184.48499999999999</v>
      </c>
      <c r="AD319" s="40">
        <v>184.48499999999999</v>
      </c>
      <c r="AE319" s="40">
        <v>184.48499999999999</v>
      </c>
      <c r="AF319" s="40">
        <v>184.48499999999999</v>
      </c>
      <c r="AG319" s="40">
        <v>184.48499999999999</v>
      </c>
      <c r="AH319" s="40">
        <v>184.48499999999999</v>
      </c>
      <c r="AI319" s="40">
        <v>184.48499999999999</v>
      </c>
      <c r="AJ319" s="40">
        <v>184.48499999999999</v>
      </c>
      <c r="AK319" s="40">
        <v>184.48499999999999</v>
      </c>
      <c r="AL319" s="40">
        <v>184.48499999999999</v>
      </c>
      <c r="AM319" s="40">
        <v>184.48499999999999</v>
      </c>
      <c r="AN319" s="40">
        <v>184.48499999999999</v>
      </c>
      <c r="AO319" s="40">
        <v>184.48499999999999</v>
      </c>
      <c r="AP319" s="40"/>
      <c r="AQ319" s="40"/>
      <c r="AR319" s="40"/>
      <c r="AS319" s="40"/>
      <c r="AT319" s="40"/>
      <c r="AU319" s="40"/>
      <c r="AV319" s="40"/>
      <c r="AW319" s="40">
        <v>571.54</v>
      </c>
      <c r="AX319" s="40">
        <v>571.54</v>
      </c>
      <c r="AY319" s="40">
        <v>571.54</v>
      </c>
    </row>
    <row r="320" spans="1:57" ht="15" customHeight="1">
      <c r="E320" s="93" t="s">
        <v>308</v>
      </c>
      <c r="G320" s="93" t="s">
        <v>29</v>
      </c>
      <c r="I320" s="70" t="str">
        <f xml:space="preserve"> Sources!I$21</f>
        <v>XVI</v>
      </c>
      <c r="J320" s="32">
        <f>SUM(L320:AV320)</f>
        <v>1884.4000000000003</v>
      </c>
      <c r="L320" s="40"/>
      <c r="M320" s="40"/>
      <c r="N320" s="40"/>
      <c r="O320" s="40"/>
      <c r="P320" s="40"/>
      <c r="Q320" s="40">
        <v>59.3</v>
      </c>
      <c r="R320" s="40">
        <v>53.5</v>
      </c>
      <c r="S320" s="40">
        <v>55.4</v>
      </c>
      <c r="T320" s="40">
        <v>76.7</v>
      </c>
      <c r="U320" s="40">
        <v>100.9</v>
      </c>
      <c r="V320" s="40">
        <v>76.929999999999993</v>
      </c>
      <c r="W320" s="40">
        <v>76.929999999999993</v>
      </c>
      <c r="X320" s="40">
        <v>76.929999999999993</v>
      </c>
      <c r="Y320" s="40">
        <v>76.929999999999993</v>
      </c>
      <c r="Z320" s="40">
        <v>76.929999999999993</v>
      </c>
      <c r="AA320" s="40">
        <v>76.929999999999993</v>
      </c>
      <c r="AB320" s="40">
        <v>76.929999999999993</v>
      </c>
      <c r="AC320" s="40">
        <v>76.929999999999993</v>
      </c>
      <c r="AD320" s="40">
        <v>76.929999999999993</v>
      </c>
      <c r="AE320" s="40">
        <v>76.929999999999993</v>
      </c>
      <c r="AF320" s="40">
        <v>76.929999999999993</v>
      </c>
      <c r="AG320" s="40">
        <v>76.929999999999993</v>
      </c>
      <c r="AH320" s="40">
        <v>76.929999999999993</v>
      </c>
      <c r="AI320" s="40">
        <v>76.929999999999993</v>
      </c>
      <c r="AJ320" s="40">
        <v>76.929999999999993</v>
      </c>
      <c r="AK320" s="40">
        <v>76.929999999999993</v>
      </c>
      <c r="AL320" s="40">
        <v>76.929999999999993</v>
      </c>
      <c r="AM320" s="40">
        <v>76.929999999999993</v>
      </c>
      <c r="AN320" s="40">
        <v>76.929999999999993</v>
      </c>
      <c r="AO320" s="40">
        <v>76.929999999999993</v>
      </c>
      <c r="AP320" s="40"/>
      <c r="AQ320" s="40"/>
      <c r="AR320" s="40"/>
      <c r="AS320" s="40"/>
      <c r="AT320" s="40"/>
      <c r="AU320" s="40"/>
      <c r="AV320" s="40"/>
      <c r="AW320" s="40">
        <v>41.499166666666667</v>
      </c>
      <c r="AX320" s="40">
        <v>41.499166666666667</v>
      </c>
      <c r="AY320" s="40">
        <v>41.499166666666667</v>
      </c>
      <c r="AZ320" s="40">
        <v>41.499166666666667</v>
      </c>
    </row>
    <row r="321" spans="3:52" ht="15" customHeight="1">
      <c r="E321" s="93" t="s">
        <v>309</v>
      </c>
      <c r="G321" s="93" t="s">
        <v>29</v>
      </c>
      <c r="I321" s="70" t="str">
        <f xml:space="preserve"> Sources!I$21</f>
        <v>XVI</v>
      </c>
      <c r="J321" s="32">
        <f>SUM(L321:AV321)</f>
        <v>252.99999999999989</v>
      </c>
      <c r="L321" s="40"/>
      <c r="M321" s="40"/>
      <c r="N321" s="40"/>
      <c r="O321" s="40"/>
      <c r="P321" s="40"/>
      <c r="Q321" s="40">
        <v>0.7</v>
      </c>
      <c r="R321" s="40">
        <v>0.7</v>
      </c>
      <c r="S321" s="40">
        <v>0.9</v>
      </c>
      <c r="T321" s="40">
        <v>1.2</v>
      </c>
      <c r="U321" s="40">
        <v>1.7</v>
      </c>
      <c r="V321" s="40">
        <v>12.39</v>
      </c>
      <c r="W321" s="40">
        <v>12.39</v>
      </c>
      <c r="X321" s="40">
        <v>12.39</v>
      </c>
      <c r="Y321" s="40">
        <v>12.39</v>
      </c>
      <c r="Z321" s="40">
        <v>12.39</v>
      </c>
      <c r="AA321" s="40">
        <v>12.39</v>
      </c>
      <c r="AB321" s="40">
        <v>12.39</v>
      </c>
      <c r="AC321" s="40">
        <v>12.39</v>
      </c>
      <c r="AD321" s="40">
        <v>12.39</v>
      </c>
      <c r="AE321" s="40">
        <v>12.39</v>
      </c>
      <c r="AF321" s="40">
        <v>12.39</v>
      </c>
      <c r="AG321" s="40">
        <v>12.39</v>
      </c>
      <c r="AH321" s="40">
        <v>12.39</v>
      </c>
      <c r="AI321" s="40">
        <v>12.39</v>
      </c>
      <c r="AJ321" s="40">
        <v>12.39</v>
      </c>
      <c r="AK321" s="40">
        <v>12.39</v>
      </c>
      <c r="AL321" s="40">
        <v>12.39</v>
      </c>
      <c r="AM321" s="40">
        <v>12.39</v>
      </c>
      <c r="AN321" s="40">
        <v>12.39</v>
      </c>
      <c r="AO321" s="40">
        <v>12.39</v>
      </c>
      <c r="AP321" s="40"/>
      <c r="AQ321" s="40"/>
      <c r="AR321" s="40"/>
      <c r="AS321" s="40"/>
      <c r="AT321" s="40"/>
      <c r="AU321" s="40"/>
      <c r="AV321" s="40"/>
      <c r="AW321" s="40">
        <v>50.774166666666666</v>
      </c>
      <c r="AX321" s="40">
        <v>50.774166666666666</v>
      </c>
      <c r="AY321" s="40">
        <v>50.774166666666666</v>
      </c>
      <c r="AZ321" s="40">
        <v>50.774166666666666</v>
      </c>
    </row>
    <row r="322" spans="3:52" ht="15" customHeight="1">
      <c r="E322" s="93" t="s">
        <v>310</v>
      </c>
      <c r="G322" s="93" t="s">
        <v>29</v>
      </c>
      <c r="I322" s="70" t="str">
        <f xml:space="preserve"> Sources!I$21</f>
        <v>XVI</v>
      </c>
      <c r="J322" s="32">
        <f>SUM(L322:AV322)</f>
        <v>1723.900000000001</v>
      </c>
      <c r="L322" s="40"/>
      <c r="M322" s="40"/>
      <c r="N322" s="40"/>
      <c r="O322" s="40"/>
      <c r="P322" s="40"/>
      <c r="Q322" s="40">
        <v>81.5</v>
      </c>
      <c r="R322" s="40">
        <v>78.5</v>
      </c>
      <c r="S322" s="40">
        <v>76.900000000000006</v>
      </c>
      <c r="T322" s="40">
        <v>71.400000000000006</v>
      </c>
      <c r="U322" s="40">
        <v>66.8</v>
      </c>
      <c r="V322" s="40">
        <v>67.44</v>
      </c>
      <c r="W322" s="40">
        <v>67.44</v>
      </c>
      <c r="X322" s="40">
        <v>67.44</v>
      </c>
      <c r="Y322" s="40">
        <v>67.44</v>
      </c>
      <c r="Z322" s="40">
        <v>67.44</v>
      </c>
      <c r="AA322" s="40">
        <v>67.44</v>
      </c>
      <c r="AB322" s="40">
        <v>67.44</v>
      </c>
      <c r="AC322" s="40">
        <v>67.44</v>
      </c>
      <c r="AD322" s="40">
        <v>67.44</v>
      </c>
      <c r="AE322" s="40">
        <v>67.44</v>
      </c>
      <c r="AF322" s="40">
        <v>67.44</v>
      </c>
      <c r="AG322" s="40">
        <v>67.44</v>
      </c>
      <c r="AH322" s="40">
        <v>67.44</v>
      </c>
      <c r="AI322" s="40">
        <v>67.44</v>
      </c>
      <c r="AJ322" s="40">
        <v>67.44</v>
      </c>
      <c r="AK322" s="40">
        <v>67.44</v>
      </c>
      <c r="AL322" s="40">
        <v>67.44</v>
      </c>
      <c r="AM322" s="40">
        <v>67.44</v>
      </c>
      <c r="AN322" s="40">
        <v>67.44</v>
      </c>
      <c r="AO322" s="40">
        <v>67.44</v>
      </c>
      <c r="AP322" s="40"/>
      <c r="AQ322" s="40"/>
      <c r="AR322" s="40"/>
      <c r="AS322" s="40"/>
      <c r="AT322" s="40"/>
      <c r="AU322" s="40"/>
      <c r="AV322" s="40"/>
      <c r="AW322" s="57"/>
      <c r="AX322" s="57"/>
      <c r="AY322" s="57"/>
      <c r="AZ322" s="57"/>
    </row>
    <row r="323" spans="3:52" ht="15" customHeight="1">
      <c r="E323" s="92"/>
    </row>
    <row r="324" spans="3:52" ht="15" customHeight="1">
      <c r="C324" s="17" t="s">
        <v>301</v>
      </c>
      <c r="E324" s="92"/>
    </row>
    <row r="325" spans="3:52" ht="15" customHeight="1">
      <c r="E325" s="93" t="s">
        <v>311</v>
      </c>
      <c r="G325" s="93" t="s">
        <v>29</v>
      </c>
      <c r="I325" s="70" t="str">
        <f xml:space="preserve"> Sources!I$33</f>
        <v>XXVII</v>
      </c>
      <c r="J325" s="32">
        <f t="shared" ref="J325:J330" si="28">SUM(L325:AV325)</f>
        <v>4044.6099999999992</v>
      </c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>
        <v>148.09</v>
      </c>
      <c r="Y325" s="40">
        <v>248.03</v>
      </c>
      <c r="Z325" s="40">
        <v>281.58999999999997</v>
      </c>
      <c r="AA325" s="40">
        <v>266.14</v>
      </c>
      <c r="AB325" s="85">
        <v>258.3966666666667</v>
      </c>
      <c r="AC325" s="85">
        <v>258.3966666666667</v>
      </c>
      <c r="AD325" s="85">
        <v>258.3966666666667</v>
      </c>
      <c r="AE325" s="85">
        <v>258.3966666666667</v>
      </c>
      <c r="AF325" s="85">
        <v>258.3966666666667</v>
      </c>
      <c r="AG325" s="85">
        <v>258.3966666666667</v>
      </c>
      <c r="AH325" s="85">
        <v>258.3966666666667</v>
      </c>
      <c r="AI325" s="85">
        <v>258.3966666666667</v>
      </c>
      <c r="AJ325" s="85">
        <v>258.3966666666667</v>
      </c>
      <c r="AK325" s="85">
        <v>258.3966666666667</v>
      </c>
      <c r="AL325" s="85">
        <v>258.3966666666667</v>
      </c>
      <c r="AM325" s="85">
        <v>258.3966666666667</v>
      </c>
      <c r="AN325" s="85"/>
      <c r="AO325" s="40"/>
      <c r="AP325" s="40"/>
      <c r="AQ325" s="40"/>
      <c r="AR325" s="40"/>
      <c r="AS325" s="40"/>
      <c r="AT325" s="40"/>
      <c r="AU325" s="40"/>
      <c r="AV325" s="40"/>
    </row>
    <row r="326" spans="3:52" ht="15" customHeight="1">
      <c r="E326" s="93" t="s">
        <v>312</v>
      </c>
      <c r="G326" s="93" t="s">
        <v>29</v>
      </c>
      <c r="I326" s="70" t="str">
        <f xml:space="preserve"> Sources!I$33</f>
        <v>XXVII</v>
      </c>
      <c r="J326" s="32">
        <f t="shared" si="28"/>
        <v>5126.4199999999992</v>
      </c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>
        <v>383.58</v>
      </c>
      <c r="Y326" s="40">
        <v>292.55</v>
      </c>
      <c r="Z326" s="40">
        <v>280.61</v>
      </c>
      <c r="AA326" s="73">
        <v>310.24</v>
      </c>
      <c r="AB326" s="66">
        <v>321.62</v>
      </c>
      <c r="AC326" s="66">
        <v>321.62</v>
      </c>
      <c r="AD326" s="66">
        <v>321.62</v>
      </c>
      <c r="AE326" s="66">
        <v>321.62</v>
      </c>
      <c r="AF326" s="66">
        <v>321.62</v>
      </c>
      <c r="AG326" s="66">
        <v>321.62</v>
      </c>
      <c r="AH326" s="66">
        <v>321.62</v>
      </c>
      <c r="AI326" s="66">
        <v>321.62</v>
      </c>
      <c r="AJ326" s="66">
        <v>321.62</v>
      </c>
      <c r="AK326" s="66">
        <v>321.62</v>
      </c>
      <c r="AL326" s="66">
        <v>321.62</v>
      </c>
      <c r="AM326" s="66">
        <v>321.62</v>
      </c>
      <c r="AN326" s="66"/>
      <c r="AO326" s="74"/>
      <c r="AP326" s="40"/>
      <c r="AQ326" s="40"/>
      <c r="AR326" s="40"/>
      <c r="AS326" s="40"/>
      <c r="AT326" s="40"/>
      <c r="AU326" s="40"/>
      <c r="AV326" s="40"/>
      <c r="AW326" s="40">
        <v>571.54</v>
      </c>
      <c r="AX326" s="40">
        <v>571.54</v>
      </c>
      <c r="AY326" s="40">
        <v>571.54</v>
      </c>
    </row>
    <row r="327" spans="3:52" ht="15" customHeight="1">
      <c r="E327" s="93" t="s">
        <v>313</v>
      </c>
      <c r="G327" s="93" t="s">
        <v>29</v>
      </c>
      <c r="I327" s="70" t="str">
        <f xml:space="preserve"> Sources!I$33</f>
        <v>XXVII</v>
      </c>
      <c r="J327" s="32">
        <f t="shared" si="28"/>
        <v>568.69000000000017</v>
      </c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>
        <v>33.83</v>
      </c>
      <c r="Y327" s="40">
        <v>34.5</v>
      </c>
      <c r="Z327" s="40">
        <v>35.44</v>
      </c>
      <c r="AA327" s="73">
        <v>34.619999999999997</v>
      </c>
      <c r="AB327" s="66">
        <v>35.858333333333334</v>
      </c>
      <c r="AC327" s="66">
        <v>35.858333333333334</v>
      </c>
      <c r="AD327" s="66">
        <v>35.858333333333334</v>
      </c>
      <c r="AE327" s="66">
        <v>35.858333333333334</v>
      </c>
      <c r="AF327" s="66">
        <v>35.858333333333334</v>
      </c>
      <c r="AG327" s="66">
        <v>35.858333333333334</v>
      </c>
      <c r="AH327" s="66">
        <v>35.858333333333334</v>
      </c>
      <c r="AI327" s="66">
        <v>35.858333333333334</v>
      </c>
      <c r="AJ327" s="66">
        <v>35.858333333333334</v>
      </c>
      <c r="AK327" s="66">
        <v>35.858333333333334</v>
      </c>
      <c r="AL327" s="66">
        <v>35.858333333333334</v>
      </c>
      <c r="AM327" s="66">
        <v>35.858333333333334</v>
      </c>
      <c r="AN327" s="40"/>
      <c r="AO327" s="74"/>
      <c r="AP327" s="40"/>
      <c r="AQ327" s="40"/>
      <c r="AR327" s="40"/>
      <c r="AS327" s="40"/>
      <c r="AT327" s="40"/>
      <c r="AU327" s="40"/>
      <c r="AV327" s="40"/>
      <c r="AW327" s="40">
        <v>41.499166666666667</v>
      </c>
      <c r="AX327" s="40">
        <v>41.499166666666667</v>
      </c>
      <c r="AY327" s="40">
        <v>41.499166666666667</v>
      </c>
      <c r="AZ327" s="40">
        <v>41.499166666666667</v>
      </c>
    </row>
    <row r="328" spans="3:52" ht="15" customHeight="1">
      <c r="E328" s="93" t="s">
        <v>314</v>
      </c>
      <c r="G328" s="93" t="s">
        <v>29</v>
      </c>
      <c r="I328" s="70" t="str">
        <f xml:space="preserve"> Sources!I$33</f>
        <v>XXVII</v>
      </c>
      <c r="J328" s="32">
        <f t="shared" si="28"/>
        <v>837.68000000000018</v>
      </c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>
        <v>35.590000000000003</v>
      </c>
      <c r="Y328" s="40">
        <v>48.14</v>
      </c>
      <c r="Z328" s="40">
        <v>49.05</v>
      </c>
      <c r="AA328" s="73">
        <v>51.91</v>
      </c>
      <c r="AB328" s="66">
        <v>54.415833333333332</v>
      </c>
      <c r="AC328" s="66">
        <v>54.415833333333332</v>
      </c>
      <c r="AD328" s="66">
        <v>54.415833333333332</v>
      </c>
      <c r="AE328" s="66">
        <v>54.415833333333332</v>
      </c>
      <c r="AF328" s="66">
        <v>54.415833333333332</v>
      </c>
      <c r="AG328" s="66">
        <v>54.415833333333332</v>
      </c>
      <c r="AH328" s="66">
        <v>54.415833333333332</v>
      </c>
      <c r="AI328" s="66">
        <v>54.415833333333332</v>
      </c>
      <c r="AJ328" s="66">
        <v>54.415833333333332</v>
      </c>
      <c r="AK328" s="66">
        <v>54.415833333333332</v>
      </c>
      <c r="AL328" s="66">
        <v>54.415833333333332</v>
      </c>
      <c r="AM328" s="66">
        <v>54.415833333333332</v>
      </c>
      <c r="AN328" s="40"/>
      <c r="AO328" s="74"/>
      <c r="AP328" s="40"/>
      <c r="AQ328" s="40"/>
      <c r="AR328" s="40"/>
      <c r="AS328" s="40"/>
      <c r="AT328" s="40"/>
      <c r="AU328" s="40"/>
      <c r="AV328" s="40"/>
      <c r="AW328" s="40">
        <v>50.774166666666666</v>
      </c>
      <c r="AX328" s="40">
        <v>50.774166666666666</v>
      </c>
      <c r="AY328" s="40">
        <v>50.774166666666666</v>
      </c>
      <c r="AZ328" s="40">
        <v>50.774166666666666</v>
      </c>
    </row>
    <row r="329" spans="3:52" ht="15" customHeight="1">
      <c r="E329" s="93" t="s">
        <v>315</v>
      </c>
      <c r="G329" s="93" t="s">
        <v>29</v>
      </c>
      <c r="I329" s="70" t="str">
        <f xml:space="preserve"> Sources!I$33</f>
        <v>XXVII</v>
      </c>
      <c r="J329" s="32">
        <f t="shared" si="28"/>
        <v>1189.3399999999999</v>
      </c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>
        <v>73.900000000000006</v>
      </c>
      <c r="Y329" s="40">
        <v>69.849999999999994</v>
      </c>
      <c r="Z329" s="40">
        <v>76.040000000000006</v>
      </c>
      <c r="AA329" s="73">
        <v>74.31</v>
      </c>
      <c r="AB329" s="66">
        <v>74.603333333333339</v>
      </c>
      <c r="AC329" s="66">
        <v>74.603333333333339</v>
      </c>
      <c r="AD329" s="66">
        <v>74.603333333333339</v>
      </c>
      <c r="AE329" s="66">
        <v>74.603333333333339</v>
      </c>
      <c r="AF329" s="66">
        <v>74.603333333333339</v>
      </c>
      <c r="AG329" s="66">
        <v>74.603333333333339</v>
      </c>
      <c r="AH329" s="66">
        <v>74.603333333333339</v>
      </c>
      <c r="AI329" s="66">
        <v>74.603333333333339</v>
      </c>
      <c r="AJ329" s="66">
        <v>74.603333333333339</v>
      </c>
      <c r="AK329" s="66">
        <v>74.603333333333339</v>
      </c>
      <c r="AL329" s="66">
        <v>74.603333333333339</v>
      </c>
      <c r="AM329" s="66">
        <v>74.603333333333339</v>
      </c>
      <c r="AN329" s="40"/>
      <c r="AO329" s="74"/>
      <c r="AP329" s="40"/>
      <c r="AQ329" s="40"/>
      <c r="AR329" s="40"/>
      <c r="AS329" s="40"/>
      <c r="AT329" s="40"/>
      <c r="AU329" s="40"/>
      <c r="AV329" s="40"/>
      <c r="AW329" s="40">
        <v>188.63250000000002</v>
      </c>
      <c r="AX329" s="40">
        <v>188.63250000000002</v>
      </c>
      <c r="AY329" s="40">
        <v>188.63250000000002</v>
      </c>
      <c r="AZ329" s="40">
        <v>188.63250000000002</v>
      </c>
    </row>
    <row r="330" spans="3:52" ht="15" customHeight="1">
      <c r="E330" s="93" t="s">
        <v>316</v>
      </c>
      <c r="G330" s="93" t="s">
        <v>29</v>
      </c>
      <c r="I330" s="70" t="str">
        <f xml:space="preserve"> Sources!I$33</f>
        <v>XXVII</v>
      </c>
      <c r="J330" s="32">
        <f t="shared" si="28"/>
        <v>911.42000000000019</v>
      </c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>
        <v>50.03</v>
      </c>
      <c r="Y330" s="40">
        <v>45.04</v>
      </c>
      <c r="Z330" s="40">
        <v>45.94</v>
      </c>
      <c r="AA330" s="73">
        <v>47.65</v>
      </c>
      <c r="AB330" s="66">
        <v>60.23</v>
      </c>
      <c r="AC330" s="66">
        <v>60.23</v>
      </c>
      <c r="AD330" s="66">
        <v>60.23</v>
      </c>
      <c r="AE330" s="66">
        <v>60.23</v>
      </c>
      <c r="AF330" s="66">
        <v>60.23</v>
      </c>
      <c r="AG330" s="66">
        <v>60.23</v>
      </c>
      <c r="AH330" s="66">
        <v>60.23</v>
      </c>
      <c r="AI330" s="66">
        <v>60.23</v>
      </c>
      <c r="AJ330" s="66">
        <v>60.23</v>
      </c>
      <c r="AK330" s="66">
        <v>60.23</v>
      </c>
      <c r="AL330" s="66">
        <v>60.23</v>
      </c>
      <c r="AM330" s="66">
        <v>60.23</v>
      </c>
      <c r="AN330" s="40"/>
      <c r="AO330" s="74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</row>
    <row r="331" spans="3:52" ht="15" customHeight="1">
      <c r="E331" s="92"/>
    </row>
    <row r="332" spans="3:52" ht="15" customHeight="1">
      <c r="C332" s="17" t="s">
        <v>304</v>
      </c>
      <c r="E332" s="92"/>
    </row>
    <row r="333" spans="3:52" ht="15" customHeight="1">
      <c r="E333" s="93" t="s">
        <v>311</v>
      </c>
      <c r="G333" s="93" t="s">
        <v>29</v>
      </c>
      <c r="I333" s="70" t="str">
        <f xml:space="preserve"> Sources!I$27</f>
        <v>XXII</v>
      </c>
      <c r="J333" s="32">
        <f>SUM(L333:AV333)</f>
        <v>4790.5999999999995</v>
      </c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>
        <v>199.81</v>
      </c>
      <c r="Z333" s="40">
        <v>264.51</v>
      </c>
      <c r="AA333" s="40">
        <v>230.68</v>
      </c>
      <c r="AB333" s="40">
        <v>237.57</v>
      </c>
      <c r="AC333" s="40">
        <v>321.5025</v>
      </c>
      <c r="AD333" s="40">
        <v>321.5025</v>
      </c>
      <c r="AE333" s="40">
        <v>321.5025</v>
      </c>
      <c r="AF333" s="40">
        <v>321.5025</v>
      </c>
      <c r="AG333" s="40">
        <v>321.5025</v>
      </c>
      <c r="AH333" s="40">
        <v>321.5025</v>
      </c>
      <c r="AI333" s="40">
        <v>321.5025</v>
      </c>
      <c r="AJ333" s="40">
        <v>321.5025</v>
      </c>
      <c r="AK333" s="40">
        <v>321.5025</v>
      </c>
      <c r="AL333" s="40">
        <v>321.5025</v>
      </c>
      <c r="AM333" s="40">
        <v>321.5025</v>
      </c>
      <c r="AN333" s="40">
        <v>321.5025</v>
      </c>
      <c r="AO333" s="40"/>
      <c r="AP333" s="40"/>
      <c r="AQ333" s="40"/>
      <c r="AR333" s="40"/>
      <c r="AS333" s="40"/>
      <c r="AT333" s="40"/>
      <c r="AU333" s="40"/>
      <c r="AV333" s="40"/>
    </row>
    <row r="334" spans="3:52" ht="15" customHeight="1">
      <c r="E334" s="93" t="s">
        <v>312</v>
      </c>
      <c r="G334" s="93" t="s">
        <v>29</v>
      </c>
      <c r="I334" s="70" t="str">
        <f xml:space="preserve"> Sources!I$27</f>
        <v>XXII</v>
      </c>
      <c r="J334" s="32">
        <f>SUM(L334:AV334)</f>
        <v>9682.880000000001</v>
      </c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>
        <v>688.12</v>
      </c>
      <c r="Z334" s="40">
        <v>720.44</v>
      </c>
      <c r="AA334" s="40">
        <v>727.47</v>
      </c>
      <c r="AB334" s="40">
        <v>688.37</v>
      </c>
      <c r="AC334" s="40">
        <v>571.54</v>
      </c>
      <c r="AD334" s="40">
        <v>571.54</v>
      </c>
      <c r="AE334" s="40">
        <v>571.54</v>
      </c>
      <c r="AF334" s="40">
        <v>571.54</v>
      </c>
      <c r="AG334" s="40">
        <v>571.54</v>
      </c>
      <c r="AH334" s="40">
        <v>571.54</v>
      </c>
      <c r="AI334" s="40">
        <v>571.54</v>
      </c>
      <c r="AJ334" s="40">
        <v>571.54</v>
      </c>
      <c r="AK334" s="40">
        <v>571.54</v>
      </c>
      <c r="AL334" s="40">
        <v>571.54</v>
      </c>
      <c r="AM334" s="40">
        <v>571.54</v>
      </c>
      <c r="AN334" s="40">
        <v>571.54</v>
      </c>
      <c r="AO334" s="40"/>
      <c r="AP334" s="40"/>
      <c r="AQ334" s="40"/>
      <c r="AR334" s="40"/>
      <c r="AS334" s="40"/>
      <c r="AT334" s="40"/>
      <c r="AU334" s="40"/>
      <c r="AV334" s="40"/>
    </row>
    <row r="335" spans="3:52" ht="15" customHeight="1">
      <c r="E335" s="93" t="s">
        <v>313</v>
      </c>
      <c r="G335" s="93" t="s">
        <v>29</v>
      </c>
      <c r="I335" s="70" t="str">
        <f xml:space="preserve"> Sources!I$27</f>
        <v>XXII</v>
      </c>
      <c r="J335" s="32">
        <f>SUM(L335:AV335)</f>
        <v>645.38000000000011</v>
      </c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>
        <v>23.07</v>
      </c>
      <c r="Z335" s="40">
        <v>39.04</v>
      </c>
      <c r="AA335" s="40">
        <v>42.64</v>
      </c>
      <c r="AB335" s="40">
        <v>42.64</v>
      </c>
      <c r="AC335" s="40">
        <v>41.499166666666667</v>
      </c>
      <c r="AD335" s="40">
        <v>41.499166666666667</v>
      </c>
      <c r="AE335" s="40">
        <v>41.499166666666667</v>
      </c>
      <c r="AF335" s="40">
        <v>41.499166666666667</v>
      </c>
      <c r="AG335" s="40">
        <v>41.499166666666667</v>
      </c>
      <c r="AH335" s="40">
        <v>41.499166666666667</v>
      </c>
      <c r="AI335" s="40">
        <v>41.499166666666667</v>
      </c>
      <c r="AJ335" s="40">
        <v>41.499166666666667</v>
      </c>
      <c r="AK335" s="40">
        <v>41.499166666666667</v>
      </c>
      <c r="AL335" s="40">
        <v>41.499166666666667</v>
      </c>
      <c r="AM335" s="40">
        <v>41.499166666666667</v>
      </c>
      <c r="AN335" s="40">
        <v>41.499166666666667</v>
      </c>
      <c r="AO335" s="40"/>
      <c r="AP335" s="40"/>
      <c r="AQ335" s="40"/>
      <c r="AR335" s="40"/>
      <c r="AS335" s="40"/>
      <c r="AT335" s="40"/>
      <c r="AU335" s="40"/>
      <c r="AV335" s="40"/>
    </row>
    <row r="336" spans="3:52" ht="15" customHeight="1">
      <c r="E336" s="93" t="s">
        <v>314</v>
      </c>
      <c r="G336" s="93" t="s">
        <v>29</v>
      </c>
      <c r="I336" s="70" t="str">
        <f xml:space="preserve"> Sources!I$27</f>
        <v>XXII</v>
      </c>
      <c r="J336" s="32">
        <f>SUM(L336:AV336)</f>
        <v>846.94</v>
      </c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>
        <v>77</v>
      </c>
      <c r="Z336" s="40">
        <v>59.34</v>
      </c>
      <c r="AA336" s="40">
        <v>50.36</v>
      </c>
      <c r="AB336" s="40">
        <v>50.95</v>
      </c>
      <c r="AC336" s="40">
        <v>50.774166666666666</v>
      </c>
      <c r="AD336" s="40">
        <v>50.774166666666666</v>
      </c>
      <c r="AE336" s="40">
        <v>50.774166666666666</v>
      </c>
      <c r="AF336" s="40">
        <v>50.774166666666666</v>
      </c>
      <c r="AG336" s="40">
        <v>50.774166666666666</v>
      </c>
      <c r="AH336" s="40">
        <v>50.774166666666666</v>
      </c>
      <c r="AI336" s="40">
        <v>50.774166666666666</v>
      </c>
      <c r="AJ336" s="40">
        <v>50.774166666666666</v>
      </c>
      <c r="AK336" s="40">
        <v>50.774166666666666</v>
      </c>
      <c r="AL336" s="40">
        <v>50.774166666666666</v>
      </c>
      <c r="AM336" s="40">
        <v>50.774166666666666</v>
      </c>
      <c r="AN336" s="40">
        <v>50.774166666666666</v>
      </c>
      <c r="AO336" s="40"/>
      <c r="AP336" s="40"/>
      <c r="AQ336" s="40"/>
      <c r="AR336" s="40"/>
      <c r="AS336" s="40"/>
      <c r="AT336" s="40"/>
      <c r="AU336" s="40"/>
      <c r="AV336" s="40"/>
    </row>
    <row r="337" spans="1:57" ht="15" customHeight="1">
      <c r="E337" s="93" t="s">
        <v>317</v>
      </c>
      <c r="G337" s="93" t="s">
        <v>29</v>
      </c>
      <c r="I337" s="70" t="str">
        <f xml:space="preserve"> Sources!I$27</f>
        <v>XXII</v>
      </c>
      <c r="J337" s="32">
        <f>SUM(L337:AV337)</f>
        <v>2979.0300000000007</v>
      </c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>
        <v>268</v>
      </c>
      <c r="Z337" s="40">
        <v>146.01</v>
      </c>
      <c r="AA337" s="40">
        <v>152.34</v>
      </c>
      <c r="AB337" s="40">
        <v>149.09</v>
      </c>
      <c r="AC337" s="40">
        <v>188.63250000000002</v>
      </c>
      <c r="AD337" s="40">
        <v>188.63250000000002</v>
      </c>
      <c r="AE337" s="40">
        <v>188.63250000000002</v>
      </c>
      <c r="AF337" s="40">
        <v>188.63250000000002</v>
      </c>
      <c r="AG337" s="40">
        <v>188.63250000000002</v>
      </c>
      <c r="AH337" s="40">
        <v>188.63250000000002</v>
      </c>
      <c r="AI337" s="40">
        <v>188.63250000000002</v>
      </c>
      <c r="AJ337" s="40">
        <v>188.63250000000002</v>
      </c>
      <c r="AK337" s="40">
        <v>188.63250000000002</v>
      </c>
      <c r="AL337" s="40">
        <v>188.63250000000002</v>
      </c>
      <c r="AM337" s="40">
        <v>188.63250000000002</v>
      </c>
      <c r="AN337" s="40">
        <v>188.63250000000002</v>
      </c>
      <c r="AO337" s="40"/>
      <c r="AP337" s="40"/>
      <c r="AQ337" s="40"/>
      <c r="AR337" s="40"/>
      <c r="AS337" s="40"/>
      <c r="AT337" s="40"/>
      <c r="AU337" s="40"/>
      <c r="AV337" s="40"/>
    </row>
    <row r="338" spans="1:57" ht="15" customHeight="1">
      <c r="E338" s="92"/>
      <c r="AC338" s="485"/>
      <c r="AE338" s="485"/>
    </row>
    <row r="339" spans="1:57" ht="15" customHeight="1">
      <c r="E339" s="92"/>
      <c r="AC339" s="485"/>
      <c r="AE339" s="485"/>
    </row>
    <row r="340" spans="1:57" ht="15" customHeight="1">
      <c r="A340" s="34" t="s">
        <v>871</v>
      </c>
      <c r="B340" s="34"/>
      <c r="C340" s="34"/>
      <c r="D340" s="34"/>
      <c r="E340" s="704"/>
      <c r="F340" s="704"/>
      <c r="G340" s="704"/>
      <c r="H340" s="34"/>
      <c r="I340" s="34"/>
      <c r="J340" s="34"/>
      <c r="K340" s="181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48"/>
      <c r="AX340" s="48"/>
      <c r="AY340" s="48"/>
      <c r="AZ340" s="48"/>
      <c r="BA340" s="48"/>
      <c r="BB340" s="48"/>
      <c r="BC340" s="48"/>
      <c r="BD340" s="48"/>
      <c r="BE340" s="48"/>
    </row>
    <row r="341" spans="1:57" customFormat="1" ht="15" customHeight="1">
      <c r="E341" s="601"/>
      <c r="F341" s="601"/>
      <c r="G341" s="601"/>
    </row>
    <row r="342" spans="1:57" customFormat="1" ht="15" customHeight="1">
      <c r="E342" s="600" t="str">
        <f xml:space="preserve"> 'T&amp;E'!E$9</f>
        <v>Model calendar year</v>
      </c>
      <c r="F342" s="600">
        <f xml:space="preserve"> 'T&amp;E'!F$9</f>
        <v>0</v>
      </c>
      <c r="G342" s="600" t="str">
        <f xml:space="preserve"> 'T&amp;E'!G$9</f>
        <v>year</v>
      </c>
      <c r="H342" s="600">
        <f xml:space="preserve"> 'T&amp;E'!H$9</f>
        <v>0</v>
      </c>
      <c r="I342" s="600">
        <f xml:space="preserve"> 'T&amp;E'!I$9</f>
        <v>0</v>
      </c>
      <c r="J342" s="600">
        <f xml:space="preserve"> 'T&amp;E'!J$9</f>
        <v>0</v>
      </c>
      <c r="K342" s="600">
        <f xml:space="preserve"> 'T&amp;E'!K$9</f>
        <v>0</v>
      </c>
      <c r="L342" s="600">
        <f xml:space="preserve"> 'T&amp;E'!L$9</f>
        <v>2014</v>
      </c>
      <c r="M342" s="600">
        <f xml:space="preserve"> 'T&amp;E'!M$9</f>
        <v>2015</v>
      </c>
      <c r="N342" s="600">
        <f xml:space="preserve"> 'T&amp;E'!N$9</f>
        <v>2016</v>
      </c>
      <c r="O342" s="600">
        <f xml:space="preserve"> 'T&amp;E'!O$9</f>
        <v>2017</v>
      </c>
      <c r="P342" s="600">
        <f xml:space="preserve"> 'T&amp;E'!P$9</f>
        <v>2018</v>
      </c>
      <c r="Q342" s="600">
        <f xml:space="preserve"> 'T&amp;E'!Q$9</f>
        <v>2019</v>
      </c>
      <c r="R342" s="600">
        <f xml:space="preserve"> 'T&amp;E'!R$9</f>
        <v>2020</v>
      </c>
      <c r="S342" s="600">
        <f xml:space="preserve"> 'T&amp;E'!S$9</f>
        <v>2021</v>
      </c>
      <c r="T342" s="600">
        <f xml:space="preserve"> 'T&amp;E'!T$9</f>
        <v>2022</v>
      </c>
      <c r="U342" s="600">
        <f xml:space="preserve"> 'T&amp;E'!U$9</f>
        <v>2023</v>
      </c>
      <c r="V342" s="600">
        <f xml:space="preserve"> 'T&amp;E'!V$9</f>
        <v>2024</v>
      </c>
      <c r="W342" s="600">
        <f xml:space="preserve"> 'T&amp;E'!W$9</f>
        <v>2025</v>
      </c>
      <c r="X342" s="600">
        <f xml:space="preserve"> 'T&amp;E'!X$9</f>
        <v>2026</v>
      </c>
      <c r="Y342" s="600">
        <f xml:space="preserve"> 'T&amp;E'!Y$9</f>
        <v>2027</v>
      </c>
      <c r="Z342" s="600">
        <f xml:space="preserve"> 'T&amp;E'!Z$9</f>
        <v>2028</v>
      </c>
      <c r="AA342" s="600">
        <f xml:space="preserve"> 'T&amp;E'!AA$9</f>
        <v>2029</v>
      </c>
      <c r="AB342" s="600">
        <f xml:space="preserve"> 'T&amp;E'!AB$9</f>
        <v>2030</v>
      </c>
      <c r="AC342" s="600">
        <f xml:space="preserve"> 'T&amp;E'!AC$9</f>
        <v>2031</v>
      </c>
      <c r="AD342" s="600">
        <f xml:space="preserve"> 'T&amp;E'!AD$9</f>
        <v>2032</v>
      </c>
      <c r="AE342" s="600">
        <f xml:space="preserve"> 'T&amp;E'!AE$9</f>
        <v>2033</v>
      </c>
      <c r="AF342" s="600">
        <f xml:space="preserve"> 'T&amp;E'!AF$9</f>
        <v>2034</v>
      </c>
      <c r="AG342" s="600">
        <f xml:space="preserve"> 'T&amp;E'!AG$9</f>
        <v>2035</v>
      </c>
      <c r="AH342" s="600">
        <f xml:space="preserve"> 'T&amp;E'!AH$9</f>
        <v>2036</v>
      </c>
      <c r="AI342" s="600">
        <f xml:space="preserve"> 'T&amp;E'!AI$9</f>
        <v>2037</v>
      </c>
      <c r="AJ342" s="600">
        <f xml:space="preserve"> 'T&amp;E'!AJ$9</f>
        <v>2038</v>
      </c>
      <c r="AK342" s="600">
        <f xml:space="preserve"> 'T&amp;E'!AK$9</f>
        <v>2039</v>
      </c>
      <c r="AL342" s="600">
        <f xml:space="preserve"> 'T&amp;E'!AL$9</f>
        <v>2040</v>
      </c>
      <c r="AM342" s="600">
        <f xml:space="preserve"> 'T&amp;E'!AM$9</f>
        <v>2041</v>
      </c>
      <c r="AN342" s="600">
        <f xml:space="preserve"> 'T&amp;E'!AN$9</f>
        <v>2042</v>
      </c>
      <c r="AO342" s="600">
        <f xml:space="preserve"> 'T&amp;E'!AO$9</f>
        <v>2043</v>
      </c>
      <c r="AP342" s="600">
        <f xml:space="preserve"> 'T&amp;E'!AP$9</f>
        <v>2044</v>
      </c>
      <c r="AQ342" s="600">
        <f xml:space="preserve"> 'T&amp;E'!AQ$9</f>
        <v>2045</v>
      </c>
      <c r="AR342" s="600">
        <f xml:space="preserve"> 'T&amp;E'!AR$9</f>
        <v>2046</v>
      </c>
      <c r="AS342" s="600">
        <f xml:space="preserve"> 'T&amp;E'!AS$9</f>
        <v>2047</v>
      </c>
      <c r="AT342" s="600">
        <f xml:space="preserve"> 'T&amp;E'!AT$9</f>
        <v>2048</v>
      </c>
      <c r="AU342" s="600">
        <f xml:space="preserve"> 'T&amp;E'!AU$9</f>
        <v>2049</v>
      </c>
      <c r="AV342" s="600">
        <f xml:space="preserve"> 'T&amp;E'!AV$9</f>
        <v>2050</v>
      </c>
    </row>
    <row r="343" spans="1:57" customFormat="1" ht="15" customHeight="1">
      <c r="E343" s="705" t="str">
        <f xml:space="preserve"> EITI_Rev!E$71</f>
        <v>I.D. % Total costs</v>
      </c>
      <c r="F343" s="705">
        <f xml:space="preserve"> EITI_Rev!F$71</f>
        <v>0</v>
      </c>
      <c r="G343" s="705" t="str">
        <f xml:space="preserve"> EITI_Rev!G$71</f>
        <v>%</v>
      </c>
      <c r="H343" s="599">
        <f xml:space="preserve"> EITI_Rev!H$71</f>
        <v>0</v>
      </c>
      <c r="I343" s="599">
        <f xml:space="preserve"> EITI_Rev!I$71</f>
        <v>0</v>
      </c>
      <c r="J343" s="599">
        <f xml:space="preserve"> EITI_Rev!J$71</f>
        <v>0</v>
      </c>
      <c r="K343" s="599">
        <f xml:space="preserve"> EITI_Rev!K$71</f>
        <v>0</v>
      </c>
      <c r="L343" s="599">
        <f xml:space="preserve"> EITI_Rev!L$71</f>
        <v>0</v>
      </c>
      <c r="M343" s="599">
        <f xml:space="preserve"> EITI_Rev!M$71</f>
        <v>0</v>
      </c>
      <c r="N343" s="599">
        <f xml:space="preserve"> EITI_Rev!N$71</f>
        <v>0</v>
      </c>
      <c r="O343" s="599">
        <f xml:space="preserve"> EITI_Rev!O$71</f>
        <v>0</v>
      </c>
      <c r="P343" s="599">
        <f xml:space="preserve"> EITI_Rev!P$71</f>
        <v>1.757706471710204E-3</v>
      </c>
      <c r="Q343" s="599">
        <f xml:space="preserve"> EITI_Rev!Q$71</f>
        <v>1.982929984337866E-2</v>
      </c>
      <c r="R343" s="599">
        <f xml:space="preserve"> EITI_Rev!R$71</f>
        <v>0</v>
      </c>
      <c r="S343" s="599">
        <f xml:space="preserve"> EITI_Rev!S$71</f>
        <v>0</v>
      </c>
      <c r="T343" s="599">
        <f xml:space="preserve"> EITI_Rev!T$71</f>
        <v>1.3832054498030572E-2</v>
      </c>
      <c r="U343" s="599">
        <f xml:space="preserve"> EITI_Rev!U$71</f>
        <v>0</v>
      </c>
      <c r="V343" s="599">
        <f xml:space="preserve"> EITI_Rev!V$71</f>
        <v>0</v>
      </c>
      <c r="W343" s="599">
        <f xml:space="preserve"> EITI_Rev!W$71</f>
        <v>0</v>
      </c>
      <c r="X343" s="599">
        <f xml:space="preserve"> EITI_Rev!X$71</f>
        <v>0</v>
      </c>
      <c r="Y343" s="599">
        <f xml:space="preserve"> EITI_Rev!Y$71</f>
        <v>0</v>
      </c>
      <c r="Z343" s="599">
        <f xml:space="preserve"> EITI_Rev!Z$71</f>
        <v>0</v>
      </c>
      <c r="AA343" s="599">
        <f xml:space="preserve"> EITI_Rev!AA$71</f>
        <v>0</v>
      </c>
      <c r="AB343" s="599">
        <f xml:space="preserve"> EITI_Rev!AB$71</f>
        <v>0</v>
      </c>
      <c r="AC343" s="599">
        <f xml:space="preserve"> EITI_Rev!AC$71</f>
        <v>0</v>
      </c>
      <c r="AD343" s="599">
        <f xml:space="preserve"> EITI_Rev!AD$71</f>
        <v>0</v>
      </c>
      <c r="AE343" s="599">
        <f xml:space="preserve"> EITI_Rev!AE$71</f>
        <v>0</v>
      </c>
      <c r="AF343" s="599">
        <f xml:space="preserve"> EITI_Rev!AF$71</f>
        <v>0</v>
      </c>
      <c r="AG343" s="599">
        <f xml:space="preserve"> EITI_Rev!AG$71</f>
        <v>0</v>
      </c>
      <c r="AH343" s="599">
        <f xml:space="preserve"> EITI_Rev!AH$71</f>
        <v>0</v>
      </c>
      <c r="AI343" s="599">
        <f xml:space="preserve"> EITI_Rev!AI$71</f>
        <v>0</v>
      </c>
      <c r="AJ343" s="599">
        <f xml:space="preserve"> EITI_Rev!AJ$71</f>
        <v>0</v>
      </c>
      <c r="AK343" s="599">
        <f xml:space="preserve"> EITI_Rev!AK$71</f>
        <v>0</v>
      </c>
      <c r="AL343" s="599">
        <f xml:space="preserve"> EITI_Rev!AL$71</f>
        <v>0</v>
      </c>
      <c r="AM343" s="599">
        <f xml:space="preserve"> EITI_Rev!AM$71</f>
        <v>0</v>
      </c>
      <c r="AN343" s="599">
        <f xml:space="preserve"> EITI_Rev!AN$71</f>
        <v>0</v>
      </c>
      <c r="AO343" s="599">
        <f xml:space="preserve"> EITI_Rev!AO$71</f>
        <v>0</v>
      </c>
      <c r="AP343" s="599">
        <f xml:space="preserve"> EITI_Rev!AP$71</f>
        <v>0</v>
      </c>
      <c r="AQ343" s="599">
        <f xml:space="preserve"> EITI_Rev!AQ$71</f>
        <v>0</v>
      </c>
      <c r="AR343" s="599">
        <f xml:space="preserve"> EITI_Rev!AR$71</f>
        <v>0</v>
      </c>
      <c r="AS343" s="599">
        <f xml:space="preserve"> EITI_Rev!AS$71</f>
        <v>0</v>
      </c>
      <c r="AT343" s="599">
        <f xml:space="preserve"> EITI_Rev!AT$71</f>
        <v>0</v>
      </c>
      <c r="AU343" s="599">
        <f xml:space="preserve"> EITI_Rev!AU$71</f>
        <v>0</v>
      </c>
      <c r="AV343" s="599">
        <f xml:space="preserve"> EITI_Rev!AV$71</f>
        <v>0</v>
      </c>
    </row>
    <row r="344" spans="1:57" customFormat="1" ht="15" customHeight="1">
      <c r="E344" s="601" t="s">
        <v>878</v>
      </c>
      <c r="F344" s="601">
        <f xml:space="preserve"> SUM(L344:AV344)</f>
        <v>4043</v>
      </c>
      <c r="G344" s="601" t="s">
        <v>23</v>
      </c>
      <c r="L344" s="601">
        <f t="shared" ref="L344:AV344" si="29" xml:space="preserve"> AND(K343 &gt; 0, L343 = 0) * L342</f>
        <v>0</v>
      </c>
      <c r="M344" s="601">
        <f t="shared" si="29"/>
        <v>0</v>
      </c>
      <c r="N344" s="601">
        <f t="shared" si="29"/>
        <v>0</v>
      </c>
      <c r="O344" s="601">
        <f t="shared" si="29"/>
        <v>0</v>
      </c>
      <c r="P344" s="601">
        <f t="shared" si="29"/>
        <v>0</v>
      </c>
      <c r="Q344" s="601">
        <f t="shared" si="29"/>
        <v>0</v>
      </c>
      <c r="R344" s="601">
        <f t="shared" si="29"/>
        <v>2020</v>
      </c>
      <c r="S344" s="601">
        <f t="shared" si="29"/>
        <v>0</v>
      </c>
      <c r="T344" s="601">
        <f t="shared" si="29"/>
        <v>0</v>
      </c>
      <c r="U344" s="601">
        <f t="shared" si="29"/>
        <v>2023</v>
      </c>
      <c r="V344" s="601">
        <f t="shared" si="29"/>
        <v>0</v>
      </c>
      <c r="W344" s="601">
        <f t="shared" si="29"/>
        <v>0</v>
      </c>
      <c r="X344" s="601">
        <f t="shared" si="29"/>
        <v>0</v>
      </c>
      <c r="Y344" s="601">
        <f t="shared" si="29"/>
        <v>0</v>
      </c>
      <c r="Z344" s="601">
        <f t="shared" si="29"/>
        <v>0</v>
      </c>
      <c r="AA344" s="601">
        <f t="shared" si="29"/>
        <v>0</v>
      </c>
      <c r="AB344" s="601">
        <f t="shared" si="29"/>
        <v>0</v>
      </c>
      <c r="AC344" s="601">
        <f t="shared" si="29"/>
        <v>0</v>
      </c>
      <c r="AD344" s="601">
        <f t="shared" si="29"/>
        <v>0</v>
      </c>
      <c r="AE344" s="601">
        <f t="shared" si="29"/>
        <v>0</v>
      </c>
      <c r="AF344" s="601">
        <f t="shared" si="29"/>
        <v>0</v>
      </c>
      <c r="AG344" s="601">
        <f t="shared" si="29"/>
        <v>0</v>
      </c>
      <c r="AH344" s="601">
        <f t="shared" si="29"/>
        <v>0</v>
      </c>
      <c r="AI344" s="601">
        <f t="shared" si="29"/>
        <v>0</v>
      </c>
      <c r="AJ344" s="601">
        <f t="shared" si="29"/>
        <v>0</v>
      </c>
      <c r="AK344" s="601">
        <f t="shared" si="29"/>
        <v>0</v>
      </c>
      <c r="AL344" s="601">
        <f t="shared" si="29"/>
        <v>0</v>
      </c>
      <c r="AM344" s="601">
        <f t="shared" si="29"/>
        <v>0</v>
      </c>
      <c r="AN344" s="601">
        <f t="shared" si="29"/>
        <v>0</v>
      </c>
      <c r="AO344" s="601">
        <f t="shared" si="29"/>
        <v>0</v>
      </c>
      <c r="AP344" s="601">
        <f t="shared" si="29"/>
        <v>0</v>
      </c>
      <c r="AQ344" s="601">
        <f t="shared" si="29"/>
        <v>0</v>
      </c>
      <c r="AR344" s="601">
        <f t="shared" si="29"/>
        <v>0</v>
      </c>
      <c r="AS344" s="601">
        <f t="shared" si="29"/>
        <v>0</v>
      </c>
      <c r="AT344" s="601">
        <f t="shared" si="29"/>
        <v>0</v>
      </c>
      <c r="AU344" s="601">
        <f t="shared" si="29"/>
        <v>0</v>
      </c>
      <c r="AV344" s="601">
        <f t="shared" si="29"/>
        <v>0</v>
      </c>
    </row>
    <row r="345" spans="1:57" customFormat="1" ht="15" customHeight="1">
      <c r="E345" s="601"/>
      <c r="F345" s="601"/>
      <c r="G345" s="601"/>
    </row>
    <row r="346" spans="1:57" customFormat="1" ht="15" customHeight="1">
      <c r="E346" s="705" t="str">
        <f xml:space="preserve"> InputsCon!E$126</f>
        <v>Import duties as % aggregate opex + capex</v>
      </c>
      <c r="F346" s="705">
        <f xml:space="preserve"> InputsCon!F$126</f>
        <v>0.05</v>
      </c>
      <c r="G346" s="705" t="str">
        <f xml:space="preserve"> InputsCon!G$126</f>
        <v>%</v>
      </c>
    </row>
    <row r="347" spans="1:57" customFormat="1" ht="15" customHeight="1">
      <c r="E347" s="601" t="s">
        <v>879</v>
      </c>
      <c r="F347" s="601"/>
      <c r="G347" s="601" t="s">
        <v>880</v>
      </c>
      <c r="L347" s="598">
        <f t="shared" ref="L347:AV347" si="30" xml:space="preserve"> IF(L342 &lt; $F344, L343, $F346)</f>
        <v>0</v>
      </c>
      <c r="M347" s="598">
        <f t="shared" si="30"/>
        <v>0</v>
      </c>
      <c r="N347" s="598">
        <f t="shared" si="30"/>
        <v>0</v>
      </c>
      <c r="O347" s="598">
        <f t="shared" si="30"/>
        <v>0</v>
      </c>
      <c r="P347" s="598">
        <f t="shared" si="30"/>
        <v>1.757706471710204E-3</v>
      </c>
      <c r="Q347" s="598">
        <f t="shared" si="30"/>
        <v>1.982929984337866E-2</v>
      </c>
      <c r="R347" s="598">
        <f t="shared" si="30"/>
        <v>0</v>
      </c>
      <c r="S347" s="598">
        <f t="shared" si="30"/>
        <v>0</v>
      </c>
      <c r="T347" s="598">
        <f t="shared" si="30"/>
        <v>1.3832054498030572E-2</v>
      </c>
      <c r="U347" s="598">
        <f t="shared" si="30"/>
        <v>0</v>
      </c>
      <c r="V347" s="598">
        <f t="shared" si="30"/>
        <v>0</v>
      </c>
      <c r="W347" s="598">
        <f t="shared" si="30"/>
        <v>0</v>
      </c>
      <c r="X347" s="598">
        <f t="shared" si="30"/>
        <v>0</v>
      </c>
      <c r="Y347" s="598">
        <f t="shared" si="30"/>
        <v>0</v>
      </c>
      <c r="Z347" s="598">
        <f t="shared" si="30"/>
        <v>0</v>
      </c>
      <c r="AA347" s="598">
        <f t="shared" si="30"/>
        <v>0</v>
      </c>
      <c r="AB347" s="598">
        <f t="shared" si="30"/>
        <v>0</v>
      </c>
      <c r="AC347" s="598">
        <f t="shared" si="30"/>
        <v>0</v>
      </c>
      <c r="AD347" s="598">
        <f t="shared" si="30"/>
        <v>0</v>
      </c>
      <c r="AE347" s="598">
        <f t="shared" si="30"/>
        <v>0</v>
      </c>
      <c r="AF347" s="598">
        <f t="shared" si="30"/>
        <v>0</v>
      </c>
      <c r="AG347" s="598">
        <f t="shared" si="30"/>
        <v>0</v>
      </c>
      <c r="AH347" s="598">
        <f t="shared" si="30"/>
        <v>0</v>
      </c>
      <c r="AI347" s="598">
        <f t="shared" si="30"/>
        <v>0</v>
      </c>
      <c r="AJ347" s="598">
        <f t="shared" si="30"/>
        <v>0</v>
      </c>
      <c r="AK347" s="598">
        <f t="shared" si="30"/>
        <v>0</v>
      </c>
      <c r="AL347" s="598">
        <f t="shared" si="30"/>
        <v>0</v>
      </c>
      <c r="AM347" s="598">
        <f t="shared" si="30"/>
        <v>0</v>
      </c>
      <c r="AN347" s="598">
        <f t="shared" si="30"/>
        <v>0</v>
      </c>
      <c r="AO347" s="598">
        <f t="shared" si="30"/>
        <v>0</v>
      </c>
      <c r="AP347" s="598">
        <f t="shared" si="30"/>
        <v>0</v>
      </c>
      <c r="AQ347" s="598">
        <f t="shared" si="30"/>
        <v>0</v>
      </c>
      <c r="AR347" s="598">
        <f t="shared" si="30"/>
        <v>0</v>
      </c>
      <c r="AS347" s="598">
        <f t="shared" si="30"/>
        <v>0</v>
      </c>
      <c r="AT347" s="598">
        <f t="shared" si="30"/>
        <v>0</v>
      </c>
      <c r="AU347" s="598">
        <f t="shared" si="30"/>
        <v>0</v>
      </c>
      <c r="AV347" s="598">
        <f t="shared" si="30"/>
        <v>0</v>
      </c>
    </row>
    <row r="348" spans="1:57" customFormat="1" ht="15" customHeight="1">
      <c r="E348" s="601"/>
      <c r="F348" s="601"/>
      <c r="G348" s="601"/>
    </row>
    <row r="349" spans="1:57" customFormat="1" ht="15" customHeight="1">
      <c r="E349" s="705" t="str">
        <f xml:space="preserve"> InputsCon!E$127</f>
        <v>Include Import Duties in forecast (1 = yes)</v>
      </c>
      <c r="F349" s="705">
        <f xml:space="preserve"> InputsCon!F$127</f>
        <v>1</v>
      </c>
      <c r="G349" s="705" t="str">
        <f xml:space="preserve"> InputsCon!G$127</f>
        <v>flag</v>
      </c>
    </row>
    <row r="350" spans="1:57" customFormat="1" ht="15" customHeight="1">
      <c r="E350" s="601"/>
      <c r="F350" s="601"/>
      <c r="G350" s="601"/>
    </row>
    <row r="351" spans="1:57" ht="15" customHeight="1">
      <c r="E351" s="92"/>
      <c r="AC351" s="485"/>
      <c r="AE351" s="485"/>
    </row>
    <row r="352" spans="1:57" ht="15" customHeight="1">
      <c r="A352" s="34" t="s">
        <v>895</v>
      </c>
      <c r="B352" s="34"/>
      <c r="C352" s="34"/>
      <c r="D352" s="34"/>
      <c r="E352" s="704"/>
      <c r="F352" s="704"/>
      <c r="G352" s="704"/>
      <c r="H352" s="34"/>
      <c r="I352" s="34"/>
      <c r="J352" s="34"/>
      <c r="K352" s="181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48"/>
      <c r="AX352" s="48"/>
      <c r="AY352" s="48"/>
      <c r="AZ352" s="48"/>
      <c r="BA352" s="48"/>
      <c r="BB352" s="48"/>
      <c r="BC352" s="48"/>
      <c r="BD352" s="48"/>
      <c r="BE352" s="48"/>
    </row>
    <row r="353" spans="1:57" ht="15" customHeight="1">
      <c r="E353" s="92"/>
      <c r="AC353" s="485"/>
      <c r="AE353" s="485"/>
    </row>
    <row r="354" spans="1:57" customFormat="1" ht="15" customHeight="1">
      <c r="E354" s="600" t="str">
        <f xml:space="preserve"> 'T&amp;E'!E$9</f>
        <v>Model calendar year</v>
      </c>
      <c r="F354" s="600">
        <f xml:space="preserve"> 'T&amp;E'!F$9</f>
        <v>0</v>
      </c>
      <c r="G354" s="600" t="str">
        <f xml:space="preserve"> 'T&amp;E'!G$9</f>
        <v>year</v>
      </c>
      <c r="H354" s="600">
        <f xml:space="preserve"> 'T&amp;E'!H$9</f>
        <v>0</v>
      </c>
      <c r="I354" s="600">
        <f xml:space="preserve"> 'T&amp;E'!I$9</f>
        <v>0</v>
      </c>
      <c r="J354" s="600">
        <f xml:space="preserve"> 'T&amp;E'!J$9</f>
        <v>0</v>
      </c>
      <c r="K354" s="600">
        <f xml:space="preserve"> 'T&amp;E'!K$9</f>
        <v>0</v>
      </c>
      <c r="L354" s="600">
        <f xml:space="preserve"> 'T&amp;E'!L$9</f>
        <v>2014</v>
      </c>
      <c r="M354" s="600">
        <f xml:space="preserve"> 'T&amp;E'!M$9</f>
        <v>2015</v>
      </c>
      <c r="N354" s="600">
        <f xml:space="preserve"> 'T&amp;E'!N$9</f>
        <v>2016</v>
      </c>
      <c r="O354" s="600">
        <f xml:space="preserve"> 'T&amp;E'!O$9</f>
        <v>2017</v>
      </c>
      <c r="P354" s="600">
        <f xml:space="preserve"> 'T&amp;E'!P$9</f>
        <v>2018</v>
      </c>
      <c r="Q354" s="600">
        <f xml:space="preserve"> 'T&amp;E'!Q$9</f>
        <v>2019</v>
      </c>
      <c r="R354" s="600">
        <f xml:space="preserve"> 'T&amp;E'!R$9</f>
        <v>2020</v>
      </c>
      <c r="S354" s="600">
        <f xml:space="preserve"> 'T&amp;E'!S$9</f>
        <v>2021</v>
      </c>
      <c r="T354" s="600">
        <f xml:space="preserve"> 'T&amp;E'!T$9</f>
        <v>2022</v>
      </c>
      <c r="U354" s="600">
        <f xml:space="preserve"> 'T&amp;E'!U$9</f>
        <v>2023</v>
      </c>
      <c r="V354" s="600">
        <f xml:space="preserve"> 'T&amp;E'!V$9</f>
        <v>2024</v>
      </c>
      <c r="W354" s="600">
        <f xml:space="preserve"> 'T&amp;E'!W$9</f>
        <v>2025</v>
      </c>
      <c r="X354" s="600">
        <f xml:space="preserve"> 'T&amp;E'!X$9</f>
        <v>2026</v>
      </c>
      <c r="Y354" s="600">
        <f xml:space="preserve"> 'T&amp;E'!Y$9</f>
        <v>2027</v>
      </c>
      <c r="Z354" s="600">
        <f xml:space="preserve"> 'T&amp;E'!Z$9</f>
        <v>2028</v>
      </c>
      <c r="AA354" s="600">
        <f xml:space="preserve"> 'T&amp;E'!AA$9</f>
        <v>2029</v>
      </c>
      <c r="AB354" s="600">
        <f xml:space="preserve"> 'T&amp;E'!AB$9</f>
        <v>2030</v>
      </c>
      <c r="AC354" s="600">
        <f xml:space="preserve"> 'T&amp;E'!AC$9</f>
        <v>2031</v>
      </c>
      <c r="AD354" s="600">
        <f xml:space="preserve"> 'T&amp;E'!AD$9</f>
        <v>2032</v>
      </c>
      <c r="AE354" s="600">
        <f xml:space="preserve"> 'T&amp;E'!AE$9</f>
        <v>2033</v>
      </c>
      <c r="AF354" s="600">
        <f xml:space="preserve"> 'T&amp;E'!AF$9</f>
        <v>2034</v>
      </c>
      <c r="AG354" s="600">
        <f xml:space="preserve"> 'T&amp;E'!AG$9</f>
        <v>2035</v>
      </c>
      <c r="AH354" s="600">
        <f xml:space="preserve"> 'T&amp;E'!AH$9</f>
        <v>2036</v>
      </c>
      <c r="AI354" s="600">
        <f xml:space="preserve"> 'T&amp;E'!AI$9</f>
        <v>2037</v>
      </c>
      <c r="AJ354" s="600">
        <f xml:space="preserve"> 'T&amp;E'!AJ$9</f>
        <v>2038</v>
      </c>
      <c r="AK354" s="600">
        <f xml:space="preserve"> 'T&amp;E'!AK$9</f>
        <v>2039</v>
      </c>
      <c r="AL354" s="600">
        <f xml:space="preserve"> 'T&amp;E'!AL$9</f>
        <v>2040</v>
      </c>
      <c r="AM354" s="600">
        <f xml:space="preserve"> 'T&amp;E'!AM$9</f>
        <v>2041</v>
      </c>
      <c r="AN354" s="600">
        <f xml:space="preserve"> 'T&amp;E'!AN$9</f>
        <v>2042</v>
      </c>
      <c r="AO354" s="600">
        <f xml:space="preserve"> 'T&amp;E'!AO$9</f>
        <v>2043</v>
      </c>
      <c r="AP354" s="600">
        <f xml:space="preserve"> 'T&amp;E'!AP$9</f>
        <v>2044</v>
      </c>
      <c r="AQ354" s="600">
        <f xml:space="preserve"> 'T&amp;E'!AQ$9</f>
        <v>2045</v>
      </c>
      <c r="AR354" s="600">
        <f xml:space="preserve"> 'T&amp;E'!AR$9</f>
        <v>2046</v>
      </c>
      <c r="AS354" s="600">
        <f xml:space="preserve"> 'T&amp;E'!AS$9</f>
        <v>2047</v>
      </c>
      <c r="AT354" s="600">
        <f xml:space="preserve"> 'T&amp;E'!AT$9</f>
        <v>2048</v>
      </c>
      <c r="AU354" s="600">
        <f xml:space="preserve"> 'T&amp;E'!AU$9</f>
        <v>2049</v>
      </c>
      <c r="AV354" s="600">
        <f xml:space="preserve"> 'T&amp;E'!AV$9</f>
        <v>2050</v>
      </c>
    </row>
    <row r="355" spans="1:57" customFormat="1" ht="15" customHeight="1">
      <c r="E355" s="705" t="str">
        <f xml:space="preserve"> EITI_Rev!E$81</f>
        <v>IPR % opex</v>
      </c>
      <c r="F355" s="705">
        <f xml:space="preserve"> EITI_Rev!F$81</f>
        <v>0</v>
      </c>
      <c r="G355" s="705" t="str">
        <f xml:space="preserve"> EITI_Rev!G$81</f>
        <v>%</v>
      </c>
      <c r="H355" s="599">
        <f xml:space="preserve"> EITI_Rev!H$81</f>
        <v>0</v>
      </c>
      <c r="I355" s="599">
        <f xml:space="preserve"> EITI_Rev!I$81</f>
        <v>0</v>
      </c>
      <c r="J355" s="599">
        <f xml:space="preserve"> EITI_Rev!J$81</f>
        <v>0</v>
      </c>
      <c r="K355" s="599">
        <f xml:space="preserve"> EITI_Rev!K$81</f>
        <v>0</v>
      </c>
      <c r="L355" s="599">
        <f xml:space="preserve"> EITI_Rev!L$81</f>
        <v>0</v>
      </c>
      <c r="M355" s="599">
        <f xml:space="preserve"> EITI_Rev!M$81</f>
        <v>0</v>
      </c>
      <c r="N355" s="599">
        <f xml:space="preserve"> EITI_Rev!N$81</f>
        <v>0</v>
      </c>
      <c r="O355" s="599">
        <f xml:space="preserve"> EITI_Rev!O$81</f>
        <v>0</v>
      </c>
      <c r="P355" s="599">
        <f xml:space="preserve"> EITI_Rev!P$81</f>
        <v>9.5662714126523885E-2</v>
      </c>
      <c r="Q355" s="599">
        <f xml:space="preserve"> EITI_Rev!Q$81</f>
        <v>1.2574183301582949E-2</v>
      </c>
      <c r="R355" s="599">
        <f xml:space="preserve"> EITI_Rev!R$81</f>
        <v>1.6546418121946273E-2</v>
      </c>
      <c r="S355" s="599">
        <f xml:space="preserve"> EITI_Rev!S$81</f>
        <v>2.9906836901071009E-2</v>
      </c>
      <c r="T355" s="599">
        <f xml:space="preserve"> EITI_Rev!T$81</f>
        <v>1.3671075252452579E-2</v>
      </c>
      <c r="U355" s="599">
        <f xml:space="preserve"> EITI_Rev!U$81</f>
        <v>0</v>
      </c>
      <c r="V355" s="599">
        <f xml:space="preserve"> EITI_Rev!V$81</f>
        <v>0</v>
      </c>
      <c r="W355" s="599">
        <f xml:space="preserve"> EITI_Rev!W$81</f>
        <v>0</v>
      </c>
      <c r="X355" s="599">
        <f xml:space="preserve"> EITI_Rev!X$81</f>
        <v>0</v>
      </c>
      <c r="Y355" s="599">
        <f xml:space="preserve"> EITI_Rev!Y$81</f>
        <v>0</v>
      </c>
      <c r="Z355" s="599">
        <f xml:space="preserve"> EITI_Rev!Z$81</f>
        <v>0</v>
      </c>
      <c r="AA355" s="599">
        <f xml:space="preserve"> EITI_Rev!AA$81</f>
        <v>0</v>
      </c>
      <c r="AB355" s="599">
        <f xml:space="preserve"> EITI_Rev!AB$81</f>
        <v>0</v>
      </c>
      <c r="AC355" s="599">
        <f xml:space="preserve"> EITI_Rev!AC$81</f>
        <v>0</v>
      </c>
      <c r="AD355" s="599">
        <f xml:space="preserve"> EITI_Rev!AD$81</f>
        <v>0</v>
      </c>
      <c r="AE355" s="599">
        <f xml:space="preserve"> EITI_Rev!AE$81</f>
        <v>0</v>
      </c>
      <c r="AF355" s="599">
        <f xml:space="preserve"> EITI_Rev!AF$81</f>
        <v>0</v>
      </c>
      <c r="AG355" s="599">
        <f xml:space="preserve"> EITI_Rev!AG$81</f>
        <v>0</v>
      </c>
      <c r="AH355" s="599">
        <f xml:space="preserve"> EITI_Rev!AH$81</f>
        <v>0</v>
      </c>
      <c r="AI355" s="599">
        <f xml:space="preserve"> EITI_Rev!AI$81</f>
        <v>0</v>
      </c>
      <c r="AJ355" s="599">
        <f xml:space="preserve"> EITI_Rev!AJ$81</f>
        <v>0</v>
      </c>
      <c r="AK355" s="599">
        <f xml:space="preserve"> EITI_Rev!AK$81</f>
        <v>0</v>
      </c>
      <c r="AL355" s="599">
        <f xml:space="preserve"> EITI_Rev!AL$81</f>
        <v>0</v>
      </c>
      <c r="AM355" s="599">
        <f xml:space="preserve"> EITI_Rev!AM$81</f>
        <v>0</v>
      </c>
      <c r="AN355" s="599">
        <f xml:space="preserve"> EITI_Rev!AN$81</f>
        <v>0</v>
      </c>
      <c r="AO355" s="599">
        <f xml:space="preserve"> EITI_Rev!AO$81</f>
        <v>0</v>
      </c>
      <c r="AP355" s="599">
        <f xml:space="preserve"> EITI_Rev!AP$81</f>
        <v>0</v>
      </c>
      <c r="AQ355" s="599">
        <f xml:space="preserve"> EITI_Rev!AQ$81</f>
        <v>0</v>
      </c>
      <c r="AR355" s="599">
        <f xml:space="preserve"> EITI_Rev!AR$81</f>
        <v>0</v>
      </c>
      <c r="AS355" s="599">
        <f xml:space="preserve"> EITI_Rev!AS$81</f>
        <v>0</v>
      </c>
      <c r="AT355" s="599">
        <f xml:space="preserve"> EITI_Rev!AT$81</f>
        <v>0</v>
      </c>
      <c r="AU355" s="599">
        <f xml:space="preserve"> EITI_Rev!AU$81</f>
        <v>0</v>
      </c>
      <c r="AV355" s="599">
        <f xml:space="preserve"> EITI_Rev!AV$81</f>
        <v>0</v>
      </c>
    </row>
    <row r="356" spans="1:57" customFormat="1" ht="15" customHeight="1">
      <c r="E356" s="601" t="s">
        <v>900</v>
      </c>
      <c r="F356" s="601">
        <f xml:space="preserve"> SUM(L356:AV356)</f>
        <v>2023</v>
      </c>
      <c r="G356" s="601" t="s">
        <v>23</v>
      </c>
      <c r="L356" s="601">
        <f t="shared" ref="L356" si="31" xml:space="preserve"> AND(K355 &gt; 0, L355 = 0) * L354</f>
        <v>0</v>
      </c>
      <c r="M356" s="601">
        <f t="shared" ref="M356" si="32" xml:space="preserve"> AND(L355 &gt; 0, M355 = 0) * M354</f>
        <v>0</v>
      </c>
      <c r="N356" s="601">
        <f t="shared" ref="N356" si="33" xml:space="preserve"> AND(M355 &gt; 0, N355 = 0) * N354</f>
        <v>0</v>
      </c>
      <c r="O356" s="601">
        <f t="shared" ref="O356" si="34" xml:space="preserve"> AND(N355 &gt; 0, O355 = 0) * O354</f>
        <v>0</v>
      </c>
      <c r="P356" s="601">
        <f t="shared" ref="P356" si="35" xml:space="preserve"> AND(O355 &gt; 0, P355 = 0) * P354</f>
        <v>0</v>
      </c>
      <c r="Q356" s="601">
        <f t="shared" ref="Q356" si="36" xml:space="preserve"> AND(P355 &gt; 0, Q355 = 0) * Q354</f>
        <v>0</v>
      </c>
      <c r="R356" s="601">
        <f t="shared" ref="R356" si="37" xml:space="preserve"> AND(Q355 &gt; 0, R355 = 0) * R354</f>
        <v>0</v>
      </c>
      <c r="S356" s="601">
        <f t="shared" ref="S356" si="38" xml:space="preserve"> AND(R355 &gt; 0, S355 = 0) * S354</f>
        <v>0</v>
      </c>
      <c r="T356" s="601">
        <f t="shared" ref="T356" si="39" xml:space="preserve"> AND(S355 &gt; 0, T355 = 0) * T354</f>
        <v>0</v>
      </c>
      <c r="U356" s="601">
        <f t="shared" ref="U356" si="40" xml:space="preserve"> AND(T355 &gt; 0, U355 = 0) * U354</f>
        <v>2023</v>
      </c>
      <c r="V356" s="601">
        <f t="shared" ref="V356" si="41" xml:space="preserve"> AND(U355 &gt; 0, V355 = 0) * V354</f>
        <v>0</v>
      </c>
      <c r="W356" s="601">
        <f t="shared" ref="W356" si="42" xml:space="preserve"> AND(V355 &gt; 0, W355 = 0) * W354</f>
        <v>0</v>
      </c>
      <c r="X356" s="601">
        <f t="shared" ref="X356" si="43" xml:space="preserve"> AND(W355 &gt; 0, X355 = 0) * X354</f>
        <v>0</v>
      </c>
      <c r="Y356" s="601">
        <f t="shared" ref="Y356" si="44" xml:space="preserve"> AND(X355 &gt; 0, Y355 = 0) * Y354</f>
        <v>0</v>
      </c>
      <c r="Z356" s="601">
        <f t="shared" ref="Z356" si="45" xml:space="preserve"> AND(Y355 &gt; 0, Z355 = 0) * Z354</f>
        <v>0</v>
      </c>
      <c r="AA356" s="601">
        <f t="shared" ref="AA356" si="46" xml:space="preserve"> AND(Z355 &gt; 0, AA355 = 0) * AA354</f>
        <v>0</v>
      </c>
      <c r="AB356" s="601">
        <f t="shared" ref="AB356" si="47" xml:space="preserve"> AND(AA355 &gt; 0, AB355 = 0) * AB354</f>
        <v>0</v>
      </c>
      <c r="AC356" s="601">
        <f t="shared" ref="AC356" si="48" xml:space="preserve"> AND(AB355 &gt; 0, AC355 = 0) * AC354</f>
        <v>0</v>
      </c>
      <c r="AD356" s="601">
        <f t="shared" ref="AD356" si="49" xml:space="preserve"> AND(AC355 &gt; 0, AD355 = 0) * AD354</f>
        <v>0</v>
      </c>
      <c r="AE356" s="601">
        <f t="shared" ref="AE356" si="50" xml:space="preserve"> AND(AD355 &gt; 0, AE355 = 0) * AE354</f>
        <v>0</v>
      </c>
      <c r="AF356" s="601">
        <f t="shared" ref="AF356" si="51" xml:space="preserve"> AND(AE355 &gt; 0, AF355 = 0) * AF354</f>
        <v>0</v>
      </c>
      <c r="AG356" s="601">
        <f t="shared" ref="AG356" si="52" xml:space="preserve"> AND(AF355 &gt; 0, AG355 = 0) * AG354</f>
        <v>0</v>
      </c>
      <c r="AH356" s="601">
        <f t="shared" ref="AH356" si="53" xml:space="preserve"> AND(AG355 &gt; 0, AH355 = 0) * AH354</f>
        <v>0</v>
      </c>
      <c r="AI356" s="601">
        <f t="shared" ref="AI356" si="54" xml:space="preserve"> AND(AH355 &gt; 0, AI355 = 0) * AI354</f>
        <v>0</v>
      </c>
      <c r="AJ356" s="601">
        <f t="shared" ref="AJ356" si="55" xml:space="preserve"> AND(AI355 &gt; 0, AJ355 = 0) * AJ354</f>
        <v>0</v>
      </c>
      <c r="AK356" s="601">
        <f t="shared" ref="AK356" si="56" xml:space="preserve"> AND(AJ355 &gt; 0, AK355 = 0) * AK354</f>
        <v>0</v>
      </c>
      <c r="AL356" s="601">
        <f t="shared" ref="AL356" si="57" xml:space="preserve"> AND(AK355 &gt; 0, AL355 = 0) * AL354</f>
        <v>0</v>
      </c>
      <c r="AM356" s="601">
        <f t="shared" ref="AM356" si="58" xml:space="preserve"> AND(AL355 &gt; 0, AM355 = 0) * AM354</f>
        <v>0</v>
      </c>
      <c r="AN356" s="601">
        <f t="shared" ref="AN356" si="59" xml:space="preserve"> AND(AM355 &gt; 0, AN355 = 0) * AN354</f>
        <v>0</v>
      </c>
      <c r="AO356" s="601">
        <f t="shared" ref="AO356" si="60" xml:space="preserve"> AND(AN355 &gt; 0, AO355 = 0) * AO354</f>
        <v>0</v>
      </c>
      <c r="AP356" s="601">
        <f t="shared" ref="AP356" si="61" xml:space="preserve"> AND(AO355 &gt; 0, AP355 = 0) * AP354</f>
        <v>0</v>
      </c>
      <c r="AQ356" s="601">
        <f t="shared" ref="AQ356" si="62" xml:space="preserve"> AND(AP355 &gt; 0, AQ355 = 0) * AQ354</f>
        <v>0</v>
      </c>
      <c r="AR356" s="601">
        <f t="shared" ref="AR356" si="63" xml:space="preserve"> AND(AQ355 &gt; 0, AR355 = 0) * AR354</f>
        <v>0</v>
      </c>
      <c r="AS356" s="601">
        <f t="shared" ref="AS356" si="64" xml:space="preserve"> AND(AR355 &gt; 0, AS355 = 0) * AS354</f>
        <v>0</v>
      </c>
      <c r="AT356" s="601">
        <f t="shared" ref="AT356" si="65" xml:space="preserve"> AND(AS355 &gt; 0, AT355 = 0) * AT354</f>
        <v>0</v>
      </c>
      <c r="AU356" s="601">
        <f t="shared" ref="AU356" si="66" xml:space="preserve"> AND(AT355 &gt; 0, AU355 = 0) * AU354</f>
        <v>0</v>
      </c>
      <c r="AV356" s="601">
        <f t="shared" ref="AV356" si="67" xml:space="preserve"> AND(AU355 &gt; 0, AV355 = 0) * AV354</f>
        <v>0</v>
      </c>
    </row>
    <row r="357" spans="1:57" customFormat="1" ht="15" customHeight="1">
      <c r="E357" s="601"/>
      <c r="F357" s="601"/>
      <c r="G357" s="601"/>
    </row>
    <row r="358" spans="1:57" customFormat="1" ht="15" customHeight="1">
      <c r="E358" s="705" t="str">
        <f xml:space="preserve"> InputsCon!E$136</f>
        <v>Payroll taxes as % of opex</v>
      </c>
      <c r="F358" s="705">
        <f xml:space="preserve"> InputsCon!F$136</f>
        <v>0.04</v>
      </c>
      <c r="G358" s="705" t="str">
        <f xml:space="preserve"> InputsCon!G$136</f>
        <v xml:space="preserve"> %</v>
      </c>
    </row>
    <row r="359" spans="1:57" s="834" customFormat="1" ht="15" customHeight="1">
      <c r="E359" s="835" t="s">
        <v>901</v>
      </c>
      <c r="F359" s="835"/>
      <c r="G359" s="835" t="s">
        <v>902</v>
      </c>
      <c r="L359" s="836">
        <f t="shared" ref="L359" si="68" xml:space="preserve"> IF(L354 &lt; $F356, L355, $F358)</f>
        <v>0</v>
      </c>
      <c r="M359" s="836">
        <f t="shared" ref="M359" si="69" xml:space="preserve"> IF(M354 &lt; $F356, M355, $F358)</f>
        <v>0</v>
      </c>
      <c r="N359" s="836">
        <f t="shared" ref="N359" si="70" xml:space="preserve"> IF(N354 &lt; $F356, N355, $F358)</f>
        <v>0</v>
      </c>
      <c r="O359" s="836">
        <f t="shared" ref="O359" si="71" xml:space="preserve"> IF(O354 &lt; $F356, O355, $F358)</f>
        <v>0</v>
      </c>
      <c r="P359" s="836">
        <f t="shared" ref="P359" si="72" xml:space="preserve"> IF(P354 &lt; $F356, P355, $F358)</f>
        <v>9.5662714126523885E-2</v>
      </c>
      <c r="Q359" s="836">
        <f t="shared" ref="Q359" si="73" xml:space="preserve"> IF(Q354 &lt; $F356, Q355, $F358)</f>
        <v>1.2574183301582949E-2</v>
      </c>
      <c r="R359" s="836">
        <v>0.02</v>
      </c>
      <c r="S359" s="836">
        <v>0.02</v>
      </c>
      <c r="T359" s="836">
        <v>0.02</v>
      </c>
      <c r="U359" s="836">
        <v>0.02</v>
      </c>
      <c r="V359" s="836">
        <v>0.02</v>
      </c>
      <c r="W359" s="836">
        <v>0.02</v>
      </c>
      <c r="X359" s="836">
        <v>0.02</v>
      </c>
      <c r="Y359" s="836">
        <v>0.02</v>
      </c>
      <c r="Z359" s="836">
        <v>0.02</v>
      </c>
      <c r="AA359" s="836">
        <v>0.02</v>
      </c>
      <c r="AB359" s="836">
        <v>0.02</v>
      </c>
      <c r="AC359" s="836">
        <v>0.02</v>
      </c>
      <c r="AD359" s="836">
        <v>0.02</v>
      </c>
      <c r="AE359" s="836">
        <v>0.02</v>
      </c>
      <c r="AF359" s="836">
        <v>0.02</v>
      </c>
      <c r="AG359" s="836">
        <v>0.02</v>
      </c>
      <c r="AH359" s="836">
        <v>0.02</v>
      </c>
      <c r="AI359" s="836">
        <v>0.02</v>
      </c>
      <c r="AJ359" s="836">
        <v>0.02</v>
      </c>
      <c r="AK359" s="836">
        <v>0.02</v>
      </c>
      <c r="AL359" s="836">
        <v>0.02</v>
      </c>
      <c r="AM359" s="836">
        <v>0.02</v>
      </c>
      <c r="AN359" s="836">
        <v>0.02</v>
      </c>
      <c r="AO359" s="836">
        <v>0.02</v>
      </c>
      <c r="AP359" s="836">
        <v>0.02</v>
      </c>
      <c r="AQ359" s="836">
        <v>0.02</v>
      </c>
      <c r="AR359" s="836">
        <v>0.02</v>
      </c>
      <c r="AS359" s="836">
        <v>0.02</v>
      </c>
      <c r="AT359" s="836">
        <v>0.02</v>
      </c>
      <c r="AU359" s="836">
        <v>0.02</v>
      </c>
      <c r="AV359" s="836">
        <v>0.02</v>
      </c>
    </row>
    <row r="360" spans="1:57" customFormat="1" ht="15" customHeight="1">
      <c r="E360" s="601"/>
      <c r="F360" s="601"/>
      <c r="G360" s="601"/>
    </row>
    <row r="361" spans="1:57" customFormat="1" ht="15" customHeight="1">
      <c r="E361" s="705" t="str">
        <f xml:space="preserve"> InputsCon!E$137</f>
        <v>Include Payroll taxes in forecast (1 = yes)</v>
      </c>
      <c r="F361" s="705">
        <f xml:space="preserve"> InputsCon!F$137</f>
        <v>1</v>
      </c>
      <c r="G361" s="705" t="str">
        <f xml:space="preserve"> InputsCon!G$137</f>
        <v>flag</v>
      </c>
    </row>
    <row r="362" spans="1:57" ht="15" customHeight="1">
      <c r="E362" s="92"/>
      <c r="AC362" s="485"/>
      <c r="AE362" s="485"/>
    </row>
    <row r="363" spans="1:57" ht="15" customHeight="1">
      <c r="E363" s="92"/>
      <c r="AC363" s="485"/>
      <c r="AE363" s="485"/>
    </row>
    <row r="364" spans="1:57" ht="15" customHeight="1">
      <c r="A364" s="34" t="s">
        <v>318</v>
      </c>
      <c r="B364" s="34"/>
      <c r="C364" s="34"/>
      <c r="D364" s="34"/>
      <c r="E364" s="704"/>
      <c r="F364" s="704"/>
      <c r="G364" s="704"/>
      <c r="H364" s="34"/>
      <c r="I364" s="34"/>
      <c r="J364" s="34"/>
      <c r="K364" s="181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48"/>
      <c r="AX364" s="48"/>
      <c r="AY364" s="48"/>
      <c r="AZ364" s="48"/>
      <c r="BA364" s="48"/>
      <c r="BB364" s="48"/>
      <c r="BC364" s="48"/>
      <c r="BD364" s="48"/>
      <c r="BE364" s="48"/>
    </row>
    <row r="365" spans="1:57" ht="15" customHeight="1">
      <c r="E365" s="92"/>
    </row>
    <row r="366" spans="1:57" ht="15" customHeight="1">
      <c r="B366" s="16" t="s">
        <v>817</v>
      </c>
      <c r="C366" s="18"/>
    </row>
    <row r="367" spans="1:57" ht="15" customHeight="1">
      <c r="B367" s="246"/>
      <c r="C367" s="247"/>
      <c r="D367" s="103"/>
      <c r="E367" s="183" t="s">
        <v>319</v>
      </c>
      <c r="F367" s="71">
        <v>0.1</v>
      </c>
      <c r="G367" s="183" t="s">
        <v>26</v>
      </c>
    </row>
    <row r="368" spans="1:57" ht="15" customHeight="1">
      <c r="B368" s="246"/>
      <c r="C368" s="247"/>
      <c r="D368" s="103"/>
      <c r="E368" s="183" t="s">
        <v>320</v>
      </c>
      <c r="F368" s="84">
        <v>0.75</v>
      </c>
      <c r="G368" s="183" t="s">
        <v>26</v>
      </c>
    </row>
    <row r="369" spans="2:48" ht="15" customHeight="1">
      <c r="B369" s="246"/>
      <c r="C369" s="247"/>
      <c r="D369" s="103"/>
      <c r="E369" s="183" t="s">
        <v>321</v>
      </c>
      <c r="F369" s="71">
        <v>0.02</v>
      </c>
      <c r="G369" s="183" t="s">
        <v>26</v>
      </c>
    </row>
    <row r="370" spans="2:48" ht="15" customHeight="1">
      <c r="B370" s="246"/>
      <c r="C370" s="247"/>
      <c r="D370" s="103"/>
      <c r="E370" s="183" t="s">
        <v>322</v>
      </c>
      <c r="F370" s="71">
        <v>2.5000000000000001E-2</v>
      </c>
      <c r="G370" s="183" t="s">
        <v>26</v>
      </c>
    </row>
    <row r="372" spans="2:48" ht="15" customHeight="1">
      <c r="B372" s="16" t="s">
        <v>323</v>
      </c>
      <c r="D372" s="38"/>
      <c r="I372" s="18"/>
      <c r="K372" s="46"/>
    </row>
    <row r="373" spans="2:48" ht="15" customHeight="1">
      <c r="D373" s="38"/>
      <c r="E373" s="93" t="s">
        <v>324</v>
      </c>
      <c r="G373" s="93" t="s">
        <v>168</v>
      </c>
      <c r="I373" s="70" t="str">
        <f xml:space="preserve"> Sources!I$23</f>
        <v>XVIII</v>
      </c>
      <c r="J373" s="32">
        <f xml:space="preserve"> SUM(L373:AV373)</f>
        <v>5615000</v>
      </c>
      <c r="K373" s="46"/>
      <c r="L373" s="40"/>
      <c r="M373" s="40"/>
      <c r="N373" s="40"/>
      <c r="O373" s="40"/>
      <c r="P373" s="40"/>
      <c r="Q373" s="40">
        <v>135000</v>
      </c>
      <c r="R373" s="40">
        <v>150000</v>
      </c>
      <c r="S373" s="40">
        <v>205000</v>
      </c>
      <c r="T373" s="40">
        <v>245000</v>
      </c>
      <c r="U373" s="40">
        <v>310000</v>
      </c>
      <c r="V373" s="40">
        <v>310000</v>
      </c>
      <c r="W373" s="40">
        <v>310000</v>
      </c>
      <c r="X373" s="40">
        <v>310000</v>
      </c>
      <c r="Y373" s="40">
        <v>310000</v>
      </c>
      <c r="Z373" s="40">
        <v>310000</v>
      </c>
      <c r="AA373" s="40">
        <v>310000</v>
      </c>
      <c r="AB373" s="40">
        <v>310000</v>
      </c>
      <c r="AC373" s="40">
        <v>310000</v>
      </c>
      <c r="AD373" s="40">
        <v>310000</v>
      </c>
      <c r="AE373" s="40">
        <v>310000</v>
      </c>
      <c r="AF373" s="40">
        <v>310000</v>
      </c>
      <c r="AG373" s="40">
        <v>310000</v>
      </c>
      <c r="AH373" s="40">
        <v>300000</v>
      </c>
      <c r="AI373" s="40">
        <v>290000</v>
      </c>
      <c r="AJ373" s="40">
        <v>260000</v>
      </c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</row>
    <row r="374" spans="2:48" ht="15" customHeight="1">
      <c r="D374" s="38"/>
      <c r="I374" s="18"/>
      <c r="K374" s="46"/>
    </row>
    <row r="375" spans="2:48" ht="15" customHeight="1">
      <c r="D375" s="38"/>
      <c r="E375" s="93" t="str">
        <f t="shared" ref="E375:G376" si="74" xml:space="preserve"> E35</f>
        <v>Copper grade ore of probable reserves</v>
      </c>
      <c r="F375" s="78">
        <f t="shared" si="74"/>
        <v>4.3299999999999998E-2</v>
      </c>
      <c r="G375" s="93" t="str">
        <f t="shared" si="74"/>
        <v>%</v>
      </c>
      <c r="I375" s="18"/>
      <c r="K375" s="46"/>
    </row>
    <row r="376" spans="2:48" ht="15" customHeight="1">
      <c r="D376" s="38"/>
      <c r="E376" s="93" t="str">
        <f t="shared" si="74"/>
        <v>Cobalt grade ore of probable reserves</v>
      </c>
      <c r="F376" s="78">
        <f t="shared" si="74"/>
        <v>4.5999999999999999E-3</v>
      </c>
      <c r="G376" s="93" t="str">
        <f t="shared" si="74"/>
        <v>%</v>
      </c>
      <c r="I376" s="18"/>
      <c r="K376" s="46"/>
    </row>
    <row r="377" spans="2:48" ht="15" customHeight="1">
      <c r="D377" s="38"/>
      <c r="E377" s="93" t="s">
        <v>325</v>
      </c>
      <c r="F377" s="78">
        <f>F376 / F375</f>
        <v>0.10623556581986143</v>
      </c>
      <c r="I377" s="18"/>
      <c r="K377" s="46"/>
    </row>
    <row r="378" spans="2:48" ht="15" customHeight="1">
      <c r="D378" s="38"/>
      <c r="I378" s="18"/>
      <c r="K378" s="46"/>
    </row>
    <row r="379" spans="2:48" ht="15" customHeight="1">
      <c r="D379" s="38"/>
      <c r="E379" s="108" t="str">
        <f xml:space="preserve"> Inp_2019TR!E$153</f>
        <v>Copper recovered (calculated) 2019TR</v>
      </c>
      <c r="F379" s="186">
        <f xml:space="preserve"> Inp_2019TR!F$153</f>
        <v>0.82983784305912744</v>
      </c>
      <c r="G379" s="108" t="str">
        <f xml:space="preserve"> Inp_2019TR!G$153</f>
        <v>%</v>
      </c>
      <c r="I379" s="18"/>
      <c r="K379" s="46"/>
    </row>
    <row r="380" spans="2:48" ht="15" customHeight="1">
      <c r="D380" s="38"/>
      <c r="E380" s="108" t="str">
        <f xml:space="preserve"> Inp_2019TR!E$159</f>
        <v>Cobalt recovered (calculated) 2019TR</v>
      </c>
      <c r="F380" s="186">
        <f xml:space="preserve"> Inp_2019TR!F$159</f>
        <v>0.64940056469614316</v>
      </c>
      <c r="G380" s="108" t="str">
        <f xml:space="preserve"> Inp_2019TR!G$159</f>
        <v>%</v>
      </c>
      <c r="I380" s="18"/>
      <c r="K380" s="46"/>
    </row>
    <row r="381" spans="2:48" ht="15" customHeight="1">
      <c r="D381" s="38"/>
      <c r="E381" s="93" t="s">
        <v>30</v>
      </c>
      <c r="F381" s="78">
        <f xml:space="preserve"> F377 / F379 * F380</f>
        <v>8.3136045206023065E-2</v>
      </c>
      <c r="G381" s="93" t="s">
        <v>26</v>
      </c>
      <c r="I381" s="70" t="str">
        <f xml:space="preserve"> Sources!I$64</f>
        <v>LII</v>
      </c>
      <c r="K381" s="46"/>
    </row>
    <row r="382" spans="2:48" ht="15" customHeight="1">
      <c r="D382" s="38"/>
      <c r="I382" s="18"/>
      <c r="K382" s="46"/>
    </row>
    <row r="383" spans="2:48" ht="15" customHeight="1">
      <c r="B383" s="16" t="s">
        <v>326</v>
      </c>
      <c r="D383" s="38"/>
      <c r="I383" s="18"/>
      <c r="K383" s="46"/>
    </row>
    <row r="384" spans="2:48" ht="15" customHeight="1">
      <c r="D384" s="38"/>
      <c r="E384" s="93" t="s">
        <v>327</v>
      </c>
      <c r="G384" s="93" t="s">
        <v>168</v>
      </c>
      <c r="H384" s="3"/>
      <c r="I384" s="70" t="str">
        <f>Sources!I$24</f>
        <v>XIX</v>
      </c>
      <c r="K384" s="46"/>
      <c r="Q384" s="40">
        <v>135000</v>
      </c>
      <c r="R384" s="40">
        <v>150000</v>
      </c>
      <c r="S384" s="40">
        <v>150000</v>
      </c>
      <c r="T384" s="40">
        <v>150000</v>
      </c>
      <c r="U384" s="40">
        <v>150000</v>
      </c>
      <c r="V384" s="40">
        <v>150000</v>
      </c>
      <c r="W384" s="40">
        <v>150000</v>
      </c>
      <c r="X384" s="40">
        <v>150000</v>
      </c>
      <c r="Y384" s="40">
        <v>150000</v>
      </c>
      <c r="Z384" s="40">
        <v>150000</v>
      </c>
      <c r="AA384" s="40">
        <v>150000</v>
      </c>
      <c r="AB384" s="40">
        <v>150000</v>
      </c>
      <c r="AC384" s="40">
        <v>150000</v>
      </c>
      <c r="AD384" s="40">
        <v>150000</v>
      </c>
      <c r="AE384" s="40">
        <v>150000</v>
      </c>
      <c r="AF384" s="40">
        <v>150000</v>
      </c>
      <c r="AG384" s="40">
        <v>150000</v>
      </c>
      <c r="AH384" s="40">
        <v>150000</v>
      </c>
      <c r="AI384" s="40">
        <v>150000</v>
      </c>
      <c r="AJ384" s="40">
        <v>75000</v>
      </c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</row>
    <row r="385" spans="1:48" ht="15" customHeight="1">
      <c r="D385" s="38"/>
      <c r="E385" s="93" t="s">
        <v>328</v>
      </c>
      <c r="G385" s="93" t="s">
        <v>168</v>
      </c>
      <c r="H385" s="3"/>
      <c r="I385" s="18"/>
      <c r="K385" s="46"/>
      <c r="S385" s="85">
        <v>50000</v>
      </c>
      <c r="T385" s="85">
        <v>95000</v>
      </c>
      <c r="U385" s="85">
        <v>110000</v>
      </c>
      <c r="V385" s="85">
        <v>110000</v>
      </c>
      <c r="W385" s="85">
        <v>110000</v>
      </c>
      <c r="X385" s="85">
        <v>110000</v>
      </c>
      <c r="Y385" s="85">
        <v>110000</v>
      </c>
      <c r="Z385" s="85">
        <v>110000</v>
      </c>
      <c r="AA385" s="85">
        <v>110000</v>
      </c>
      <c r="AB385" s="85">
        <v>110000</v>
      </c>
      <c r="AC385" s="85">
        <v>110000</v>
      </c>
      <c r="AD385" s="85">
        <v>110000</v>
      </c>
      <c r="AE385" s="85">
        <v>110000</v>
      </c>
      <c r="AF385" s="85">
        <v>110000</v>
      </c>
      <c r="AG385" s="85">
        <v>110000</v>
      </c>
      <c r="AH385" s="85">
        <v>110000</v>
      </c>
      <c r="AI385" s="85">
        <v>110000</v>
      </c>
      <c r="AJ385" s="85">
        <v>50000</v>
      </c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</row>
    <row r="386" spans="1:48" s="3" customFormat="1" ht="15" customHeight="1">
      <c r="A386" s="95"/>
      <c r="B386" s="95"/>
      <c r="C386" s="96"/>
      <c r="D386" s="6"/>
      <c r="E386" s="93" t="s">
        <v>329</v>
      </c>
      <c r="F386" s="93"/>
      <c r="G386" s="93" t="s">
        <v>168</v>
      </c>
      <c r="I386" s="70" t="str">
        <f xml:space="preserve"> Sources!I$23</f>
        <v>XVIII</v>
      </c>
      <c r="J386" s="6">
        <f xml:space="preserve"> SUM(L386:AV386)</f>
        <v>4755000</v>
      </c>
      <c r="K386" s="98"/>
      <c r="L386" s="175">
        <f t="shared" ref="L386:AV386" si="75">SUM(L384:L385)</f>
        <v>0</v>
      </c>
      <c r="M386" s="175">
        <f t="shared" si="75"/>
        <v>0</v>
      </c>
      <c r="N386" s="175">
        <f t="shared" si="75"/>
        <v>0</v>
      </c>
      <c r="O386" s="175">
        <f t="shared" si="75"/>
        <v>0</v>
      </c>
      <c r="P386" s="175">
        <f t="shared" si="75"/>
        <v>0</v>
      </c>
      <c r="Q386" s="175">
        <f t="shared" si="75"/>
        <v>135000</v>
      </c>
      <c r="R386" s="175">
        <f t="shared" si="75"/>
        <v>150000</v>
      </c>
      <c r="S386" s="175">
        <f t="shared" si="75"/>
        <v>200000</v>
      </c>
      <c r="T386" s="175">
        <f t="shared" si="75"/>
        <v>245000</v>
      </c>
      <c r="U386" s="175">
        <f t="shared" si="75"/>
        <v>260000</v>
      </c>
      <c r="V386" s="175">
        <f t="shared" si="75"/>
        <v>260000</v>
      </c>
      <c r="W386" s="175">
        <f t="shared" si="75"/>
        <v>260000</v>
      </c>
      <c r="X386" s="175">
        <f t="shared" si="75"/>
        <v>260000</v>
      </c>
      <c r="Y386" s="175">
        <f t="shared" si="75"/>
        <v>260000</v>
      </c>
      <c r="Z386" s="175">
        <f t="shared" si="75"/>
        <v>260000</v>
      </c>
      <c r="AA386" s="175">
        <f t="shared" si="75"/>
        <v>260000</v>
      </c>
      <c r="AB386" s="175">
        <f t="shared" si="75"/>
        <v>260000</v>
      </c>
      <c r="AC386" s="175">
        <f t="shared" si="75"/>
        <v>260000</v>
      </c>
      <c r="AD386" s="175">
        <f t="shared" si="75"/>
        <v>260000</v>
      </c>
      <c r="AE386" s="175">
        <f t="shared" si="75"/>
        <v>260000</v>
      </c>
      <c r="AF386" s="175">
        <f t="shared" si="75"/>
        <v>260000</v>
      </c>
      <c r="AG386" s="175">
        <f t="shared" si="75"/>
        <v>260000</v>
      </c>
      <c r="AH386" s="175">
        <f t="shared" si="75"/>
        <v>260000</v>
      </c>
      <c r="AI386" s="175">
        <f t="shared" si="75"/>
        <v>260000</v>
      </c>
      <c r="AJ386" s="175">
        <f t="shared" si="75"/>
        <v>125000</v>
      </c>
      <c r="AK386" s="175">
        <f t="shared" si="75"/>
        <v>0</v>
      </c>
      <c r="AL386" s="175">
        <f t="shared" si="75"/>
        <v>0</v>
      </c>
      <c r="AM386" s="175">
        <f t="shared" si="75"/>
        <v>0</v>
      </c>
      <c r="AN386" s="175">
        <f t="shared" si="75"/>
        <v>0</v>
      </c>
      <c r="AO386" s="175">
        <f t="shared" si="75"/>
        <v>0</v>
      </c>
      <c r="AP386" s="175">
        <f t="shared" si="75"/>
        <v>0</v>
      </c>
      <c r="AQ386" s="175">
        <f t="shared" si="75"/>
        <v>0</v>
      </c>
      <c r="AR386" s="175">
        <f t="shared" si="75"/>
        <v>0</v>
      </c>
      <c r="AS386" s="175">
        <f t="shared" si="75"/>
        <v>0</v>
      </c>
      <c r="AT386" s="175">
        <f t="shared" si="75"/>
        <v>0</v>
      </c>
      <c r="AU386" s="175">
        <f t="shared" si="75"/>
        <v>0</v>
      </c>
      <c r="AV386" s="175">
        <f t="shared" si="75"/>
        <v>0</v>
      </c>
    </row>
    <row r="387" spans="1:48" ht="15" customHeight="1">
      <c r="D387" s="38"/>
      <c r="I387" s="18"/>
      <c r="K387" s="46"/>
    </row>
    <row r="388" spans="1:48" ht="15" customHeight="1">
      <c r="D388" s="38"/>
      <c r="E388" s="93" t="s">
        <v>330</v>
      </c>
      <c r="I388" s="70" t="str">
        <f xml:space="preserve"> Sources!I$24</f>
        <v>XIX</v>
      </c>
      <c r="K388" s="46"/>
      <c r="Q388" s="3"/>
      <c r="R388" s="3"/>
      <c r="S388" s="3"/>
      <c r="T388" s="3"/>
      <c r="U388" s="3"/>
      <c r="V388" s="40">
        <v>8000</v>
      </c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</row>
    <row r="389" spans="1:48" ht="15" customHeight="1">
      <c r="D389" s="38"/>
      <c r="E389" s="93" t="s">
        <v>331</v>
      </c>
      <c r="I389" s="70" t="str">
        <f xml:space="preserve"> Sources!I$24</f>
        <v>XIX</v>
      </c>
      <c r="K389" s="46"/>
      <c r="Q389" s="3"/>
      <c r="R389" s="3"/>
      <c r="S389" s="3"/>
      <c r="T389" s="3"/>
      <c r="U389" s="3"/>
      <c r="V389" s="40">
        <f xml:space="preserve"> 22 / 200 * 110 * 10^3</f>
        <v>12100</v>
      </c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</row>
    <row r="390" spans="1:48" ht="15" customHeight="1">
      <c r="D390" s="38"/>
      <c r="E390" s="93" t="s">
        <v>332</v>
      </c>
      <c r="I390" s="18"/>
      <c r="K390" s="46"/>
      <c r="V390" s="18">
        <f>SUM(V388:V389)</f>
        <v>20100</v>
      </c>
    </row>
    <row r="391" spans="1:48" ht="15" customHeight="1">
      <c r="D391" s="38"/>
      <c r="E391" s="93" t="s">
        <v>333</v>
      </c>
      <c r="F391" s="122">
        <f>$V391</f>
        <v>7.7307692307692313E-2</v>
      </c>
      <c r="G391" s="93" t="s">
        <v>334</v>
      </c>
      <c r="I391" s="18"/>
      <c r="K391" s="46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>
        <f xml:space="preserve"> V390 / V386</f>
        <v>7.7307692307692313E-2</v>
      </c>
      <c r="W391" s="122"/>
      <c r="X391" s="122"/>
      <c r="Y391" s="122"/>
      <c r="Z391" s="122"/>
      <c r="AA391" s="122"/>
      <c r="AB391" s="122"/>
      <c r="AC391" s="122"/>
      <c r="AD391" s="122"/>
      <c r="AE391" s="122"/>
      <c r="AF391" s="122"/>
      <c r="AG391" s="122"/>
      <c r="AH391" s="122"/>
      <c r="AI391" s="122"/>
      <c r="AJ391" s="122"/>
    </row>
    <row r="393" spans="1:48" ht="15" customHeight="1">
      <c r="D393" s="38"/>
      <c r="E393" s="93" t="s">
        <v>335</v>
      </c>
      <c r="G393" s="93" t="s">
        <v>168</v>
      </c>
      <c r="I393" s="70" t="str">
        <f xml:space="preserve"> Sources!I$23</f>
        <v>XVIII</v>
      </c>
      <c r="J393" s="32">
        <f xml:space="preserve"> SUM(L393:AV393)</f>
        <v>367598.07692307694</v>
      </c>
      <c r="K393" s="46"/>
      <c r="L393" s="175">
        <f t="shared" ref="L393:AV393" si="76" xml:space="preserve"> L386 * $F391</f>
        <v>0</v>
      </c>
      <c r="M393" s="175">
        <f t="shared" si="76"/>
        <v>0</v>
      </c>
      <c r="N393" s="175">
        <f t="shared" si="76"/>
        <v>0</v>
      </c>
      <c r="O393" s="175">
        <f t="shared" si="76"/>
        <v>0</v>
      </c>
      <c r="P393" s="175">
        <f t="shared" si="76"/>
        <v>0</v>
      </c>
      <c r="Q393" s="175">
        <f t="shared" si="76"/>
        <v>10436.538461538463</v>
      </c>
      <c r="R393" s="175">
        <f t="shared" si="76"/>
        <v>11596.153846153848</v>
      </c>
      <c r="S393" s="175">
        <f t="shared" si="76"/>
        <v>15461.538461538463</v>
      </c>
      <c r="T393" s="175">
        <f t="shared" si="76"/>
        <v>18940.384615384617</v>
      </c>
      <c r="U393" s="175">
        <f t="shared" si="76"/>
        <v>20100</v>
      </c>
      <c r="V393" s="175">
        <f t="shared" si="76"/>
        <v>20100</v>
      </c>
      <c r="W393" s="175">
        <f t="shared" si="76"/>
        <v>20100</v>
      </c>
      <c r="X393" s="175">
        <f t="shared" si="76"/>
        <v>20100</v>
      </c>
      <c r="Y393" s="175">
        <f t="shared" si="76"/>
        <v>20100</v>
      </c>
      <c r="Z393" s="175">
        <f t="shared" si="76"/>
        <v>20100</v>
      </c>
      <c r="AA393" s="175">
        <f t="shared" si="76"/>
        <v>20100</v>
      </c>
      <c r="AB393" s="175">
        <f t="shared" si="76"/>
        <v>20100</v>
      </c>
      <c r="AC393" s="175">
        <f t="shared" si="76"/>
        <v>20100</v>
      </c>
      <c r="AD393" s="175">
        <f t="shared" si="76"/>
        <v>20100</v>
      </c>
      <c r="AE393" s="175">
        <f t="shared" si="76"/>
        <v>20100</v>
      </c>
      <c r="AF393" s="175">
        <f t="shared" si="76"/>
        <v>20100</v>
      </c>
      <c r="AG393" s="175">
        <f t="shared" si="76"/>
        <v>20100</v>
      </c>
      <c r="AH393" s="175">
        <f t="shared" si="76"/>
        <v>20100</v>
      </c>
      <c r="AI393" s="175">
        <f t="shared" si="76"/>
        <v>20100</v>
      </c>
      <c r="AJ393" s="175">
        <f t="shared" si="76"/>
        <v>9663.461538461539</v>
      </c>
      <c r="AK393" s="175">
        <f t="shared" si="76"/>
        <v>0</v>
      </c>
      <c r="AL393" s="175">
        <f t="shared" si="76"/>
        <v>0</v>
      </c>
      <c r="AM393" s="175">
        <f t="shared" si="76"/>
        <v>0</v>
      </c>
      <c r="AN393" s="175">
        <f t="shared" si="76"/>
        <v>0</v>
      </c>
      <c r="AO393" s="175">
        <f t="shared" si="76"/>
        <v>0</v>
      </c>
      <c r="AP393" s="175">
        <f t="shared" si="76"/>
        <v>0</v>
      </c>
      <c r="AQ393" s="175">
        <f t="shared" si="76"/>
        <v>0</v>
      </c>
      <c r="AR393" s="175">
        <f t="shared" si="76"/>
        <v>0</v>
      </c>
      <c r="AS393" s="175">
        <f t="shared" si="76"/>
        <v>0</v>
      </c>
      <c r="AT393" s="175">
        <f t="shared" si="76"/>
        <v>0</v>
      </c>
      <c r="AU393" s="175">
        <f t="shared" si="76"/>
        <v>0</v>
      </c>
      <c r="AV393" s="175">
        <f t="shared" si="76"/>
        <v>0</v>
      </c>
    </row>
    <row r="394" spans="1:48" ht="15" customHeight="1">
      <c r="D394" s="38"/>
      <c r="I394" s="70"/>
      <c r="J394" s="32"/>
      <c r="K394" s="46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  <c r="AA394" s="175"/>
      <c r="AB394" s="175"/>
      <c r="AC394" s="175"/>
      <c r="AD394" s="175"/>
      <c r="AE394" s="175"/>
      <c r="AF394" s="175"/>
      <c r="AG394" s="175"/>
      <c r="AH394" s="175"/>
      <c r="AI394" s="175"/>
      <c r="AJ394" s="175"/>
      <c r="AK394" s="175"/>
      <c r="AL394" s="175"/>
      <c r="AM394" s="175"/>
      <c r="AN394" s="175"/>
      <c r="AO394" s="175"/>
      <c r="AP394" s="175"/>
      <c r="AQ394" s="175"/>
      <c r="AR394" s="175"/>
      <c r="AS394" s="175"/>
      <c r="AT394" s="175"/>
      <c r="AU394" s="175"/>
      <c r="AV394" s="175"/>
    </row>
    <row r="395" spans="1:48" ht="15" customHeight="1">
      <c r="B395" s="16" t="s">
        <v>336</v>
      </c>
      <c r="E395" s="92"/>
    </row>
    <row r="396" spans="1:48" ht="15" customHeight="1">
      <c r="C396" s="17" t="s">
        <v>11</v>
      </c>
      <c r="E396" s="92"/>
    </row>
    <row r="397" spans="1:48" ht="15" customHeight="1">
      <c r="E397" s="183" t="s">
        <v>337</v>
      </c>
      <c r="G397" s="93" t="s">
        <v>14</v>
      </c>
      <c r="I397" s="69" t="str">
        <f xml:space="preserve"> Sources!I$22</f>
        <v>XVII</v>
      </c>
      <c r="L397" s="40"/>
      <c r="M397" s="40"/>
      <c r="N397" s="40"/>
      <c r="O397" s="40"/>
      <c r="P397" s="40"/>
      <c r="Q397" s="40">
        <v>9600</v>
      </c>
      <c r="R397" s="40">
        <v>9300</v>
      </c>
      <c r="S397" s="40">
        <v>9000</v>
      </c>
      <c r="T397" s="40">
        <v>8600</v>
      </c>
      <c r="U397" s="40">
        <v>8200</v>
      </c>
      <c r="V397" s="40">
        <v>7800</v>
      </c>
      <c r="W397" s="40">
        <v>7500</v>
      </c>
      <c r="X397" s="40">
        <v>7100</v>
      </c>
      <c r="Y397" s="40">
        <v>6800</v>
      </c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</row>
    <row r="398" spans="1:48" ht="15" customHeight="1">
      <c r="E398" s="183" t="s">
        <v>338</v>
      </c>
      <c r="G398" s="93" t="s">
        <v>14</v>
      </c>
      <c r="I398" s="69" t="str">
        <f xml:space="preserve"> Sources!I$22</f>
        <v>XVII</v>
      </c>
      <c r="L398" s="40"/>
      <c r="M398" s="40"/>
      <c r="N398" s="40"/>
      <c r="O398" s="40"/>
      <c r="P398" s="40"/>
      <c r="Q398" s="40">
        <v>9600</v>
      </c>
      <c r="R398" s="40">
        <v>9208</v>
      </c>
      <c r="S398" s="40">
        <v>8822</v>
      </c>
      <c r="T398" s="40">
        <v>8347</v>
      </c>
      <c r="U398" s="40">
        <v>7880</v>
      </c>
      <c r="V398" s="40">
        <v>7240</v>
      </c>
      <c r="W398" s="40">
        <v>6859</v>
      </c>
      <c r="X398" s="40">
        <v>6397</v>
      </c>
      <c r="Y398" s="40">
        <v>6036</v>
      </c>
      <c r="Z398" s="47">
        <f t="shared" ref="Z398:AV398" si="77" xml:space="preserve"> $Y$398</f>
        <v>6036</v>
      </c>
      <c r="AA398" s="47">
        <f t="shared" si="77"/>
        <v>6036</v>
      </c>
      <c r="AB398" s="47">
        <f t="shared" si="77"/>
        <v>6036</v>
      </c>
      <c r="AC398" s="47">
        <f t="shared" si="77"/>
        <v>6036</v>
      </c>
      <c r="AD398" s="47">
        <f t="shared" si="77"/>
        <v>6036</v>
      </c>
      <c r="AE398" s="47">
        <f t="shared" si="77"/>
        <v>6036</v>
      </c>
      <c r="AF398" s="47">
        <f t="shared" si="77"/>
        <v>6036</v>
      </c>
      <c r="AG398" s="47">
        <f t="shared" si="77"/>
        <v>6036</v>
      </c>
      <c r="AH398" s="47">
        <f t="shared" si="77"/>
        <v>6036</v>
      </c>
      <c r="AI398" s="47">
        <f t="shared" si="77"/>
        <v>6036</v>
      </c>
      <c r="AJ398" s="47">
        <f t="shared" si="77"/>
        <v>6036</v>
      </c>
      <c r="AK398" s="47">
        <f t="shared" si="77"/>
        <v>6036</v>
      </c>
      <c r="AL398" s="47">
        <f t="shared" si="77"/>
        <v>6036</v>
      </c>
      <c r="AM398" s="47">
        <f t="shared" si="77"/>
        <v>6036</v>
      </c>
      <c r="AN398" s="47">
        <f t="shared" si="77"/>
        <v>6036</v>
      </c>
      <c r="AO398" s="47">
        <f t="shared" si="77"/>
        <v>6036</v>
      </c>
      <c r="AP398" s="47">
        <f t="shared" si="77"/>
        <v>6036</v>
      </c>
      <c r="AQ398" s="47">
        <f t="shared" si="77"/>
        <v>6036</v>
      </c>
      <c r="AR398" s="47">
        <f t="shared" si="77"/>
        <v>6036</v>
      </c>
      <c r="AS398" s="47">
        <f t="shared" si="77"/>
        <v>6036</v>
      </c>
      <c r="AT398" s="47">
        <f t="shared" si="77"/>
        <v>6036</v>
      </c>
      <c r="AU398" s="47">
        <f t="shared" si="77"/>
        <v>6036</v>
      </c>
      <c r="AV398" s="47">
        <f t="shared" si="77"/>
        <v>6036</v>
      </c>
    </row>
    <row r="399" spans="1:48" ht="15" customHeight="1">
      <c r="E399" s="183" t="s">
        <v>339</v>
      </c>
      <c r="G399" s="93" t="s">
        <v>26</v>
      </c>
      <c r="I399" s="69" t="str">
        <f xml:space="preserve"> Sources!I$22</f>
        <v>XVII</v>
      </c>
      <c r="L399" s="40"/>
      <c r="M399" s="40"/>
      <c r="N399" s="40"/>
      <c r="O399" s="40"/>
      <c r="P399" s="40"/>
      <c r="Q399" s="71">
        <v>0.01</v>
      </c>
      <c r="R399" s="71">
        <v>0.01</v>
      </c>
      <c r="S399" s="71">
        <v>0.01</v>
      </c>
      <c r="T399" s="71">
        <v>0.01</v>
      </c>
      <c r="U399" s="71">
        <v>0.01</v>
      </c>
      <c r="V399" s="71">
        <v>1.4999999999999999E-2</v>
      </c>
      <c r="W399" s="71">
        <v>1.4999999999999999E-2</v>
      </c>
      <c r="X399" s="71">
        <v>1.4999999999999999E-2</v>
      </c>
      <c r="Y399" s="71">
        <v>1.4999999999999999E-2</v>
      </c>
      <c r="Z399" s="71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</row>
    <row r="400" spans="1:48" ht="15" customHeight="1">
      <c r="E400" s="183" t="s">
        <v>340</v>
      </c>
      <c r="F400" s="718">
        <v>6000</v>
      </c>
      <c r="G400" s="183" t="s">
        <v>14</v>
      </c>
      <c r="H400" s="32"/>
      <c r="I400" s="69" t="str">
        <f xml:space="preserve"> Sources!I$22</f>
        <v>XVII</v>
      </c>
    </row>
    <row r="401" spans="1:48" ht="15" customHeight="1">
      <c r="E401" s="183" t="s">
        <v>341</v>
      </c>
      <c r="F401" s="714">
        <v>2020</v>
      </c>
      <c r="G401" s="183" t="s">
        <v>342</v>
      </c>
      <c r="H401" s="32"/>
      <c r="I401" s="69" t="str">
        <f xml:space="preserve"> Sources!I$22</f>
        <v>XVII</v>
      </c>
    </row>
    <row r="402" spans="1:48" ht="15" customHeight="1">
      <c r="E402" s="92"/>
    </row>
    <row r="403" spans="1:48" ht="15" customHeight="1">
      <c r="C403" s="17" t="s">
        <v>15</v>
      </c>
      <c r="E403" s="92"/>
      <c r="P403" s="486"/>
      <c r="Q403" s="486"/>
      <c r="R403" s="486"/>
      <c r="S403" s="486"/>
      <c r="T403" s="486"/>
      <c r="U403" s="486"/>
      <c r="V403" s="486"/>
      <c r="W403" s="486"/>
      <c r="X403" s="486"/>
      <c r="Y403" s="486"/>
      <c r="Z403" s="486"/>
    </row>
    <row r="404" spans="1:48" ht="15" customHeight="1">
      <c r="E404" s="183" t="s">
        <v>343</v>
      </c>
      <c r="G404" s="93" t="s">
        <v>271</v>
      </c>
      <c r="I404" s="69" t="str">
        <f xml:space="preserve"> Sources!I$22</f>
        <v>XVII</v>
      </c>
      <c r="L404" s="40"/>
      <c r="M404" s="40"/>
      <c r="N404" s="40"/>
      <c r="O404" s="40"/>
      <c r="P404" s="40"/>
      <c r="Q404" s="77">
        <v>17.239999999999998</v>
      </c>
      <c r="R404" s="77">
        <v>16.78</v>
      </c>
      <c r="S404" s="77">
        <v>16</v>
      </c>
      <c r="T404" s="77">
        <v>15</v>
      </c>
      <c r="U404" s="77">
        <v>15</v>
      </c>
      <c r="V404" s="77">
        <v>15</v>
      </c>
      <c r="W404" s="77">
        <v>13</v>
      </c>
      <c r="X404" s="77">
        <v>13</v>
      </c>
      <c r="Y404" s="77">
        <v>13</v>
      </c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</row>
    <row r="405" spans="1:48" ht="15" customHeight="1">
      <c r="E405" s="183" t="s">
        <v>344</v>
      </c>
      <c r="G405" s="93" t="s">
        <v>271</v>
      </c>
      <c r="I405" s="69" t="str">
        <f xml:space="preserve"> Sources!I$22</f>
        <v>XVII</v>
      </c>
      <c r="L405" s="40"/>
      <c r="M405" s="40"/>
      <c r="N405" s="40"/>
      <c r="O405" s="40"/>
      <c r="P405" s="40"/>
      <c r="Q405" s="77">
        <v>17.239999999999998</v>
      </c>
      <c r="R405" s="77">
        <v>16.62</v>
      </c>
      <c r="S405" s="77">
        <v>15.68</v>
      </c>
      <c r="T405" s="77">
        <v>14.56</v>
      </c>
      <c r="U405" s="77">
        <v>14.41</v>
      </c>
      <c r="V405" s="77">
        <v>13.92</v>
      </c>
      <c r="W405" s="77">
        <v>11.89</v>
      </c>
      <c r="X405" s="77">
        <v>11.71</v>
      </c>
      <c r="Y405" s="77">
        <v>11.54</v>
      </c>
      <c r="Z405" s="109">
        <f t="shared" ref="Z405:AV405" si="78" xml:space="preserve"> $Y405</f>
        <v>11.54</v>
      </c>
      <c r="AA405" s="109">
        <f t="shared" si="78"/>
        <v>11.54</v>
      </c>
      <c r="AB405" s="109">
        <f t="shared" si="78"/>
        <v>11.54</v>
      </c>
      <c r="AC405" s="109">
        <f t="shared" si="78"/>
        <v>11.54</v>
      </c>
      <c r="AD405" s="109">
        <f t="shared" si="78"/>
        <v>11.54</v>
      </c>
      <c r="AE405" s="109">
        <f t="shared" si="78"/>
        <v>11.54</v>
      </c>
      <c r="AF405" s="109">
        <f t="shared" si="78"/>
        <v>11.54</v>
      </c>
      <c r="AG405" s="109">
        <f t="shared" si="78"/>
        <v>11.54</v>
      </c>
      <c r="AH405" s="109">
        <f t="shared" si="78"/>
        <v>11.54</v>
      </c>
      <c r="AI405" s="109">
        <f t="shared" si="78"/>
        <v>11.54</v>
      </c>
      <c r="AJ405" s="109">
        <f t="shared" si="78"/>
        <v>11.54</v>
      </c>
      <c r="AK405" s="109">
        <f t="shared" si="78"/>
        <v>11.54</v>
      </c>
      <c r="AL405" s="109">
        <f t="shared" si="78"/>
        <v>11.54</v>
      </c>
      <c r="AM405" s="109">
        <f t="shared" si="78"/>
        <v>11.54</v>
      </c>
      <c r="AN405" s="109">
        <f t="shared" si="78"/>
        <v>11.54</v>
      </c>
      <c r="AO405" s="109">
        <f t="shared" si="78"/>
        <v>11.54</v>
      </c>
      <c r="AP405" s="109">
        <f t="shared" si="78"/>
        <v>11.54</v>
      </c>
      <c r="AQ405" s="109">
        <f t="shared" si="78"/>
        <v>11.54</v>
      </c>
      <c r="AR405" s="109">
        <f t="shared" si="78"/>
        <v>11.54</v>
      </c>
      <c r="AS405" s="109">
        <f t="shared" si="78"/>
        <v>11.54</v>
      </c>
      <c r="AT405" s="109">
        <f t="shared" si="78"/>
        <v>11.54</v>
      </c>
      <c r="AU405" s="109">
        <f t="shared" si="78"/>
        <v>11.54</v>
      </c>
      <c r="AV405" s="109">
        <f t="shared" si="78"/>
        <v>11.54</v>
      </c>
    </row>
    <row r="406" spans="1:48" s="78" customFormat="1" ht="15" customHeight="1">
      <c r="A406" s="79"/>
      <c r="B406" s="79"/>
      <c r="C406" s="80"/>
      <c r="E406" s="183" t="s">
        <v>339</v>
      </c>
      <c r="F406" s="93"/>
      <c r="G406" s="93" t="s">
        <v>26</v>
      </c>
      <c r="H406" s="18"/>
      <c r="I406" s="69" t="str">
        <f xml:space="preserve"> Sources!I$22</f>
        <v>XVII</v>
      </c>
      <c r="K406" s="184"/>
      <c r="L406" s="71"/>
      <c r="M406" s="71"/>
      <c r="N406" s="71"/>
      <c r="O406" s="71"/>
      <c r="P406" s="71"/>
      <c r="Q406" s="71">
        <v>0.01</v>
      </c>
      <c r="R406" s="71">
        <v>0.01</v>
      </c>
      <c r="S406" s="71">
        <v>0.01</v>
      </c>
      <c r="T406" s="71">
        <v>0.01</v>
      </c>
      <c r="U406" s="71">
        <v>0.01</v>
      </c>
      <c r="V406" s="71">
        <v>1.4999999999999999E-2</v>
      </c>
      <c r="W406" s="71">
        <v>1.4999999999999999E-2</v>
      </c>
      <c r="X406" s="71">
        <v>1.4999999999999999E-2</v>
      </c>
      <c r="Y406" s="71">
        <v>1.4999999999999999E-2</v>
      </c>
      <c r="Z406" s="71" t="s">
        <v>345</v>
      </c>
      <c r="AA406" s="71"/>
      <c r="AB406" s="71"/>
      <c r="AC406" s="71"/>
      <c r="AD406" s="71"/>
      <c r="AE406" s="71"/>
      <c r="AF406" s="71"/>
      <c r="AG406" s="71"/>
      <c r="AH406" s="71"/>
      <c r="AI406" s="71"/>
      <c r="AJ406" s="71"/>
      <c r="AK406" s="71"/>
      <c r="AL406" s="71"/>
      <c r="AM406" s="71"/>
      <c r="AN406" s="71"/>
      <c r="AO406" s="71"/>
      <c r="AP406" s="71"/>
      <c r="AQ406" s="71"/>
      <c r="AR406" s="71"/>
      <c r="AS406" s="71"/>
      <c r="AT406" s="71"/>
      <c r="AU406" s="71"/>
      <c r="AV406" s="71"/>
    </row>
    <row r="407" spans="1:48" ht="15" customHeight="1">
      <c r="E407" s="183" t="s">
        <v>346</v>
      </c>
      <c r="F407" s="714">
        <v>11</v>
      </c>
      <c r="G407" s="183" t="s">
        <v>271</v>
      </c>
      <c r="H407" s="32"/>
      <c r="I407" s="69" t="str">
        <f xml:space="preserve"> Sources!I$22</f>
        <v>XVII</v>
      </c>
    </row>
    <row r="408" spans="1:48" ht="15" customHeight="1">
      <c r="E408" s="183" t="s">
        <v>341</v>
      </c>
      <c r="F408" s="714">
        <v>2020</v>
      </c>
      <c r="G408" s="183" t="s">
        <v>342</v>
      </c>
      <c r="H408" s="32"/>
      <c r="I408" s="69" t="str">
        <f xml:space="preserve"> Sources!I$22</f>
        <v>XVII</v>
      </c>
    </row>
    <row r="409" spans="1:48" ht="15" customHeight="1">
      <c r="E409" s="92"/>
    </row>
    <row r="410" spans="1:48" ht="15" customHeight="1">
      <c r="B410" s="16" t="s">
        <v>347</v>
      </c>
      <c r="E410" s="92"/>
      <c r="P410" s="486"/>
      <c r="Q410" s="487"/>
      <c r="R410" s="487"/>
      <c r="S410" s="487"/>
      <c r="T410" s="487"/>
      <c r="U410" s="487"/>
      <c r="V410" s="487"/>
      <c r="W410" s="487"/>
      <c r="X410" s="487"/>
      <c r="Y410" s="487"/>
      <c r="Z410" s="487"/>
      <c r="AA410" s="486"/>
      <c r="AB410" s="486"/>
      <c r="AC410" s="486"/>
      <c r="AD410" s="486"/>
      <c r="AE410" s="486"/>
      <c r="AF410" s="486"/>
      <c r="AG410" s="486"/>
      <c r="AH410" s="486"/>
      <c r="AI410" s="486"/>
      <c r="AJ410" s="486"/>
      <c r="AK410" s="486"/>
      <c r="AL410" s="486"/>
    </row>
    <row r="411" spans="1:48" ht="15" customHeight="1">
      <c r="E411" s="183" t="s">
        <v>348</v>
      </c>
      <c r="G411" s="93" t="s">
        <v>29</v>
      </c>
      <c r="I411" s="69" t="str">
        <f xml:space="preserve"> Sources!I$22</f>
        <v>XVII</v>
      </c>
      <c r="J411" s="32">
        <f t="shared" ref="J411:J422" si="79">SUM(L411:AV411)</f>
        <v>45013</v>
      </c>
      <c r="L411" s="40"/>
      <c r="M411" s="40"/>
      <c r="N411" s="40"/>
      <c r="O411" s="40"/>
      <c r="P411" s="40"/>
      <c r="Q411" s="40">
        <v>1365</v>
      </c>
      <c r="R411" s="40">
        <v>1583</v>
      </c>
      <c r="S411" s="40">
        <v>1795</v>
      </c>
      <c r="T411" s="40">
        <v>2497</v>
      </c>
      <c r="U411" s="40">
        <v>2789</v>
      </c>
      <c r="V411" s="40">
        <v>2637</v>
      </c>
      <c r="W411" s="40">
        <v>2609</v>
      </c>
      <c r="X411" s="40">
        <v>2455</v>
      </c>
      <c r="Y411" s="40">
        <v>2324</v>
      </c>
      <c r="Z411" s="40">
        <v>2320</v>
      </c>
      <c r="AA411" s="40">
        <v>2318</v>
      </c>
      <c r="AB411" s="40">
        <v>2354</v>
      </c>
      <c r="AC411" s="40">
        <v>2362</v>
      </c>
      <c r="AD411" s="40">
        <v>2369</v>
      </c>
      <c r="AE411" s="40">
        <v>2363</v>
      </c>
      <c r="AF411" s="40">
        <v>2332</v>
      </c>
      <c r="AG411" s="40">
        <v>2273</v>
      </c>
      <c r="AH411" s="40">
        <v>2258</v>
      </c>
      <c r="AI411" s="40">
        <v>2167</v>
      </c>
      <c r="AJ411" s="40">
        <v>1843</v>
      </c>
      <c r="AK411" s="40">
        <v>0</v>
      </c>
      <c r="AL411" s="40">
        <v>0</v>
      </c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</row>
    <row r="412" spans="1:48" ht="15" customHeight="1">
      <c r="E412" s="183" t="s">
        <v>349</v>
      </c>
      <c r="G412" s="93" t="s">
        <v>29</v>
      </c>
      <c r="I412" s="69" t="str">
        <f xml:space="preserve"> Sources!I$22</f>
        <v>XVII</v>
      </c>
      <c r="J412" s="32">
        <f t="shared" si="79"/>
        <v>-4714</v>
      </c>
      <c r="L412" s="40"/>
      <c r="M412" s="40"/>
      <c r="N412" s="40"/>
      <c r="O412" s="40"/>
      <c r="P412" s="40"/>
      <c r="Q412" s="40">
        <v>-151</v>
      </c>
      <c r="R412" s="40">
        <v>-123</v>
      </c>
      <c r="S412" s="40">
        <v>-145</v>
      </c>
      <c r="T412" s="40">
        <v>-208</v>
      </c>
      <c r="U412" s="40">
        <v>-243</v>
      </c>
      <c r="V412" s="40">
        <v>-247</v>
      </c>
      <c r="W412" s="40">
        <v>-263</v>
      </c>
      <c r="X412" s="40">
        <v>-261</v>
      </c>
      <c r="Y412" s="40">
        <v>-258</v>
      </c>
      <c r="Z412" s="40">
        <v>-262</v>
      </c>
      <c r="AA412" s="40">
        <v>-262</v>
      </c>
      <c r="AB412" s="40">
        <v>-266</v>
      </c>
      <c r="AC412" s="40">
        <v>-267</v>
      </c>
      <c r="AD412" s="40">
        <v>-268</v>
      </c>
      <c r="AE412" s="40">
        <v>-267</v>
      </c>
      <c r="AF412" s="40">
        <v>-264</v>
      </c>
      <c r="AG412" s="40">
        <v>-257</v>
      </c>
      <c r="AH412" s="40">
        <v>-255</v>
      </c>
      <c r="AI412" s="40">
        <v>-243</v>
      </c>
      <c r="AJ412" s="40">
        <v>-204</v>
      </c>
      <c r="AK412" s="40">
        <v>0</v>
      </c>
      <c r="AL412" s="40">
        <v>0</v>
      </c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</row>
    <row r="413" spans="1:48" ht="15" customHeight="1">
      <c r="E413" s="323" t="s">
        <v>350</v>
      </c>
      <c r="G413" s="93" t="s">
        <v>29</v>
      </c>
      <c r="I413" s="69" t="str">
        <f xml:space="preserve"> Sources!I$22</f>
        <v>XVII</v>
      </c>
      <c r="J413" s="32">
        <f t="shared" si="79"/>
        <v>-1755</v>
      </c>
      <c r="L413" s="40"/>
      <c r="M413" s="40"/>
      <c r="N413" s="40"/>
      <c r="O413" s="40"/>
      <c r="P413" s="40"/>
      <c r="Q413" s="40">
        <v>-55</v>
      </c>
      <c r="R413" s="40">
        <v>-66</v>
      </c>
      <c r="S413" s="40">
        <v>-74</v>
      </c>
      <c r="T413" s="40">
        <v>-103</v>
      </c>
      <c r="U413" s="40">
        <v>-83</v>
      </c>
      <c r="V413" s="40">
        <v>-78</v>
      </c>
      <c r="W413" s="40">
        <v>-106</v>
      </c>
      <c r="X413" s="40">
        <v>-99</v>
      </c>
      <c r="Y413" s="40">
        <v>-93</v>
      </c>
      <c r="Z413" s="40">
        <v>-93</v>
      </c>
      <c r="AA413" s="40">
        <v>-93</v>
      </c>
      <c r="AB413" s="40">
        <v>-94</v>
      </c>
      <c r="AC413" s="40">
        <v>-94</v>
      </c>
      <c r="AD413" s="40">
        <v>-95</v>
      </c>
      <c r="AE413" s="40">
        <v>-94</v>
      </c>
      <c r="AF413" s="40">
        <v>-93</v>
      </c>
      <c r="AG413" s="40">
        <v>-91</v>
      </c>
      <c r="AH413" s="40">
        <v>-90</v>
      </c>
      <c r="AI413" s="40">
        <v>-87</v>
      </c>
      <c r="AJ413" s="40">
        <v>-74</v>
      </c>
      <c r="AK413" s="40">
        <v>0</v>
      </c>
      <c r="AL413" s="40">
        <v>0</v>
      </c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</row>
    <row r="414" spans="1:48" ht="15" customHeight="1">
      <c r="E414" s="183" t="s">
        <v>351</v>
      </c>
      <c r="G414" s="93" t="s">
        <v>29</v>
      </c>
      <c r="I414" s="69" t="str">
        <f xml:space="preserve"> Sources!I$22</f>
        <v>XVII</v>
      </c>
      <c r="J414" s="32">
        <f t="shared" si="79"/>
        <v>38546</v>
      </c>
      <c r="L414" s="40"/>
      <c r="M414" s="40"/>
      <c r="N414" s="40"/>
      <c r="O414" s="40"/>
      <c r="P414" s="40"/>
      <c r="Q414" s="40">
        <v>1160</v>
      </c>
      <c r="R414" s="40">
        <v>1394</v>
      </c>
      <c r="S414" s="40">
        <v>1575</v>
      </c>
      <c r="T414" s="40">
        <v>2185</v>
      </c>
      <c r="U414" s="40">
        <v>2464</v>
      </c>
      <c r="V414" s="40">
        <v>2313</v>
      </c>
      <c r="W414" s="40">
        <v>2240</v>
      </c>
      <c r="X414" s="40">
        <v>2095</v>
      </c>
      <c r="Y414" s="40">
        <v>1973</v>
      </c>
      <c r="Z414" s="40">
        <v>1966</v>
      </c>
      <c r="AA414" s="40">
        <v>1964</v>
      </c>
      <c r="AB414" s="40">
        <v>1993</v>
      </c>
      <c r="AC414" s="40">
        <v>2000</v>
      </c>
      <c r="AD414" s="40">
        <v>2007</v>
      </c>
      <c r="AE414" s="40">
        <v>2002</v>
      </c>
      <c r="AF414" s="40">
        <v>1975</v>
      </c>
      <c r="AG414" s="40">
        <v>1925</v>
      </c>
      <c r="AH414" s="40">
        <v>1913</v>
      </c>
      <c r="AI414" s="40">
        <v>1837</v>
      </c>
      <c r="AJ414" s="40">
        <v>1565</v>
      </c>
      <c r="AK414" s="40">
        <v>0</v>
      </c>
      <c r="AL414" s="40">
        <v>0</v>
      </c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</row>
    <row r="415" spans="1:48" ht="15" customHeight="1">
      <c r="E415" s="183" t="s">
        <v>352</v>
      </c>
      <c r="G415" s="93" t="s">
        <v>29</v>
      </c>
      <c r="I415" s="69" t="str">
        <f xml:space="preserve"> Sources!I$22</f>
        <v>XVII</v>
      </c>
      <c r="J415" s="32">
        <f t="shared" si="79"/>
        <v>-12423</v>
      </c>
      <c r="L415" s="40"/>
      <c r="M415" s="40"/>
      <c r="N415" s="40"/>
      <c r="O415" s="40"/>
      <c r="P415" s="40"/>
      <c r="Q415" s="40">
        <v>-388</v>
      </c>
      <c r="R415" s="40">
        <v>-483</v>
      </c>
      <c r="S415" s="40">
        <v>-485</v>
      </c>
      <c r="T415" s="40">
        <v>-529</v>
      </c>
      <c r="U415" s="40">
        <v>-637</v>
      </c>
      <c r="V415" s="40">
        <v>-606</v>
      </c>
      <c r="W415" s="40">
        <v>-648</v>
      </c>
      <c r="X415" s="40">
        <v>-651</v>
      </c>
      <c r="Y415" s="40">
        <v>-656</v>
      </c>
      <c r="Z415" s="40">
        <v>-696</v>
      </c>
      <c r="AA415" s="40">
        <v>-676</v>
      </c>
      <c r="AB415" s="40">
        <v>-702</v>
      </c>
      <c r="AC415" s="40">
        <v>-734</v>
      </c>
      <c r="AD415" s="40">
        <v>-724</v>
      </c>
      <c r="AE415" s="40">
        <v>-703</v>
      </c>
      <c r="AF415" s="40">
        <v>-698</v>
      </c>
      <c r="AG415" s="40">
        <v>-680</v>
      </c>
      <c r="AH415" s="40">
        <v>-670</v>
      </c>
      <c r="AI415" s="40">
        <v>-577</v>
      </c>
      <c r="AJ415" s="40">
        <v>-480</v>
      </c>
      <c r="AK415" s="40">
        <v>0</v>
      </c>
      <c r="AL415" s="40">
        <v>0</v>
      </c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</row>
    <row r="416" spans="1:48" ht="15" customHeight="1">
      <c r="E416" s="183" t="s">
        <v>353</v>
      </c>
      <c r="G416" s="93" t="s">
        <v>29</v>
      </c>
      <c r="I416" s="69" t="str">
        <f xml:space="preserve"> Sources!I$22</f>
        <v>XVII</v>
      </c>
      <c r="J416" s="32">
        <f t="shared" si="79"/>
        <v>-265</v>
      </c>
      <c r="L416" s="40"/>
      <c r="M416" s="40"/>
      <c r="N416" s="40"/>
      <c r="O416" s="40"/>
      <c r="P416" s="40"/>
      <c r="Q416" s="40">
        <v>-47</v>
      </c>
      <c r="R416" s="40">
        <v>-17</v>
      </c>
      <c r="S416" s="40">
        <v>-17</v>
      </c>
      <c r="T416" s="40">
        <v>-17</v>
      </c>
      <c r="U416" s="40">
        <v>-17</v>
      </c>
      <c r="V416" s="40">
        <v>-17</v>
      </c>
      <c r="W416" s="40">
        <v>-2</v>
      </c>
      <c r="X416" s="40">
        <v>-2</v>
      </c>
      <c r="Y416" s="40">
        <v>-2</v>
      </c>
      <c r="Z416" s="40">
        <v>-1</v>
      </c>
      <c r="AA416" s="40">
        <v>-1</v>
      </c>
      <c r="AB416" s="40">
        <v>-2</v>
      </c>
      <c r="AC416" s="40">
        <v>-1</v>
      </c>
      <c r="AD416" s="40">
        <v>-1</v>
      </c>
      <c r="AE416" s="40">
        <v>-2</v>
      </c>
      <c r="AF416" s="40">
        <v>-1</v>
      </c>
      <c r="AG416" s="40">
        <v>-1</v>
      </c>
      <c r="AH416" s="40">
        <v>-2</v>
      </c>
      <c r="AI416" s="40">
        <v>-1</v>
      </c>
      <c r="AJ416" s="40">
        <v>-1</v>
      </c>
      <c r="AK416" s="40">
        <v>-57</v>
      </c>
      <c r="AL416" s="40">
        <v>-56</v>
      </c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</row>
    <row r="417" spans="1:57" ht="15" customHeight="1">
      <c r="E417" s="183" t="s">
        <v>354</v>
      </c>
      <c r="G417" s="93" t="s">
        <v>29</v>
      </c>
      <c r="I417" s="69" t="str">
        <f xml:space="preserve"> Sources!I$22</f>
        <v>XVII</v>
      </c>
      <c r="J417" s="32">
        <f t="shared" si="79"/>
        <v>180</v>
      </c>
      <c r="L417" s="40"/>
      <c r="M417" s="40"/>
      <c r="N417" s="40"/>
      <c r="O417" s="40"/>
      <c r="P417" s="40"/>
      <c r="Q417" s="40">
        <v>24</v>
      </c>
      <c r="R417" s="40">
        <v>-28</v>
      </c>
      <c r="S417" s="40">
        <v>-84</v>
      </c>
      <c r="T417" s="40">
        <v>10</v>
      </c>
      <c r="U417" s="40">
        <v>-36</v>
      </c>
      <c r="V417" s="40">
        <v>15</v>
      </c>
      <c r="W417" s="40">
        <v>-3</v>
      </c>
      <c r="X417" s="40">
        <v>10</v>
      </c>
      <c r="Y417" s="40">
        <v>8</v>
      </c>
      <c r="Z417" s="40">
        <v>-7</v>
      </c>
      <c r="AA417" s="40">
        <v>8</v>
      </c>
      <c r="AB417" s="40">
        <v>-7</v>
      </c>
      <c r="AC417" s="40">
        <v>-1</v>
      </c>
      <c r="AD417" s="40">
        <v>4</v>
      </c>
      <c r="AE417" s="40">
        <v>4</v>
      </c>
      <c r="AF417" s="40">
        <v>3</v>
      </c>
      <c r="AG417" s="40">
        <v>9</v>
      </c>
      <c r="AH417" s="40">
        <v>0</v>
      </c>
      <c r="AI417" s="40">
        <v>35</v>
      </c>
      <c r="AJ417" s="40">
        <v>24</v>
      </c>
      <c r="AK417" s="40">
        <v>192</v>
      </c>
      <c r="AL417" s="40">
        <v>0</v>
      </c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</row>
    <row r="418" spans="1:57" ht="15" customHeight="1">
      <c r="E418" s="183" t="s">
        <v>355</v>
      </c>
      <c r="G418" s="93" t="s">
        <v>29</v>
      </c>
      <c r="I418" s="69" t="str">
        <f xml:space="preserve"> Sources!I$22</f>
        <v>XVII</v>
      </c>
      <c r="J418" s="32">
        <f t="shared" si="79"/>
        <v>-12509</v>
      </c>
      <c r="L418" s="40"/>
      <c r="M418" s="40"/>
      <c r="N418" s="40"/>
      <c r="O418" s="40"/>
      <c r="P418" s="40"/>
      <c r="Q418" s="40">
        <v>-411</v>
      </c>
      <c r="R418" s="40">
        <v>-528</v>
      </c>
      <c r="S418" s="40">
        <v>-586</v>
      </c>
      <c r="T418" s="40">
        <v>-536</v>
      </c>
      <c r="U418" s="40">
        <v>-690</v>
      </c>
      <c r="V418" s="40">
        <v>-608</v>
      </c>
      <c r="W418" s="40">
        <v>-652</v>
      </c>
      <c r="X418" s="40">
        <v>-642</v>
      </c>
      <c r="Y418" s="40">
        <v>-650</v>
      </c>
      <c r="Z418" s="40">
        <v>-704</v>
      </c>
      <c r="AA418" s="40">
        <v>-669</v>
      </c>
      <c r="AB418" s="40">
        <v>-711</v>
      </c>
      <c r="AC418" s="40">
        <v>-736</v>
      </c>
      <c r="AD418" s="40">
        <v>-722</v>
      </c>
      <c r="AE418" s="40">
        <v>-701</v>
      </c>
      <c r="AF418" s="40">
        <v>-697</v>
      </c>
      <c r="AG418" s="40">
        <v>-673</v>
      </c>
      <c r="AH418" s="40">
        <v>-672</v>
      </c>
      <c r="AI418" s="40">
        <v>-543</v>
      </c>
      <c r="AJ418" s="40">
        <v>-457</v>
      </c>
      <c r="AK418" s="40">
        <v>135</v>
      </c>
      <c r="AL418" s="40">
        <v>-56</v>
      </c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</row>
    <row r="419" spans="1:57" ht="15" customHeight="1">
      <c r="E419" s="183" t="s">
        <v>356</v>
      </c>
      <c r="G419" s="93" t="s">
        <v>29</v>
      </c>
      <c r="I419" s="69" t="str">
        <f xml:space="preserve"> Sources!I$22</f>
        <v>XVII</v>
      </c>
      <c r="J419" s="32">
        <f t="shared" si="79"/>
        <v>-6829</v>
      </c>
      <c r="L419" s="40"/>
      <c r="M419" s="40"/>
      <c r="N419" s="40"/>
      <c r="O419" s="40"/>
      <c r="P419" s="40"/>
      <c r="Q419" s="40">
        <v>-1</v>
      </c>
      <c r="R419" s="40">
        <v>-2</v>
      </c>
      <c r="S419" s="40">
        <v>-2</v>
      </c>
      <c r="T419" s="40">
        <v>-284</v>
      </c>
      <c r="U419" s="40">
        <v>-653</v>
      </c>
      <c r="V419" s="40">
        <v>-544</v>
      </c>
      <c r="W419" s="40">
        <v>-452</v>
      </c>
      <c r="X419" s="40">
        <v>-414</v>
      </c>
      <c r="Y419" s="40">
        <v>-359</v>
      </c>
      <c r="Z419" s="40">
        <v>-330</v>
      </c>
      <c r="AA419" s="40">
        <v>-335</v>
      </c>
      <c r="AB419" s="40">
        <v>-356</v>
      </c>
      <c r="AC419" s="40">
        <v>-355</v>
      </c>
      <c r="AD419" s="40">
        <v>-346</v>
      </c>
      <c r="AE419" s="40">
        <v>-362</v>
      </c>
      <c r="AF419" s="40">
        <v>-369</v>
      </c>
      <c r="AG419" s="40">
        <v>-354</v>
      </c>
      <c r="AH419" s="40">
        <v>-342</v>
      </c>
      <c r="AI419" s="40">
        <v>-348</v>
      </c>
      <c r="AJ419" s="40">
        <v>-358</v>
      </c>
      <c r="AK419" s="40">
        <v>-263</v>
      </c>
      <c r="AL419" s="40">
        <v>0</v>
      </c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</row>
    <row r="420" spans="1:57" ht="15" customHeight="1">
      <c r="E420" s="183" t="s">
        <v>357</v>
      </c>
      <c r="G420" s="93" t="s">
        <v>29</v>
      </c>
      <c r="I420" s="69" t="str">
        <f xml:space="preserve"> Sources!I$22</f>
        <v>XVII</v>
      </c>
      <c r="J420" s="32">
        <f t="shared" si="79"/>
        <v>-2648</v>
      </c>
      <c r="L420" s="40"/>
      <c r="M420" s="40"/>
      <c r="N420" s="40"/>
      <c r="O420" s="40"/>
      <c r="P420" s="40"/>
      <c r="Q420" s="40">
        <v>-320</v>
      </c>
      <c r="R420" s="40">
        <v>-353</v>
      </c>
      <c r="S420" s="40">
        <v>-371</v>
      </c>
      <c r="T420" s="40">
        <v>-133</v>
      </c>
      <c r="U420" s="40">
        <v>-120</v>
      </c>
      <c r="V420" s="40">
        <v>-89</v>
      </c>
      <c r="W420" s="40">
        <v>-105</v>
      </c>
      <c r="X420" s="40">
        <v>-119</v>
      </c>
      <c r="Y420" s="40">
        <v>-97</v>
      </c>
      <c r="Z420" s="40">
        <v>-110</v>
      </c>
      <c r="AA420" s="40">
        <v>-103</v>
      </c>
      <c r="AB420" s="40">
        <v>-103</v>
      </c>
      <c r="AC420" s="40">
        <v>-94</v>
      </c>
      <c r="AD420" s="40">
        <v>-87</v>
      </c>
      <c r="AE420" s="40">
        <v>-76</v>
      </c>
      <c r="AF420" s="40">
        <v>-77</v>
      </c>
      <c r="AG420" s="40">
        <v>-75</v>
      </c>
      <c r="AH420" s="40">
        <v>-83</v>
      </c>
      <c r="AI420" s="40">
        <v>-77</v>
      </c>
      <c r="AJ420" s="40">
        <v>-56</v>
      </c>
      <c r="AK420" s="40">
        <v>0</v>
      </c>
      <c r="AL420" s="40">
        <v>0</v>
      </c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</row>
    <row r="421" spans="1:57" ht="15" customHeight="1">
      <c r="E421" s="183" t="s">
        <v>358</v>
      </c>
      <c r="G421" s="93" t="s">
        <v>29</v>
      </c>
      <c r="I421" s="69" t="str">
        <f xml:space="preserve"> Sources!I$22</f>
        <v>XVII</v>
      </c>
      <c r="J421" s="32">
        <f t="shared" si="79"/>
        <v>-3416</v>
      </c>
      <c r="L421" s="40"/>
      <c r="M421" s="40"/>
      <c r="N421" s="40"/>
      <c r="O421" s="40"/>
      <c r="P421" s="40"/>
      <c r="Q421" s="40">
        <v>-11</v>
      </c>
      <c r="R421" s="40">
        <v>-21</v>
      </c>
      <c r="S421" s="40">
        <v>-15</v>
      </c>
      <c r="T421" s="40">
        <v>-74</v>
      </c>
      <c r="U421" s="40">
        <v>-91</v>
      </c>
      <c r="V421" s="40">
        <v>-158</v>
      </c>
      <c r="W421" s="40">
        <v>-260</v>
      </c>
      <c r="X421" s="40">
        <v>-236</v>
      </c>
      <c r="Y421" s="40">
        <v>-218</v>
      </c>
      <c r="Z421" s="40">
        <v>-205</v>
      </c>
      <c r="AA421" s="40">
        <v>-209</v>
      </c>
      <c r="AB421" s="40">
        <v>-206</v>
      </c>
      <c r="AC421" s="40">
        <v>-204</v>
      </c>
      <c r="AD421" s="40">
        <v>-211</v>
      </c>
      <c r="AE421" s="40">
        <v>-213</v>
      </c>
      <c r="AF421" s="40">
        <v>-209</v>
      </c>
      <c r="AG421" s="40">
        <v>-207</v>
      </c>
      <c r="AH421" s="40">
        <v>-202</v>
      </c>
      <c r="AI421" s="40">
        <v>-218</v>
      </c>
      <c r="AJ421" s="40">
        <v>-176</v>
      </c>
      <c r="AK421" s="40">
        <v>-72</v>
      </c>
      <c r="AL421" s="40">
        <v>0</v>
      </c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</row>
    <row r="422" spans="1:57" ht="15" customHeight="1">
      <c r="E422" s="183" t="s">
        <v>359</v>
      </c>
      <c r="G422" s="93" t="s">
        <v>29</v>
      </c>
      <c r="I422" s="69" t="str">
        <f xml:space="preserve"> Sources!I$22</f>
        <v>XVII</v>
      </c>
      <c r="J422" s="32">
        <f t="shared" si="79"/>
        <v>13144</v>
      </c>
      <c r="L422" s="40"/>
      <c r="M422" s="40"/>
      <c r="N422" s="40"/>
      <c r="O422" s="40"/>
      <c r="P422" s="40"/>
      <c r="Q422" s="40">
        <v>416</v>
      </c>
      <c r="R422" s="40">
        <v>490</v>
      </c>
      <c r="S422" s="40">
        <v>601</v>
      </c>
      <c r="T422" s="40">
        <v>1159</v>
      </c>
      <c r="U422" s="40">
        <v>910</v>
      </c>
      <c r="V422" s="40">
        <v>915</v>
      </c>
      <c r="W422" s="40">
        <v>771</v>
      </c>
      <c r="X422" s="40">
        <v>683</v>
      </c>
      <c r="Y422" s="40">
        <v>649</v>
      </c>
      <c r="Z422" s="40">
        <v>617</v>
      </c>
      <c r="AA422" s="40">
        <v>647</v>
      </c>
      <c r="AB422" s="40">
        <v>618</v>
      </c>
      <c r="AC422" s="40">
        <v>611</v>
      </c>
      <c r="AD422" s="40">
        <v>641</v>
      </c>
      <c r="AE422" s="40">
        <v>650</v>
      </c>
      <c r="AF422" s="40">
        <v>622</v>
      </c>
      <c r="AG422" s="40">
        <v>616</v>
      </c>
      <c r="AH422" s="40">
        <v>615</v>
      </c>
      <c r="AI422" s="40">
        <v>652</v>
      </c>
      <c r="AJ422" s="40">
        <v>517</v>
      </c>
      <c r="AK422" s="40">
        <v>-200</v>
      </c>
      <c r="AL422" s="40">
        <v>-56</v>
      </c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</row>
    <row r="423" spans="1:57" ht="15" customHeight="1">
      <c r="D423" s="32"/>
      <c r="E423" s="94"/>
      <c r="F423" s="176"/>
      <c r="G423" s="94"/>
      <c r="H423" s="37"/>
    </row>
    <row r="424" spans="1:57" ht="15" customHeight="1">
      <c r="A424" s="34" t="s">
        <v>544</v>
      </c>
      <c r="B424" s="34"/>
      <c r="C424" s="34"/>
      <c r="D424" s="34"/>
      <c r="E424" s="704"/>
      <c r="F424" s="704"/>
      <c r="G424" s="704"/>
      <c r="H424" s="34"/>
      <c r="I424" s="34"/>
      <c r="J424" s="34"/>
      <c r="K424" s="181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  <c r="AP424" s="34"/>
      <c r="AQ424" s="34"/>
      <c r="AR424" s="34"/>
      <c r="AS424" s="34"/>
      <c r="AT424" s="34"/>
      <c r="AU424" s="34"/>
      <c r="AV424" s="34"/>
      <c r="AW424" s="48"/>
      <c r="AX424" s="48"/>
      <c r="AY424" s="48"/>
      <c r="AZ424" s="48"/>
      <c r="BA424" s="48"/>
      <c r="BB424" s="48"/>
      <c r="BC424" s="48"/>
      <c r="BD424" s="48"/>
      <c r="BE424" s="48"/>
    </row>
    <row r="425" spans="1:57" s="3" customFormat="1" ht="15" customHeight="1">
      <c r="E425" s="93"/>
      <c r="F425" s="93"/>
      <c r="G425" s="93"/>
      <c r="K425" s="97"/>
    </row>
    <row r="426" spans="1:57" s="3" customFormat="1" ht="15" customHeight="1">
      <c r="E426" s="93"/>
      <c r="F426" s="242" t="s">
        <v>550</v>
      </c>
      <c r="G426" s="93"/>
      <c r="K426" s="97"/>
    </row>
    <row r="427" spans="1:57" s="3" customFormat="1" ht="15" customHeight="1">
      <c r="A427" s="95"/>
      <c r="B427" s="95"/>
      <c r="C427" s="96"/>
      <c r="D427" s="6"/>
      <c r="E427" s="707" t="s">
        <v>540</v>
      </c>
      <c r="F427" s="93"/>
      <c r="G427" s="93"/>
      <c r="K427" s="97"/>
    </row>
    <row r="428" spans="1:57" s="3" customFormat="1" ht="15" customHeight="1">
      <c r="A428" s="270"/>
      <c r="B428" s="95"/>
      <c r="C428" s="96"/>
      <c r="D428" s="6"/>
      <c r="E428" s="708" t="s">
        <v>552</v>
      </c>
      <c r="F428" s="93"/>
      <c r="G428" s="93" t="s">
        <v>547</v>
      </c>
      <c r="J428" s="3">
        <f xml:space="preserve"> SUM(L428:AV428)</f>
        <v>26195</v>
      </c>
      <c r="K428" s="97"/>
      <c r="O428" s="488">
        <v>2009</v>
      </c>
      <c r="P428" s="488">
        <v>2010</v>
      </c>
      <c r="Q428" s="488">
        <v>2011</v>
      </c>
      <c r="R428" s="488">
        <v>2012</v>
      </c>
      <c r="S428" s="488">
        <v>2013</v>
      </c>
      <c r="T428" s="488">
        <v>2014</v>
      </c>
      <c r="U428" s="488">
        <v>2015</v>
      </c>
      <c r="V428" s="488">
        <v>2016</v>
      </c>
      <c r="W428" s="488">
        <v>2017</v>
      </c>
      <c r="X428" s="488">
        <v>2018</v>
      </c>
      <c r="Y428" s="488">
        <v>2019</v>
      </c>
      <c r="Z428" s="488">
        <v>2020</v>
      </c>
      <c r="AA428" s="488">
        <v>2021</v>
      </c>
    </row>
    <row r="429" spans="1:57" s="3" customFormat="1" ht="15" customHeight="1">
      <c r="A429" s="270"/>
      <c r="B429" s="95"/>
      <c r="C429" s="96"/>
      <c r="D429" s="6"/>
      <c r="E429" s="708" t="s">
        <v>553</v>
      </c>
      <c r="F429" s="93"/>
      <c r="G429" s="93" t="s">
        <v>547</v>
      </c>
      <c r="J429" s="3">
        <f xml:space="preserve"> SUM(L429:AV429)</f>
        <v>1403</v>
      </c>
      <c r="K429" s="97"/>
      <c r="O429" s="489">
        <v>18</v>
      </c>
      <c r="P429" s="489">
        <v>43</v>
      </c>
      <c r="Q429" s="489">
        <v>92</v>
      </c>
      <c r="R429" s="489">
        <v>140</v>
      </c>
      <c r="S429" s="489">
        <v>204</v>
      </c>
      <c r="T429" s="489">
        <v>247</v>
      </c>
      <c r="U429" s="489">
        <v>107</v>
      </c>
      <c r="V429" s="489">
        <v>19</v>
      </c>
      <c r="W429" s="489">
        <v>52</v>
      </c>
      <c r="X429" s="489">
        <v>82</v>
      </c>
      <c r="Y429" s="489">
        <v>119</v>
      </c>
      <c r="Z429" s="489">
        <v>122</v>
      </c>
      <c r="AA429" s="489">
        <v>158</v>
      </c>
    </row>
    <row r="430" spans="1:57" s="3" customFormat="1" ht="15" customHeight="1">
      <c r="A430" s="270"/>
      <c r="B430" s="95"/>
      <c r="C430" s="96"/>
      <c r="D430" s="6"/>
      <c r="E430" s="708" t="s">
        <v>554</v>
      </c>
      <c r="F430" s="93"/>
      <c r="G430" s="93" t="s">
        <v>547</v>
      </c>
      <c r="J430" s="3">
        <f xml:space="preserve"> SUM(L430:AV430)</f>
        <v>844</v>
      </c>
      <c r="K430" s="97"/>
      <c r="O430" s="489"/>
      <c r="P430" s="489">
        <v>53</v>
      </c>
      <c r="Q430" s="489">
        <v>68</v>
      </c>
      <c r="R430" s="489">
        <v>72</v>
      </c>
      <c r="S430" s="489">
        <v>98</v>
      </c>
      <c r="T430" s="489">
        <v>104</v>
      </c>
      <c r="U430" s="489">
        <v>102</v>
      </c>
      <c r="V430" s="489">
        <v>32</v>
      </c>
      <c r="W430" s="489"/>
      <c r="X430" s="489">
        <v>70</v>
      </c>
      <c r="Y430" s="489">
        <v>87</v>
      </c>
      <c r="Z430" s="489">
        <v>69</v>
      </c>
      <c r="AA430" s="489">
        <v>89</v>
      </c>
    </row>
    <row r="431" spans="1:57" s="3" customFormat="1" ht="15" customHeight="1">
      <c r="A431" s="270"/>
      <c r="B431" s="95"/>
      <c r="C431" s="96"/>
      <c r="D431" s="6"/>
      <c r="E431" s="708" t="s">
        <v>555</v>
      </c>
      <c r="F431" s="93"/>
      <c r="G431" s="93" t="s">
        <v>547</v>
      </c>
      <c r="J431" s="3">
        <f xml:space="preserve"> SUM(L431:AV431)</f>
        <v>2804</v>
      </c>
      <c r="K431" s="97"/>
      <c r="O431" s="489">
        <v>127</v>
      </c>
      <c r="P431" s="489">
        <v>130</v>
      </c>
      <c r="Q431" s="489">
        <v>110</v>
      </c>
      <c r="R431" s="489">
        <v>378</v>
      </c>
      <c r="S431" s="489">
        <v>423</v>
      </c>
      <c r="T431" s="489">
        <v>235</v>
      </c>
      <c r="U431" s="489">
        <v>271</v>
      </c>
      <c r="V431" s="489">
        <v>135</v>
      </c>
      <c r="W431" s="489">
        <v>322</v>
      </c>
      <c r="X431" s="489">
        <v>225</v>
      </c>
      <c r="Y431" s="489">
        <v>267</v>
      </c>
      <c r="Z431" s="489">
        <v>140</v>
      </c>
      <c r="AA431" s="489">
        <v>41</v>
      </c>
    </row>
    <row r="432" spans="1:57" s="3" customFormat="1" ht="15" customHeight="1">
      <c r="A432" s="490"/>
      <c r="B432" s="95"/>
      <c r="C432" s="96"/>
      <c r="D432" s="6"/>
      <c r="E432" s="708" t="s">
        <v>556</v>
      </c>
      <c r="F432" s="93"/>
      <c r="G432" s="93" t="s">
        <v>547</v>
      </c>
      <c r="J432" s="3">
        <f xml:space="preserve"> SUM(L432:AV432)</f>
        <v>5053</v>
      </c>
      <c r="K432" s="97"/>
      <c r="O432" s="491">
        <v>144</v>
      </c>
      <c r="P432" s="491">
        <v>226</v>
      </c>
      <c r="Q432" s="491">
        <v>271</v>
      </c>
      <c r="R432" s="491">
        <v>590</v>
      </c>
      <c r="S432" s="491">
        <v>725</v>
      </c>
      <c r="T432" s="491">
        <v>586</v>
      </c>
      <c r="U432" s="491">
        <v>481</v>
      </c>
      <c r="V432" s="491">
        <v>186</v>
      </c>
      <c r="W432" s="491">
        <v>374</v>
      </c>
      <c r="X432" s="491">
        <v>377</v>
      </c>
      <c r="Y432" s="491">
        <v>473</v>
      </c>
      <c r="Z432" s="491">
        <v>331</v>
      </c>
      <c r="AA432" s="491">
        <v>289</v>
      </c>
    </row>
    <row r="433" spans="1:46" s="3" customFormat="1" ht="15" customHeight="1">
      <c r="A433" s="270"/>
      <c r="B433" s="95"/>
      <c r="C433" s="96"/>
      <c r="D433" s="6"/>
      <c r="E433" s="708"/>
      <c r="F433" s="176"/>
      <c r="G433" s="94"/>
      <c r="H433" s="97"/>
      <c r="I433" s="97"/>
      <c r="K433" s="97"/>
    </row>
    <row r="434" spans="1:46" s="3" customFormat="1" ht="15" customHeight="1">
      <c r="A434" s="492"/>
      <c r="B434" s="95"/>
      <c r="C434" s="96"/>
      <c r="D434" s="6"/>
      <c r="E434" s="709" t="s">
        <v>542</v>
      </c>
      <c r="F434" s="93"/>
      <c r="G434" s="93"/>
      <c r="K434" s="97"/>
    </row>
    <row r="435" spans="1:46" s="3" customFormat="1" ht="15" customHeight="1">
      <c r="A435" s="270"/>
      <c r="B435" s="95"/>
      <c r="C435" s="96"/>
      <c r="D435" s="6"/>
      <c r="E435" s="708" t="s">
        <v>551</v>
      </c>
      <c r="F435" s="93"/>
      <c r="G435" s="93"/>
      <c r="K435" s="97"/>
      <c r="AD435" s="493">
        <v>2024</v>
      </c>
      <c r="AE435" s="493">
        <v>2025</v>
      </c>
      <c r="AF435" s="493">
        <v>2026</v>
      </c>
      <c r="AG435" s="493">
        <v>2027</v>
      </c>
      <c r="AH435" s="493">
        <v>2028</v>
      </c>
      <c r="AI435" s="493">
        <v>2029</v>
      </c>
      <c r="AJ435" s="493">
        <v>2030</v>
      </c>
      <c r="AK435" s="493">
        <v>2031</v>
      </c>
      <c r="AL435" s="493">
        <v>2032</v>
      </c>
      <c r="AM435" s="493">
        <v>2033</v>
      </c>
      <c r="AN435" s="493">
        <v>2034</v>
      </c>
      <c r="AO435" s="493">
        <v>2035</v>
      </c>
      <c r="AP435" s="493">
        <v>2036</v>
      </c>
      <c r="AQ435" s="493">
        <v>2037</v>
      </c>
      <c r="AR435" s="493">
        <v>2038</v>
      </c>
      <c r="AS435" s="493">
        <v>2039</v>
      </c>
      <c r="AT435" s="493">
        <v>2040</v>
      </c>
    </row>
    <row r="436" spans="1:46" s="3" customFormat="1" ht="15" customHeight="1">
      <c r="A436" s="492"/>
      <c r="B436" s="95"/>
      <c r="C436" s="96"/>
      <c r="D436" s="6"/>
      <c r="E436" s="708" t="s">
        <v>557</v>
      </c>
      <c r="F436" s="93"/>
      <c r="G436" s="93"/>
      <c r="K436" s="97"/>
      <c r="AD436" s="494"/>
      <c r="AE436" s="494"/>
      <c r="AF436" s="494"/>
      <c r="AG436" s="494"/>
      <c r="AH436" s="494"/>
      <c r="AI436" s="494"/>
      <c r="AJ436" s="494"/>
      <c r="AK436" s="494"/>
      <c r="AL436" s="494"/>
      <c r="AM436" s="494"/>
      <c r="AN436" s="494"/>
      <c r="AO436" s="494"/>
      <c r="AP436" s="494"/>
      <c r="AQ436" s="494"/>
      <c r="AR436" s="494"/>
      <c r="AS436" s="494"/>
      <c r="AT436" s="494"/>
    </row>
    <row r="437" spans="1:46" s="3" customFormat="1" ht="15" customHeight="1">
      <c r="A437" s="270"/>
      <c r="B437" s="95"/>
      <c r="C437" s="96"/>
      <c r="D437" s="6"/>
      <c r="E437" s="708" t="s">
        <v>558</v>
      </c>
      <c r="F437" s="93"/>
      <c r="G437" s="93" t="s">
        <v>547</v>
      </c>
      <c r="J437" s="3">
        <f t="shared" ref="J437:J446" si="80" xml:space="preserve"> SUM(L437:AV437)</f>
        <v>1366</v>
      </c>
      <c r="K437" s="97"/>
      <c r="AD437" s="489">
        <v>131</v>
      </c>
      <c r="AE437" s="489">
        <v>124</v>
      </c>
      <c r="AF437" s="489">
        <v>131</v>
      </c>
      <c r="AG437" s="489">
        <v>101</v>
      </c>
      <c r="AH437" s="489">
        <v>102</v>
      </c>
      <c r="AI437" s="489">
        <v>127</v>
      </c>
      <c r="AJ437" s="489">
        <v>107</v>
      </c>
      <c r="AK437" s="489">
        <v>90</v>
      </c>
      <c r="AL437" s="489">
        <v>85</v>
      </c>
      <c r="AM437" s="489">
        <v>117</v>
      </c>
      <c r="AN437" s="489">
        <v>154</v>
      </c>
      <c r="AO437" s="489">
        <v>97</v>
      </c>
      <c r="AP437" s="489">
        <v>0</v>
      </c>
      <c r="AQ437" s="489">
        <v>0</v>
      </c>
      <c r="AR437" s="489">
        <v>0</v>
      </c>
      <c r="AS437" s="489">
        <v>0</v>
      </c>
      <c r="AT437" s="489">
        <v>0</v>
      </c>
    </row>
    <row r="438" spans="1:46" s="3" customFormat="1" ht="15" customHeight="1">
      <c r="A438" s="270"/>
      <c r="B438" s="95"/>
      <c r="C438" s="96"/>
      <c r="D438" s="6"/>
      <c r="E438" s="708" t="s">
        <v>559</v>
      </c>
      <c r="F438" s="93"/>
      <c r="G438" s="93" t="s">
        <v>547</v>
      </c>
      <c r="J438" s="3">
        <f t="shared" si="80"/>
        <v>1082</v>
      </c>
      <c r="K438" s="97"/>
      <c r="AD438" s="489">
        <v>119</v>
      </c>
      <c r="AE438" s="489">
        <v>27</v>
      </c>
      <c r="AF438" s="489">
        <v>40</v>
      </c>
      <c r="AG438" s="489">
        <v>45</v>
      </c>
      <c r="AH438" s="489">
        <v>110</v>
      </c>
      <c r="AI438" s="489">
        <v>112</v>
      </c>
      <c r="AJ438" s="489">
        <v>30</v>
      </c>
      <c r="AK438" s="489">
        <v>107</v>
      </c>
      <c r="AL438" s="489">
        <v>105</v>
      </c>
      <c r="AM438" s="489">
        <v>117</v>
      </c>
      <c r="AN438" s="489">
        <v>122</v>
      </c>
      <c r="AO438" s="489">
        <v>32</v>
      </c>
      <c r="AP438" s="489">
        <v>33</v>
      </c>
      <c r="AQ438" s="489">
        <v>33</v>
      </c>
      <c r="AR438" s="489">
        <v>34</v>
      </c>
      <c r="AS438" s="489">
        <v>15</v>
      </c>
      <c r="AT438" s="489">
        <v>1</v>
      </c>
    </row>
    <row r="439" spans="1:46" s="3" customFormat="1" ht="15" customHeight="1">
      <c r="A439" s="270"/>
      <c r="B439" s="95"/>
      <c r="C439" s="96"/>
      <c r="D439" s="6"/>
      <c r="E439" s="708" t="s">
        <v>560</v>
      </c>
      <c r="F439" s="93"/>
      <c r="G439" s="93" t="s">
        <v>547</v>
      </c>
      <c r="J439" s="3">
        <f t="shared" si="80"/>
        <v>329</v>
      </c>
      <c r="K439" s="97"/>
      <c r="AD439" s="489">
        <v>117</v>
      </c>
      <c r="AE439" s="489">
        <v>76</v>
      </c>
      <c r="AF439" s="489">
        <v>25</v>
      </c>
      <c r="AG439" s="489">
        <v>13</v>
      </c>
      <c r="AH439" s="489">
        <v>16</v>
      </c>
      <c r="AI439" s="489">
        <v>13</v>
      </c>
      <c r="AJ439" s="489">
        <v>6</v>
      </c>
      <c r="AK439" s="489">
        <v>8</v>
      </c>
      <c r="AL439" s="489">
        <v>10</v>
      </c>
      <c r="AM439" s="489">
        <v>10</v>
      </c>
      <c r="AN439" s="489">
        <v>6</v>
      </c>
      <c r="AO439" s="489">
        <v>7</v>
      </c>
      <c r="AP439" s="489">
        <v>9</v>
      </c>
      <c r="AQ439" s="489">
        <v>6</v>
      </c>
      <c r="AR439" s="489">
        <v>4</v>
      </c>
      <c r="AS439" s="489">
        <v>3</v>
      </c>
      <c r="AT439" s="489">
        <v>0</v>
      </c>
    </row>
    <row r="440" spans="1:46" s="3" customFormat="1" ht="15" customHeight="1">
      <c r="A440" s="490"/>
      <c r="B440" s="95"/>
      <c r="C440" s="96"/>
      <c r="D440" s="6"/>
      <c r="E440" s="708" t="s">
        <v>561</v>
      </c>
      <c r="F440" s="93"/>
      <c r="G440" s="93" t="s">
        <v>547</v>
      </c>
      <c r="J440" s="3">
        <f t="shared" si="80"/>
        <v>2776</v>
      </c>
      <c r="K440" s="97"/>
      <c r="AD440" s="495">
        <v>366</v>
      </c>
      <c r="AE440" s="495">
        <v>227</v>
      </c>
      <c r="AF440" s="495">
        <v>196</v>
      </c>
      <c r="AG440" s="495">
        <v>158</v>
      </c>
      <c r="AH440" s="495">
        <v>228</v>
      </c>
      <c r="AI440" s="495">
        <v>253</v>
      </c>
      <c r="AJ440" s="495">
        <v>144</v>
      </c>
      <c r="AK440" s="495">
        <v>205</v>
      </c>
      <c r="AL440" s="495">
        <v>199</v>
      </c>
      <c r="AM440" s="495">
        <v>244</v>
      </c>
      <c r="AN440" s="495">
        <v>282</v>
      </c>
      <c r="AO440" s="495">
        <v>136</v>
      </c>
      <c r="AP440" s="495">
        <v>41</v>
      </c>
      <c r="AQ440" s="495">
        <v>40</v>
      </c>
      <c r="AR440" s="495">
        <v>38</v>
      </c>
      <c r="AS440" s="495">
        <v>18</v>
      </c>
      <c r="AT440" s="495">
        <v>1</v>
      </c>
    </row>
    <row r="441" spans="1:46" s="3" customFormat="1" ht="15" customHeight="1">
      <c r="A441" s="492"/>
      <c r="B441" s="95"/>
      <c r="C441" s="96"/>
      <c r="D441" s="6"/>
      <c r="E441" s="708" t="s">
        <v>562</v>
      </c>
      <c r="F441" s="93"/>
      <c r="G441" s="93" t="s">
        <v>547</v>
      </c>
      <c r="J441" s="3">
        <f t="shared" si="80"/>
        <v>0</v>
      </c>
      <c r="K441" s="97"/>
      <c r="AD441" s="489"/>
      <c r="AE441" s="489"/>
      <c r="AF441" s="489"/>
      <c r="AG441" s="489"/>
      <c r="AH441" s="489"/>
      <c r="AI441" s="489"/>
      <c r="AJ441" s="489"/>
      <c r="AK441" s="489"/>
      <c r="AL441" s="489"/>
      <c r="AM441" s="489"/>
      <c r="AN441" s="489"/>
      <c r="AO441" s="489"/>
      <c r="AP441" s="489"/>
      <c r="AQ441" s="489"/>
      <c r="AR441" s="489"/>
      <c r="AS441" s="489"/>
      <c r="AT441" s="489"/>
    </row>
    <row r="442" spans="1:46" s="3" customFormat="1" ht="15" customHeight="1">
      <c r="A442" s="270"/>
      <c r="B442" s="95"/>
      <c r="C442" s="96"/>
      <c r="D442" s="6"/>
      <c r="E442" s="708" t="s">
        <v>558</v>
      </c>
      <c r="F442" s="93"/>
      <c r="G442" s="93" t="s">
        <v>547</v>
      </c>
      <c r="J442" s="3">
        <f t="shared" si="80"/>
        <v>743</v>
      </c>
      <c r="K442" s="97"/>
      <c r="AD442" s="489">
        <v>149</v>
      </c>
      <c r="AE442" s="489">
        <v>255</v>
      </c>
      <c r="AF442" s="489">
        <v>71</v>
      </c>
      <c r="AG442" s="489">
        <v>103</v>
      </c>
      <c r="AH442" s="489">
        <v>22</v>
      </c>
      <c r="AI442" s="489">
        <v>17</v>
      </c>
      <c r="AJ442" s="489">
        <v>23</v>
      </c>
      <c r="AK442" s="489">
        <v>24</v>
      </c>
      <c r="AL442" s="489">
        <v>19</v>
      </c>
      <c r="AM442" s="489">
        <v>19</v>
      </c>
      <c r="AN442" s="489">
        <v>20</v>
      </c>
      <c r="AO442" s="489">
        <v>20</v>
      </c>
      <c r="AP442" s="489">
        <v>1</v>
      </c>
      <c r="AQ442" s="489">
        <v>0</v>
      </c>
      <c r="AR442" s="489">
        <v>0</v>
      </c>
      <c r="AS442" s="489">
        <v>0</v>
      </c>
      <c r="AT442" s="489">
        <v>0</v>
      </c>
    </row>
    <row r="443" spans="1:46" s="3" customFormat="1" ht="15" customHeight="1">
      <c r="A443" s="270"/>
      <c r="B443" s="95"/>
      <c r="C443" s="96"/>
      <c r="D443" s="6"/>
      <c r="E443" s="708" t="s">
        <v>559</v>
      </c>
      <c r="F443" s="93"/>
      <c r="G443" s="93" t="s">
        <v>547</v>
      </c>
      <c r="J443" s="3">
        <f t="shared" si="80"/>
        <v>385</v>
      </c>
      <c r="K443" s="97"/>
      <c r="AD443" s="489">
        <v>100</v>
      </c>
      <c r="AE443" s="489">
        <v>69</v>
      </c>
      <c r="AF443" s="489">
        <v>4</v>
      </c>
      <c r="AG443" s="489">
        <v>7</v>
      </c>
      <c r="AH443" s="489">
        <v>45</v>
      </c>
      <c r="AI443" s="489">
        <v>81</v>
      </c>
      <c r="AJ443" s="489">
        <v>0</v>
      </c>
      <c r="AK443" s="489">
        <v>0</v>
      </c>
      <c r="AL443" s="489">
        <v>15</v>
      </c>
      <c r="AM443" s="489">
        <v>22</v>
      </c>
      <c r="AN443" s="489">
        <v>5</v>
      </c>
      <c r="AO443" s="489">
        <v>27</v>
      </c>
      <c r="AP443" s="489">
        <v>10</v>
      </c>
      <c r="AQ443" s="489">
        <v>0</v>
      </c>
      <c r="AR443" s="489">
        <v>0</v>
      </c>
      <c r="AS443" s="489">
        <v>0</v>
      </c>
      <c r="AT443" s="489">
        <v>0</v>
      </c>
    </row>
    <row r="444" spans="1:46" s="3" customFormat="1" ht="15" customHeight="1">
      <c r="A444" s="270"/>
      <c r="B444" s="95"/>
      <c r="C444" s="96"/>
      <c r="D444" s="6"/>
      <c r="E444" s="708" t="s">
        <v>560</v>
      </c>
      <c r="F444" s="93"/>
      <c r="G444" s="93" t="s">
        <v>547</v>
      </c>
      <c r="J444" s="3">
        <f t="shared" si="80"/>
        <v>0</v>
      </c>
      <c r="K444" s="97"/>
      <c r="AD444" s="489">
        <v>0</v>
      </c>
      <c r="AE444" s="489">
        <v>0</v>
      </c>
      <c r="AF444" s="489">
        <v>0</v>
      </c>
      <c r="AG444" s="489">
        <v>0</v>
      </c>
      <c r="AH444" s="489">
        <v>0</v>
      </c>
      <c r="AI444" s="489">
        <v>0</v>
      </c>
      <c r="AJ444" s="489">
        <v>0</v>
      </c>
      <c r="AK444" s="489">
        <v>0</v>
      </c>
      <c r="AL444" s="489">
        <v>0</v>
      </c>
      <c r="AM444" s="489">
        <v>0</v>
      </c>
      <c r="AN444" s="489">
        <v>0</v>
      </c>
      <c r="AO444" s="489">
        <v>0</v>
      </c>
      <c r="AP444" s="489">
        <v>0</v>
      </c>
      <c r="AQ444" s="489">
        <v>0</v>
      </c>
      <c r="AR444" s="489">
        <v>0</v>
      </c>
      <c r="AS444" s="489">
        <v>0</v>
      </c>
      <c r="AT444" s="489">
        <v>0</v>
      </c>
    </row>
    <row r="445" spans="1:46" s="3" customFormat="1" ht="15" customHeight="1">
      <c r="A445" s="490"/>
      <c r="B445" s="95"/>
      <c r="C445" s="96"/>
      <c r="D445" s="6"/>
      <c r="E445" s="708" t="s">
        <v>563</v>
      </c>
      <c r="F445" s="93"/>
      <c r="G445" s="93" t="s">
        <v>547</v>
      </c>
      <c r="J445" s="3">
        <f t="shared" si="80"/>
        <v>1130</v>
      </c>
      <c r="K445" s="97"/>
      <c r="AD445" s="496">
        <v>249</v>
      </c>
      <c r="AE445" s="496">
        <v>324</v>
      </c>
      <c r="AF445" s="496">
        <v>76</v>
      </c>
      <c r="AG445" s="496">
        <v>110</v>
      </c>
      <c r="AH445" s="496">
        <v>68</v>
      </c>
      <c r="AI445" s="496">
        <v>99</v>
      </c>
      <c r="AJ445" s="496">
        <v>23</v>
      </c>
      <c r="AK445" s="496">
        <v>24</v>
      </c>
      <c r="AL445" s="496">
        <v>34</v>
      </c>
      <c r="AM445" s="496">
        <v>41</v>
      </c>
      <c r="AN445" s="496">
        <v>25</v>
      </c>
      <c r="AO445" s="496">
        <v>47</v>
      </c>
      <c r="AP445" s="496">
        <v>10</v>
      </c>
      <c r="AQ445" s="496">
        <v>0</v>
      </c>
      <c r="AR445" s="496">
        <v>0</v>
      </c>
      <c r="AS445" s="496">
        <v>0</v>
      </c>
      <c r="AT445" s="496">
        <v>0</v>
      </c>
    </row>
    <row r="446" spans="1:46" s="3" customFormat="1" ht="15" customHeight="1">
      <c r="A446" s="490"/>
      <c r="B446" s="95"/>
      <c r="C446" s="96"/>
      <c r="D446" s="6"/>
      <c r="E446" s="708" t="s">
        <v>564</v>
      </c>
      <c r="F446" s="93"/>
      <c r="G446" s="93" t="s">
        <v>547</v>
      </c>
      <c r="J446" s="3">
        <f t="shared" si="80"/>
        <v>3905</v>
      </c>
      <c r="K446" s="97"/>
      <c r="AD446" s="497">
        <v>615</v>
      </c>
      <c r="AE446" s="497">
        <v>552</v>
      </c>
      <c r="AF446" s="497">
        <v>272</v>
      </c>
      <c r="AG446" s="497">
        <v>268</v>
      </c>
      <c r="AH446" s="497">
        <v>296</v>
      </c>
      <c r="AI446" s="497">
        <v>351</v>
      </c>
      <c r="AJ446" s="497">
        <v>167</v>
      </c>
      <c r="AK446" s="497">
        <v>229</v>
      </c>
      <c r="AL446" s="497">
        <v>232</v>
      </c>
      <c r="AM446" s="497">
        <v>285</v>
      </c>
      <c r="AN446" s="497">
        <v>307</v>
      </c>
      <c r="AO446" s="497">
        <v>183</v>
      </c>
      <c r="AP446" s="497">
        <v>51</v>
      </c>
      <c r="AQ446" s="497">
        <v>40</v>
      </c>
      <c r="AR446" s="497">
        <v>38</v>
      </c>
      <c r="AS446" s="497">
        <v>18</v>
      </c>
      <c r="AT446" s="497">
        <v>1</v>
      </c>
    </row>
    <row r="447" spans="1:46" s="3" customFormat="1" ht="15" customHeight="1">
      <c r="A447" s="270"/>
      <c r="B447" s="95"/>
      <c r="C447" s="96"/>
      <c r="D447" s="6"/>
      <c r="E447" s="708"/>
      <c r="F447" s="176"/>
      <c r="G447" s="94"/>
      <c r="H447" s="97"/>
      <c r="I447" s="97"/>
      <c r="K447" s="97"/>
    </row>
    <row r="448" spans="1:46" s="3" customFormat="1" ht="15" customHeight="1">
      <c r="A448" s="492"/>
      <c r="B448" s="95"/>
      <c r="C448" s="96"/>
      <c r="D448" s="6"/>
      <c r="E448" s="709" t="s">
        <v>543</v>
      </c>
      <c r="F448" s="93"/>
      <c r="G448" s="93"/>
      <c r="K448" s="97"/>
    </row>
    <row r="449" spans="1:46" s="3" customFormat="1" ht="15" customHeight="1">
      <c r="A449" s="270"/>
      <c r="B449" s="95"/>
      <c r="C449" s="96"/>
      <c r="D449" s="6"/>
      <c r="E449" s="708" t="s">
        <v>565</v>
      </c>
      <c r="F449" s="93"/>
      <c r="G449" s="93" t="s">
        <v>547</v>
      </c>
      <c r="K449" s="97"/>
      <c r="AD449" s="498">
        <v>2024</v>
      </c>
      <c r="AE449" s="498">
        <v>2025</v>
      </c>
      <c r="AF449" s="498">
        <v>2026</v>
      </c>
      <c r="AG449" s="498">
        <v>2027</v>
      </c>
      <c r="AH449" s="498">
        <v>2028</v>
      </c>
      <c r="AI449" s="498">
        <v>2029</v>
      </c>
      <c r="AJ449" s="498">
        <v>2030</v>
      </c>
      <c r="AK449" s="498">
        <v>2031</v>
      </c>
      <c r="AL449" s="498">
        <v>2032</v>
      </c>
      <c r="AM449" s="498">
        <v>2033</v>
      </c>
      <c r="AN449" s="498">
        <v>2034</v>
      </c>
      <c r="AO449" s="498">
        <v>2035</v>
      </c>
      <c r="AP449" s="498">
        <v>2036</v>
      </c>
      <c r="AQ449" s="498">
        <v>2037</v>
      </c>
      <c r="AR449" s="498">
        <v>2038</v>
      </c>
      <c r="AS449" s="498">
        <v>2039</v>
      </c>
      <c r="AT449" s="498">
        <v>2040</v>
      </c>
    </row>
    <row r="450" spans="1:46" s="3" customFormat="1" ht="15" customHeight="1">
      <c r="A450" s="270"/>
      <c r="B450" s="95"/>
      <c r="C450" s="96"/>
      <c r="D450" s="6"/>
      <c r="E450" s="708" t="s">
        <v>558</v>
      </c>
      <c r="F450" s="93"/>
      <c r="G450" s="93" t="s">
        <v>547</v>
      </c>
      <c r="J450" s="3">
        <f xml:space="preserve"> SUM(L450:AV450)</f>
        <v>6166</v>
      </c>
      <c r="K450" s="97"/>
      <c r="AD450" s="489">
        <v>377</v>
      </c>
      <c r="AE450" s="489">
        <v>407</v>
      </c>
      <c r="AF450" s="489">
        <v>446</v>
      </c>
      <c r="AG450" s="489">
        <v>503</v>
      </c>
      <c r="AH450" s="489">
        <v>529</v>
      </c>
      <c r="AI450" s="489">
        <v>533</v>
      </c>
      <c r="AJ450" s="489">
        <v>567</v>
      </c>
      <c r="AK450" s="489">
        <v>585</v>
      </c>
      <c r="AL450" s="489">
        <v>521</v>
      </c>
      <c r="AM450" s="489">
        <v>563</v>
      </c>
      <c r="AN450" s="489">
        <v>515</v>
      </c>
      <c r="AO450" s="489">
        <v>365</v>
      </c>
      <c r="AP450" s="489">
        <v>200</v>
      </c>
      <c r="AQ450" s="489">
        <v>55</v>
      </c>
      <c r="AR450" s="489">
        <v>0</v>
      </c>
      <c r="AS450" s="489">
        <v>0</v>
      </c>
      <c r="AT450" s="489">
        <v>0</v>
      </c>
    </row>
    <row r="451" spans="1:46" s="3" customFormat="1" ht="15" customHeight="1">
      <c r="A451" s="270"/>
      <c r="B451" s="95"/>
      <c r="C451" s="96"/>
      <c r="D451" s="6"/>
      <c r="E451" s="708" t="s">
        <v>559</v>
      </c>
      <c r="F451" s="93"/>
      <c r="G451" s="93" t="s">
        <v>547</v>
      </c>
      <c r="J451" s="3">
        <f xml:space="preserve"> SUM(L451:AV451)</f>
        <v>15194</v>
      </c>
      <c r="K451" s="97"/>
      <c r="AD451" s="489">
        <v>1000</v>
      </c>
      <c r="AE451" s="489">
        <v>1004</v>
      </c>
      <c r="AF451" s="489">
        <v>1042</v>
      </c>
      <c r="AG451" s="499">
        <v>1094</v>
      </c>
      <c r="AH451" s="489">
        <v>1071</v>
      </c>
      <c r="AI451" s="489">
        <v>1139</v>
      </c>
      <c r="AJ451" s="489">
        <v>1002</v>
      </c>
      <c r="AK451" s="489">
        <v>1135</v>
      </c>
      <c r="AL451" s="489">
        <v>995</v>
      </c>
      <c r="AM451" s="489">
        <v>823</v>
      </c>
      <c r="AN451" s="489">
        <v>849</v>
      </c>
      <c r="AO451" s="489">
        <v>909</v>
      </c>
      <c r="AP451" s="489">
        <v>911</v>
      </c>
      <c r="AQ451" s="489">
        <v>763</v>
      </c>
      <c r="AR451" s="489">
        <v>826</v>
      </c>
      <c r="AS451" s="489">
        <v>534</v>
      </c>
      <c r="AT451" s="489">
        <v>97</v>
      </c>
    </row>
    <row r="452" spans="1:46" s="3" customFormat="1" ht="15" customHeight="1">
      <c r="A452" s="270"/>
      <c r="B452" s="95"/>
      <c r="C452" s="96"/>
      <c r="D452" s="6"/>
      <c r="E452" s="708" t="s">
        <v>566</v>
      </c>
      <c r="F452" s="93"/>
      <c r="G452" s="93" t="s">
        <v>547</v>
      </c>
      <c r="J452" s="3">
        <f xml:space="preserve"> SUM(L452:AV452)</f>
        <v>0</v>
      </c>
      <c r="K452" s="97"/>
      <c r="AD452" s="489">
        <v>0</v>
      </c>
      <c r="AE452" s="489">
        <v>0</v>
      </c>
      <c r="AF452" s="489">
        <v>0</v>
      </c>
      <c r="AG452" s="489">
        <v>0</v>
      </c>
      <c r="AH452" s="489">
        <v>0</v>
      </c>
      <c r="AI452" s="489">
        <v>0</v>
      </c>
      <c r="AJ452" s="489">
        <v>0</v>
      </c>
      <c r="AK452" s="489">
        <v>0</v>
      </c>
      <c r="AL452" s="489">
        <v>0</v>
      </c>
      <c r="AM452" s="489">
        <v>0</v>
      </c>
      <c r="AN452" s="489">
        <v>0</v>
      </c>
      <c r="AO452" s="489">
        <v>0</v>
      </c>
      <c r="AP452" s="489">
        <v>0</v>
      </c>
      <c r="AQ452" s="489">
        <v>0</v>
      </c>
      <c r="AR452" s="489">
        <v>0</v>
      </c>
      <c r="AS452" s="489">
        <v>0</v>
      </c>
      <c r="AT452" s="489">
        <v>0</v>
      </c>
    </row>
    <row r="453" spans="1:46" s="3" customFormat="1" ht="15" customHeight="1">
      <c r="A453" s="270"/>
      <c r="B453" s="95"/>
      <c r="C453" s="96"/>
      <c r="D453" s="6"/>
      <c r="E453" s="708" t="s">
        <v>567</v>
      </c>
      <c r="F453" s="93"/>
      <c r="G453" s="93" t="s">
        <v>547</v>
      </c>
      <c r="J453" s="3">
        <f xml:space="preserve"> SUM(L453:AV453)</f>
        <v>4990</v>
      </c>
      <c r="K453" s="97"/>
      <c r="AD453" s="489">
        <v>247</v>
      </c>
      <c r="AE453" s="489">
        <v>258</v>
      </c>
      <c r="AF453" s="489">
        <v>255</v>
      </c>
      <c r="AG453" s="489">
        <v>264</v>
      </c>
      <c r="AH453" s="489">
        <v>273</v>
      </c>
      <c r="AI453" s="489">
        <v>284</v>
      </c>
      <c r="AJ453" s="489">
        <v>293</v>
      </c>
      <c r="AK453" s="489">
        <v>301</v>
      </c>
      <c r="AL453" s="489">
        <v>308</v>
      </c>
      <c r="AM453" s="489">
        <v>320</v>
      </c>
      <c r="AN453" s="489">
        <v>332</v>
      </c>
      <c r="AO453" s="489">
        <v>349</v>
      </c>
      <c r="AP453" s="489">
        <v>364</v>
      </c>
      <c r="AQ453" s="489">
        <v>376</v>
      </c>
      <c r="AR453" s="489">
        <v>389</v>
      </c>
      <c r="AS453" s="489">
        <v>289</v>
      </c>
      <c r="AT453" s="489">
        <v>88</v>
      </c>
    </row>
    <row r="454" spans="1:46" s="3" customFormat="1" ht="15" customHeight="1">
      <c r="A454" s="490"/>
      <c r="B454" s="95"/>
      <c r="C454" s="96"/>
      <c r="D454" s="6"/>
      <c r="E454" s="708" t="s">
        <v>556</v>
      </c>
      <c r="F454" s="93"/>
      <c r="G454" s="93" t="s">
        <v>547</v>
      </c>
      <c r="J454" s="3">
        <f xml:space="preserve"> SUM(L454:AV454)</f>
        <v>26355</v>
      </c>
      <c r="K454" s="97"/>
      <c r="AD454" s="496">
        <v>1625</v>
      </c>
      <c r="AE454" s="496">
        <v>1670</v>
      </c>
      <c r="AF454" s="496">
        <v>1743</v>
      </c>
      <c r="AG454" s="496">
        <v>1862</v>
      </c>
      <c r="AH454" s="496">
        <v>1874</v>
      </c>
      <c r="AI454" s="496">
        <v>1956</v>
      </c>
      <c r="AJ454" s="496">
        <v>1862</v>
      </c>
      <c r="AK454" s="496">
        <v>2021</v>
      </c>
      <c r="AL454" s="496">
        <v>1824</v>
      </c>
      <c r="AM454" s="496">
        <v>1706</v>
      </c>
      <c r="AN454" s="496">
        <v>1696</v>
      </c>
      <c r="AO454" s="496">
        <v>1623</v>
      </c>
      <c r="AP454" s="496">
        <v>1475</v>
      </c>
      <c r="AQ454" s="496">
        <v>1194</v>
      </c>
      <c r="AR454" s="496">
        <v>1215</v>
      </c>
      <c r="AS454" s="496">
        <v>824</v>
      </c>
      <c r="AT454" s="496">
        <v>185</v>
      </c>
    </row>
    <row r="455" spans="1:46" s="3" customFormat="1" ht="15" customHeight="1">
      <c r="A455" s="270"/>
      <c r="B455" s="95"/>
      <c r="C455" s="96"/>
      <c r="D455" s="6"/>
      <c r="E455" s="708"/>
      <c r="F455" s="176"/>
      <c r="G455" s="94"/>
      <c r="H455" s="97"/>
      <c r="I455" s="97"/>
      <c r="K455" s="97"/>
    </row>
    <row r="456" spans="1:46" s="3" customFormat="1" ht="15" customHeight="1">
      <c r="A456" s="270"/>
      <c r="B456" s="95"/>
      <c r="C456" s="96"/>
      <c r="D456" s="6"/>
      <c r="E456" s="708" t="s">
        <v>545</v>
      </c>
      <c r="F456" s="93"/>
      <c r="G456" s="93"/>
      <c r="K456" s="97"/>
      <c r="AD456" s="488">
        <v>2024</v>
      </c>
      <c r="AE456" s="488">
        <v>2025</v>
      </c>
      <c r="AF456" s="488">
        <v>2026</v>
      </c>
      <c r="AG456" s="488">
        <v>2027</v>
      </c>
      <c r="AH456" s="488">
        <v>2028</v>
      </c>
      <c r="AI456" s="488">
        <v>2029</v>
      </c>
      <c r="AJ456" s="488">
        <v>2030</v>
      </c>
      <c r="AK456" s="488">
        <v>2031</v>
      </c>
      <c r="AL456" s="488">
        <v>2032</v>
      </c>
      <c r="AM456" s="488">
        <v>2033</v>
      </c>
      <c r="AN456" s="488">
        <v>2034</v>
      </c>
      <c r="AO456" s="488">
        <v>2035</v>
      </c>
      <c r="AP456" s="488">
        <v>2036</v>
      </c>
      <c r="AQ456" s="488">
        <v>2037</v>
      </c>
      <c r="AR456" s="488">
        <v>2038</v>
      </c>
      <c r="AS456" s="488">
        <v>2039</v>
      </c>
      <c r="AT456" s="488">
        <v>2040</v>
      </c>
    </row>
    <row r="457" spans="1:46" s="3" customFormat="1" ht="15" customHeight="1">
      <c r="A457" s="270"/>
      <c r="B457" s="95"/>
      <c r="C457" s="96"/>
      <c r="D457" s="6"/>
      <c r="E457" s="708" t="s">
        <v>575</v>
      </c>
      <c r="F457" s="93"/>
      <c r="G457" s="93" t="s">
        <v>548</v>
      </c>
      <c r="J457" s="3">
        <f t="shared" ref="J457:J469" si="81" xml:space="preserve"> SUM(L457:AV457)</f>
        <v>136.1</v>
      </c>
      <c r="K457" s="97"/>
      <c r="AD457" s="489">
        <v>13.6</v>
      </c>
      <c r="AE457" s="489">
        <v>18.600000000000001</v>
      </c>
      <c r="AF457" s="489">
        <v>7.7</v>
      </c>
      <c r="AG457" s="489">
        <v>9.5</v>
      </c>
      <c r="AH457" s="489">
        <v>9.1</v>
      </c>
      <c r="AI457" s="489">
        <v>17</v>
      </c>
      <c r="AJ457" s="489">
        <v>8.1</v>
      </c>
      <c r="AK457" s="489">
        <v>2.1</v>
      </c>
      <c r="AL457" s="489">
        <v>3.5</v>
      </c>
      <c r="AM457" s="489">
        <v>9.4</v>
      </c>
      <c r="AN457" s="489">
        <v>9.9</v>
      </c>
      <c r="AO457" s="489">
        <v>12.2</v>
      </c>
      <c r="AP457" s="489">
        <v>11.2</v>
      </c>
      <c r="AQ457" s="489">
        <v>4.2</v>
      </c>
      <c r="AR457" s="489">
        <v>0</v>
      </c>
      <c r="AS457" s="489">
        <v>0</v>
      </c>
      <c r="AT457" s="489">
        <v>0</v>
      </c>
    </row>
    <row r="458" spans="1:46" s="3" customFormat="1" ht="15" customHeight="1">
      <c r="A458" s="270"/>
      <c r="B458" s="95"/>
      <c r="C458" s="96"/>
      <c r="D458" s="6"/>
      <c r="E458" s="708" t="s">
        <v>576</v>
      </c>
      <c r="F458" s="93"/>
      <c r="G458" s="93" t="s">
        <v>548</v>
      </c>
      <c r="J458" s="3">
        <f t="shared" si="81"/>
        <v>1324.5</v>
      </c>
      <c r="K458" s="97"/>
      <c r="AD458" s="489">
        <v>84.9</v>
      </c>
      <c r="AE458" s="489">
        <v>102.4</v>
      </c>
      <c r="AF458" s="489">
        <v>112.9</v>
      </c>
      <c r="AG458" s="489">
        <v>108.9</v>
      </c>
      <c r="AH458" s="489">
        <v>109.2</v>
      </c>
      <c r="AI458" s="489">
        <v>100.5</v>
      </c>
      <c r="AJ458" s="489">
        <v>109.6</v>
      </c>
      <c r="AK458" s="489">
        <v>117.9</v>
      </c>
      <c r="AL458" s="489">
        <v>115.9</v>
      </c>
      <c r="AM458" s="489">
        <v>109.7</v>
      </c>
      <c r="AN458" s="489">
        <v>110.1</v>
      </c>
      <c r="AO458" s="489">
        <v>94.8</v>
      </c>
      <c r="AP458" s="489">
        <v>42.8</v>
      </c>
      <c r="AQ458" s="489">
        <v>4.9000000000000004</v>
      </c>
      <c r="AR458" s="489">
        <v>0</v>
      </c>
      <c r="AS458" s="489">
        <v>0</v>
      </c>
      <c r="AT458" s="489">
        <v>0</v>
      </c>
    </row>
    <row r="459" spans="1:46" s="3" customFormat="1" ht="15" customHeight="1">
      <c r="A459" s="270"/>
      <c r="B459" s="95"/>
      <c r="C459" s="96"/>
      <c r="D459" s="6"/>
      <c r="E459" s="708" t="s">
        <v>577</v>
      </c>
      <c r="F459" s="93"/>
      <c r="G459" s="93" t="s">
        <v>548</v>
      </c>
      <c r="J459" s="3">
        <f t="shared" si="81"/>
        <v>1460.7</v>
      </c>
      <c r="K459" s="97"/>
      <c r="AD459" s="489">
        <v>98.5</v>
      </c>
      <c r="AE459" s="489">
        <v>121</v>
      </c>
      <c r="AF459" s="489">
        <v>120.7</v>
      </c>
      <c r="AG459" s="489">
        <v>118.4</v>
      </c>
      <c r="AH459" s="489">
        <v>118.4</v>
      </c>
      <c r="AI459" s="489">
        <v>117.5</v>
      </c>
      <c r="AJ459" s="489">
        <v>117.7</v>
      </c>
      <c r="AK459" s="489">
        <v>120</v>
      </c>
      <c r="AL459" s="489">
        <v>119.5</v>
      </c>
      <c r="AM459" s="489">
        <v>119.1</v>
      </c>
      <c r="AN459" s="489">
        <v>119.9</v>
      </c>
      <c r="AO459" s="489">
        <v>106.9</v>
      </c>
      <c r="AP459" s="489">
        <v>54</v>
      </c>
      <c r="AQ459" s="489">
        <v>9.1</v>
      </c>
      <c r="AR459" s="489">
        <v>0</v>
      </c>
      <c r="AS459" s="489">
        <v>0</v>
      </c>
      <c r="AT459" s="489">
        <v>0</v>
      </c>
    </row>
    <row r="460" spans="1:46" s="3" customFormat="1" ht="15" customHeight="1">
      <c r="A460" s="270"/>
      <c r="B460" s="95"/>
      <c r="C460" s="96"/>
      <c r="D460" s="6"/>
      <c r="E460" s="708" t="s">
        <v>578</v>
      </c>
      <c r="F460" s="93"/>
      <c r="G460" s="93" t="s">
        <v>548</v>
      </c>
      <c r="J460" s="3">
        <f t="shared" si="81"/>
        <v>156.69999999999999</v>
      </c>
      <c r="K460" s="97"/>
      <c r="AD460" s="489">
        <v>10.199999999999999</v>
      </c>
      <c r="AE460" s="489">
        <v>10.8</v>
      </c>
      <c r="AF460" s="489">
        <v>11.9</v>
      </c>
      <c r="AG460" s="489">
        <v>12.4</v>
      </c>
      <c r="AH460" s="489">
        <v>12.6</v>
      </c>
      <c r="AI460" s="489">
        <v>13</v>
      </c>
      <c r="AJ460" s="489">
        <v>10.199999999999999</v>
      </c>
      <c r="AK460" s="489">
        <v>11.5</v>
      </c>
      <c r="AL460" s="489">
        <v>10.5</v>
      </c>
      <c r="AM460" s="489">
        <v>7.9</v>
      </c>
      <c r="AN460" s="489">
        <v>8.8000000000000007</v>
      </c>
      <c r="AO460" s="489">
        <v>8.1</v>
      </c>
      <c r="AP460" s="489">
        <v>9.6</v>
      </c>
      <c r="AQ460" s="489">
        <v>7</v>
      </c>
      <c r="AR460" s="489">
        <v>6.9</v>
      </c>
      <c r="AS460" s="489">
        <v>4.2</v>
      </c>
      <c r="AT460" s="489">
        <v>1.1000000000000001</v>
      </c>
    </row>
    <row r="461" spans="1:46" s="3" customFormat="1" ht="15" customHeight="1">
      <c r="A461" s="270"/>
      <c r="B461" s="95"/>
      <c r="C461" s="96"/>
      <c r="D461" s="6"/>
      <c r="E461" s="710" t="s">
        <v>579</v>
      </c>
      <c r="F461" s="93"/>
      <c r="G461" s="93" t="s">
        <v>231</v>
      </c>
      <c r="J461" s="3">
        <f t="shared" si="81"/>
        <v>4235</v>
      </c>
      <c r="K461" s="97"/>
      <c r="AD461" s="489">
        <v>218</v>
      </c>
      <c r="AE461" s="489">
        <v>269</v>
      </c>
      <c r="AF461" s="489">
        <v>261</v>
      </c>
      <c r="AG461" s="489">
        <v>271</v>
      </c>
      <c r="AH461" s="489">
        <v>273</v>
      </c>
      <c r="AI461" s="489">
        <v>271</v>
      </c>
      <c r="AJ461" s="489">
        <v>268</v>
      </c>
      <c r="AK461" s="489">
        <v>273</v>
      </c>
      <c r="AL461" s="489">
        <v>273</v>
      </c>
      <c r="AM461" s="489">
        <v>272</v>
      </c>
      <c r="AN461" s="489">
        <v>271</v>
      </c>
      <c r="AO461" s="489">
        <v>275</v>
      </c>
      <c r="AP461" s="489">
        <v>271</v>
      </c>
      <c r="AQ461" s="489">
        <v>272</v>
      </c>
      <c r="AR461" s="489">
        <v>275</v>
      </c>
      <c r="AS461" s="489">
        <v>197</v>
      </c>
      <c r="AT461" s="489">
        <v>25</v>
      </c>
    </row>
    <row r="462" spans="1:46" s="3" customFormat="1" ht="15" customHeight="1">
      <c r="A462" s="270"/>
      <c r="B462" s="95"/>
      <c r="C462" s="96"/>
      <c r="D462" s="6"/>
      <c r="E462" s="710" t="s">
        <v>580</v>
      </c>
      <c r="F462" s="93"/>
      <c r="G462" s="93" t="s">
        <v>231</v>
      </c>
      <c r="J462" s="3">
        <f t="shared" si="81"/>
        <v>401</v>
      </c>
      <c r="K462" s="97"/>
      <c r="AD462" s="489">
        <v>31</v>
      </c>
      <c r="AE462" s="489">
        <v>32</v>
      </c>
      <c r="AF462" s="489">
        <v>38</v>
      </c>
      <c r="AG462" s="489">
        <v>38</v>
      </c>
      <c r="AH462" s="489">
        <v>39</v>
      </c>
      <c r="AI462" s="489">
        <v>35</v>
      </c>
      <c r="AJ462" s="489">
        <v>27</v>
      </c>
      <c r="AK462" s="489">
        <v>29</v>
      </c>
      <c r="AL462" s="489">
        <v>27</v>
      </c>
      <c r="AM462" s="489">
        <v>20</v>
      </c>
      <c r="AN462" s="489">
        <v>19</v>
      </c>
      <c r="AO462" s="489">
        <v>17</v>
      </c>
      <c r="AP462" s="489">
        <v>19</v>
      </c>
      <c r="AQ462" s="489">
        <v>14</v>
      </c>
      <c r="AR462" s="489">
        <v>9</v>
      </c>
      <c r="AS462" s="489">
        <v>6</v>
      </c>
      <c r="AT462" s="489">
        <v>1</v>
      </c>
    </row>
    <row r="463" spans="1:46" s="3" customFormat="1" ht="15" customHeight="1">
      <c r="A463" s="270"/>
      <c r="B463" s="95"/>
      <c r="C463" s="96"/>
      <c r="D463" s="6"/>
      <c r="E463" s="708" t="s">
        <v>581</v>
      </c>
      <c r="F463" s="93"/>
      <c r="G463" s="93" t="s">
        <v>549</v>
      </c>
      <c r="J463" s="3">
        <f t="shared" si="81"/>
        <v>48752</v>
      </c>
      <c r="K463" s="97"/>
      <c r="AD463" s="489">
        <v>2377</v>
      </c>
      <c r="AE463" s="489">
        <v>2903</v>
      </c>
      <c r="AF463" s="489">
        <v>3068</v>
      </c>
      <c r="AG463" s="489">
        <v>3180</v>
      </c>
      <c r="AH463" s="489">
        <v>3286</v>
      </c>
      <c r="AI463" s="489">
        <v>3223</v>
      </c>
      <c r="AJ463" s="489">
        <v>3051</v>
      </c>
      <c r="AK463" s="489">
        <v>3206</v>
      </c>
      <c r="AL463" s="489">
        <v>3236</v>
      </c>
      <c r="AM463" s="489">
        <v>3046</v>
      </c>
      <c r="AN463" s="489">
        <v>3076</v>
      </c>
      <c r="AO463" s="489">
        <v>3119</v>
      </c>
      <c r="AP463" s="489">
        <v>3224</v>
      </c>
      <c r="AQ463" s="489">
        <v>3139</v>
      </c>
      <c r="AR463" s="489">
        <v>3020</v>
      </c>
      <c r="AS463" s="489">
        <v>2236</v>
      </c>
      <c r="AT463" s="489">
        <v>362</v>
      </c>
    </row>
    <row r="464" spans="1:46" s="3" customFormat="1" ht="15" customHeight="1">
      <c r="A464" s="270"/>
      <c r="B464" s="95"/>
      <c r="C464" s="96"/>
      <c r="D464" s="6"/>
      <c r="E464" s="708" t="s">
        <v>582</v>
      </c>
      <c r="F464" s="93"/>
      <c r="G464" s="93" t="s">
        <v>549</v>
      </c>
      <c r="J464" s="3">
        <f t="shared" si="81"/>
        <v>-26351</v>
      </c>
      <c r="K464" s="97"/>
      <c r="AD464" s="489">
        <v>-1624</v>
      </c>
      <c r="AE464" s="489">
        <v>-1668</v>
      </c>
      <c r="AF464" s="489">
        <v>-1743</v>
      </c>
      <c r="AG464" s="489">
        <v>-1861</v>
      </c>
      <c r="AH464" s="489">
        <v>-1873</v>
      </c>
      <c r="AI464" s="489">
        <v>-1956</v>
      </c>
      <c r="AJ464" s="489">
        <v>-1862</v>
      </c>
      <c r="AK464" s="489">
        <v>-2021</v>
      </c>
      <c r="AL464" s="489">
        <v>-1824</v>
      </c>
      <c r="AM464" s="489">
        <v>-1706</v>
      </c>
      <c r="AN464" s="489">
        <v>-1696</v>
      </c>
      <c r="AO464" s="489">
        <v>-1623</v>
      </c>
      <c r="AP464" s="489">
        <v>-1475</v>
      </c>
      <c r="AQ464" s="489">
        <v>-1195</v>
      </c>
      <c r="AR464" s="489">
        <v>-1215</v>
      </c>
      <c r="AS464" s="489">
        <v>-824</v>
      </c>
      <c r="AT464" s="489">
        <v>-185</v>
      </c>
    </row>
    <row r="465" spans="1:46" s="3" customFormat="1" ht="15" customHeight="1">
      <c r="A465" s="270"/>
      <c r="B465" s="95"/>
      <c r="C465" s="96"/>
      <c r="D465" s="6"/>
      <c r="E465" s="708" t="s">
        <v>583</v>
      </c>
      <c r="F465" s="93"/>
      <c r="G465" s="93" t="s">
        <v>549</v>
      </c>
      <c r="J465" s="3">
        <f t="shared" si="81"/>
        <v>1050</v>
      </c>
      <c r="K465" s="97"/>
      <c r="AD465" s="489">
        <v>26</v>
      </c>
      <c r="AE465" s="489">
        <v>50</v>
      </c>
      <c r="AF465" s="489">
        <v>74</v>
      </c>
      <c r="AG465" s="489">
        <v>83</v>
      </c>
      <c r="AH465" s="489">
        <v>84</v>
      </c>
      <c r="AI465" s="489">
        <v>101</v>
      </c>
      <c r="AJ465" s="489">
        <v>112</v>
      </c>
      <c r="AK465" s="489">
        <v>81</v>
      </c>
      <c r="AL465" s="489">
        <v>95</v>
      </c>
      <c r="AM465" s="489">
        <v>117</v>
      </c>
      <c r="AN465" s="489">
        <v>96</v>
      </c>
      <c r="AO465" s="489">
        <v>96</v>
      </c>
      <c r="AP465" s="489">
        <v>90</v>
      </c>
      <c r="AQ465" s="489">
        <v>111</v>
      </c>
      <c r="AR465" s="489">
        <v>116</v>
      </c>
      <c r="AS465" s="489">
        <v>108</v>
      </c>
      <c r="AT465" s="489">
        <v>-390</v>
      </c>
    </row>
    <row r="466" spans="1:46" s="3" customFormat="1" ht="15" customHeight="1">
      <c r="A466" s="270"/>
      <c r="B466" s="95"/>
      <c r="C466" s="96"/>
      <c r="D466" s="6"/>
      <c r="E466" s="708" t="s">
        <v>584</v>
      </c>
      <c r="F466" s="93"/>
      <c r="G466" s="93" t="s">
        <v>549</v>
      </c>
      <c r="J466" s="3">
        <f t="shared" si="81"/>
        <v>-3905</v>
      </c>
      <c r="K466" s="97"/>
      <c r="AD466" s="489">
        <v>-615</v>
      </c>
      <c r="AE466" s="489">
        <v>-552</v>
      </c>
      <c r="AF466" s="489">
        <v>-272</v>
      </c>
      <c r="AG466" s="489">
        <v>-268</v>
      </c>
      <c r="AH466" s="489">
        <v>-296</v>
      </c>
      <c r="AI466" s="489">
        <v>-351</v>
      </c>
      <c r="AJ466" s="489">
        <v>-167</v>
      </c>
      <c r="AK466" s="489">
        <v>-229</v>
      </c>
      <c r="AL466" s="489">
        <v>-232</v>
      </c>
      <c r="AM466" s="489">
        <v>-285</v>
      </c>
      <c r="AN466" s="489">
        <v>-307</v>
      </c>
      <c r="AO466" s="489">
        <v>-183</v>
      </c>
      <c r="AP466" s="489">
        <v>-51</v>
      </c>
      <c r="AQ466" s="489">
        <v>-40</v>
      </c>
      <c r="AR466" s="489">
        <v>-38</v>
      </c>
      <c r="AS466" s="489">
        <v>-18</v>
      </c>
      <c r="AT466" s="489">
        <v>-1</v>
      </c>
    </row>
    <row r="467" spans="1:46" s="3" customFormat="1" ht="15" customHeight="1">
      <c r="A467" s="270"/>
      <c r="B467" s="95"/>
      <c r="C467" s="96"/>
      <c r="D467" s="6"/>
      <c r="E467" s="708" t="s">
        <v>585</v>
      </c>
      <c r="F467" s="93"/>
      <c r="G467" s="93" t="s">
        <v>549</v>
      </c>
      <c r="J467" s="3">
        <f t="shared" si="81"/>
        <v>-3212</v>
      </c>
      <c r="K467" s="97"/>
      <c r="AD467" s="489">
        <v>-65</v>
      </c>
      <c r="AE467" s="489">
        <v>-37</v>
      </c>
      <c r="AF467" s="489">
        <v>-80</v>
      </c>
      <c r="AG467" s="489">
        <v>-99</v>
      </c>
      <c r="AH467" s="489">
        <v>-94</v>
      </c>
      <c r="AI467" s="489">
        <v>-98</v>
      </c>
      <c r="AJ467" s="489">
        <v>-134</v>
      </c>
      <c r="AK467" s="489">
        <v>-371</v>
      </c>
      <c r="AL467" s="489">
        <v>-255</v>
      </c>
      <c r="AM467" s="489">
        <v>-344</v>
      </c>
      <c r="AN467" s="489">
        <v>-136</v>
      </c>
      <c r="AO467" s="489">
        <v>-126</v>
      </c>
      <c r="AP467" s="489">
        <v>-363</v>
      </c>
      <c r="AQ467" s="489">
        <v>-156</v>
      </c>
      <c r="AR467" s="489">
        <v>-412</v>
      </c>
      <c r="AS467" s="489">
        <v>-307</v>
      </c>
      <c r="AT467" s="489">
        <v>-135</v>
      </c>
    </row>
    <row r="468" spans="1:46" s="3" customFormat="1" ht="15" customHeight="1">
      <c r="A468" s="270"/>
      <c r="B468" s="95"/>
      <c r="C468" s="96"/>
      <c r="D468" s="6"/>
      <c r="E468" s="708" t="s">
        <v>586</v>
      </c>
      <c r="F468" s="93"/>
      <c r="G468" s="93" t="s">
        <v>549</v>
      </c>
      <c r="J468" s="3">
        <f t="shared" si="81"/>
        <v>16336</v>
      </c>
      <c r="K468" s="97"/>
      <c r="AD468" s="489">
        <v>99</v>
      </c>
      <c r="AE468" s="489">
        <v>696</v>
      </c>
      <c r="AF468" s="489">
        <v>1048</v>
      </c>
      <c r="AG468" s="489">
        <v>1035</v>
      </c>
      <c r="AH468" s="489">
        <v>1107</v>
      </c>
      <c r="AI468" s="489">
        <v>919</v>
      </c>
      <c r="AJ468" s="489">
        <v>1000</v>
      </c>
      <c r="AK468" s="489">
        <v>666</v>
      </c>
      <c r="AL468" s="489">
        <v>1019</v>
      </c>
      <c r="AM468" s="489">
        <v>829</v>
      </c>
      <c r="AN468" s="489">
        <v>1033</v>
      </c>
      <c r="AO468" s="489">
        <v>1284</v>
      </c>
      <c r="AP468" s="489">
        <v>1425</v>
      </c>
      <c r="AQ468" s="489">
        <v>1860</v>
      </c>
      <c r="AR468" s="489">
        <v>1470</v>
      </c>
      <c r="AS468" s="489">
        <v>1195</v>
      </c>
      <c r="AT468" s="489">
        <v>-349</v>
      </c>
    </row>
    <row r="469" spans="1:46" s="3" customFormat="1" ht="15" customHeight="1">
      <c r="A469" s="270"/>
      <c r="B469" s="95"/>
      <c r="C469" s="96"/>
      <c r="D469" s="6"/>
      <c r="E469" s="708" t="s">
        <v>587</v>
      </c>
      <c r="F469" s="93"/>
      <c r="G469" s="93" t="s">
        <v>549</v>
      </c>
      <c r="J469" s="3">
        <f t="shared" si="81"/>
        <v>4382</v>
      </c>
      <c r="K469" s="97"/>
      <c r="AD469" s="489">
        <v>84</v>
      </c>
      <c r="AE469" s="489">
        <v>502</v>
      </c>
      <c r="AF469" s="489">
        <v>641</v>
      </c>
      <c r="AG469" s="489">
        <v>537</v>
      </c>
      <c r="AH469" s="489">
        <v>487</v>
      </c>
      <c r="AI469" s="489">
        <v>344</v>
      </c>
      <c r="AJ469" s="489">
        <v>317</v>
      </c>
      <c r="AK469" s="489">
        <v>179</v>
      </c>
      <c r="AL469" s="489">
        <v>233</v>
      </c>
      <c r="AM469" s="489">
        <v>161</v>
      </c>
      <c r="AN469" s="489">
        <v>170</v>
      </c>
      <c r="AO469" s="489">
        <v>179</v>
      </c>
      <c r="AP469" s="489">
        <v>169</v>
      </c>
      <c r="AQ469" s="489">
        <v>187</v>
      </c>
      <c r="AR469" s="489">
        <v>126</v>
      </c>
      <c r="AS469" s="489">
        <v>87</v>
      </c>
      <c r="AT469" s="489">
        <v>-21</v>
      </c>
    </row>
    <row r="470" spans="1:46" s="3" customFormat="1" ht="15" customHeight="1">
      <c r="A470" s="270"/>
      <c r="B470" s="95"/>
      <c r="C470" s="96"/>
      <c r="D470" s="6"/>
      <c r="E470" s="708"/>
      <c r="F470" s="176"/>
      <c r="G470" s="94"/>
      <c r="H470" s="97"/>
      <c r="I470" s="97"/>
      <c r="K470" s="97"/>
    </row>
    <row r="471" spans="1:46" s="3" customFormat="1" ht="15" customHeight="1">
      <c r="A471" s="492"/>
      <c r="B471" s="95"/>
      <c r="C471" s="96"/>
      <c r="D471" s="6"/>
      <c r="E471" s="709" t="s">
        <v>546</v>
      </c>
      <c r="F471" s="93"/>
      <c r="G471" s="93"/>
      <c r="K471" s="97"/>
    </row>
    <row r="472" spans="1:46" s="3" customFormat="1" ht="15" customHeight="1">
      <c r="A472" s="270"/>
      <c r="B472" s="95"/>
      <c r="C472" s="96"/>
      <c r="D472" s="6"/>
      <c r="E472" s="708" t="s">
        <v>568</v>
      </c>
      <c r="F472" s="93"/>
      <c r="G472" s="93" t="s">
        <v>549</v>
      </c>
      <c r="J472" s="3">
        <f t="shared" ref="J472:J479" si="82" xml:space="preserve"> SUM(L472:AV472)</f>
        <v>34544</v>
      </c>
      <c r="K472" s="97"/>
      <c r="AD472" s="488">
        <v>2024</v>
      </c>
      <c r="AE472" s="488">
        <v>2025</v>
      </c>
      <c r="AF472" s="488">
        <v>2026</v>
      </c>
      <c r="AG472" s="488">
        <v>2027</v>
      </c>
      <c r="AH472" s="488">
        <v>2028</v>
      </c>
      <c r="AI472" s="488">
        <v>2029</v>
      </c>
      <c r="AJ472" s="488">
        <v>2030</v>
      </c>
      <c r="AK472" s="488">
        <v>2031</v>
      </c>
      <c r="AL472" s="488">
        <v>2032</v>
      </c>
      <c r="AM472" s="488">
        <v>2033</v>
      </c>
      <c r="AN472" s="488">
        <v>2034</v>
      </c>
      <c r="AO472" s="488">
        <v>2035</v>
      </c>
      <c r="AP472" s="488">
        <v>2036</v>
      </c>
      <c r="AQ472" s="488">
        <v>2037</v>
      </c>
      <c r="AR472" s="488">
        <v>2038</v>
      </c>
      <c r="AS472" s="488">
        <v>2039</v>
      </c>
      <c r="AT472" s="488">
        <v>2040</v>
      </c>
    </row>
    <row r="473" spans="1:46" s="3" customFormat="1" ht="15" customHeight="1">
      <c r="A473" s="270"/>
      <c r="B473" s="95"/>
      <c r="C473" s="96"/>
      <c r="D473" s="6"/>
      <c r="E473" s="708" t="s">
        <v>569</v>
      </c>
      <c r="F473" s="93"/>
      <c r="G473" s="93" t="s">
        <v>549</v>
      </c>
      <c r="J473" s="3">
        <f t="shared" si="82"/>
        <v>35497</v>
      </c>
      <c r="K473" s="97"/>
      <c r="AD473" s="489">
        <v>1553</v>
      </c>
      <c r="AE473" s="489">
        <v>1951</v>
      </c>
      <c r="AF473" s="489">
        <v>1944</v>
      </c>
      <c r="AG473" s="489">
        <v>2001</v>
      </c>
      <c r="AH473" s="489">
        <v>2070</v>
      </c>
      <c r="AI473" s="489">
        <v>2102</v>
      </c>
      <c r="AJ473" s="489">
        <v>2135</v>
      </c>
      <c r="AK473" s="489">
        <v>2228</v>
      </c>
      <c r="AL473" s="489">
        <v>2285</v>
      </c>
      <c r="AM473" s="489">
        <v>2337</v>
      </c>
      <c r="AN473" s="489">
        <v>2379</v>
      </c>
      <c r="AO473" s="489">
        <v>2473</v>
      </c>
      <c r="AP473" s="489">
        <v>2508</v>
      </c>
      <c r="AQ473" s="489">
        <v>2575</v>
      </c>
      <c r="AR473" s="489">
        <v>2663</v>
      </c>
      <c r="AS473" s="489">
        <v>1978</v>
      </c>
      <c r="AT473" s="489">
        <v>315</v>
      </c>
    </row>
    <row r="474" spans="1:46" s="3" customFormat="1" ht="15" customHeight="1">
      <c r="A474" s="270"/>
      <c r="B474" s="95"/>
      <c r="C474" s="96"/>
      <c r="D474" s="6"/>
      <c r="E474" s="708" t="s">
        <v>570</v>
      </c>
      <c r="F474" s="93"/>
      <c r="G474" s="93" t="s">
        <v>549</v>
      </c>
      <c r="J474" s="3">
        <f t="shared" si="82"/>
        <v>-17379</v>
      </c>
      <c r="K474" s="97"/>
      <c r="AD474" s="489">
        <v>-895</v>
      </c>
      <c r="AE474" s="489">
        <v>-901</v>
      </c>
      <c r="AF474" s="489">
        <v>-997</v>
      </c>
      <c r="AG474" s="489">
        <v>-1001</v>
      </c>
      <c r="AH474" s="489">
        <v>-1120</v>
      </c>
      <c r="AI474" s="489">
        <v>-1098</v>
      </c>
      <c r="AJ474" s="489">
        <v>-1051</v>
      </c>
      <c r="AK474" s="489">
        <v>-1272</v>
      </c>
      <c r="AL474" s="489">
        <v>-1172</v>
      </c>
      <c r="AM474" s="489">
        <v>-1200</v>
      </c>
      <c r="AN474" s="489">
        <v>-1145</v>
      </c>
      <c r="AO474" s="489">
        <v>-1028</v>
      </c>
      <c r="AP474" s="489">
        <v>-1115</v>
      </c>
      <c r="AQ474" s="489">
        <v>-1049</v>
      </c>
      <c r="AR474" s="489">
        <v>-1253</v>
      </c>
      <c r="AS474" s="489">
        <v>-855</v>
      </c>
      <c r="AT474" s="489">
        <v>-227</v>
      </c>
    </row>
    <row r="475" spans="1:46" s="3" customFormat="1" ht="15" customHeight="1">
      <c r="A475" s="490"/>
      <c r="B475" s="95"/>
      <c r="C475" s="96"/>
      <c r="D475" s="6"/>
      <c r="E475" s="708" t="s">
        <v>571</v>
      </c>
      <c r="F475" s="93"/>
      <c r="G475" s="93" t="s">
        <v>549</v>
      </c>
      <c r="J475" s="3">
        <f t="shared" si="82"/>
        <v>28344</v>
      </c>
      <c r="K475" s="97"/>
      <c r="AD475" s="496">
        <v>658</v>
      </c>
      <c r="AE475" s="496">
        <v>1050</v>
      </c>
      <c r="AF475" s="496">
        <v>947</v>
      </c>
      <c r="AG475" s="496">
        <v>1000</v>
      </c>
      <c r="AH475" s="496">
        <v>950</v>
      </c>
      <c r="AI475" s="496">
        <v>1004</v>
      </c>
      <c r="AJ475" s="496">
        <v>1085</v>
      </c>
      <c r="AK475" s="496">
        <v>957</v>
      </c>
      <c r="AL475" s="496">
        <v>1113</v>
      </c>
      <c r="AM475" s="496">
        <v>11361</v>
      </c>
      <c r="AN475" s="496">
        <v>1234</v>
      </c>
      <c r="AO475" s="496">
        <v>1445</v>
      </c>
      <c r="AP475" s="496">
        <v>1392</v>
      </c>
      <c r="AQ475" s="496">
        <v>1527</v>
      </c>
      <c r="AR475" s="496">
        <v>1410</v>
      </c>
      <c r="AS475" s="496">
        <v>1123</v>
      </c>
      <c r="AT475" s="496">
        <v>88</v>
      </c>
    </row>
    <row r="476" spans="1:46" s="3" customFormat="1" ht="15" customHeight="1">
      <c r="A476" s="270"/>
      <c r="B476" s="95"/>
      <c r="C476" s="96"/>
      <c r="D476" s="6"/>
      <c r="E476" s="708"/>
      <c r="F476" s="93"/>
      <c r="G476" s="93" t="s">
        <v>549</v>
      </c>
      <c r="J476" s="3">
        <f t="shared" si="82"/>
        <v>0</v>
      </c>
      <c r="K476" s="97"/>
    </row>
    <row r="477" spans="1:46" s="3" customFormat="1" ht="15" customHeight="1">
      <c r="A477" s="270"/>
      <c r="B477" s="95"/>
      <c r="C477" s="96"/>
      <c r="D477" s="6"/>
      <c r="E477" s="708" t="s">
        <v>572</v>
      </c>
      <c r="F477" s="93"/>
      <c r="G477" s="93" t="s">
        <v>549</v>
      </c>
      <c r="J477" s="3">
        <f t="shared" si="82"/>
        <v>13258</v>
      </c>
      <c r="K477" s="97"/>
      <c r="AD477" s="489">
        <v>824</v>
      </c>
      <c r="AE477" s="489">
        <v>952</v>
      </c>
      <c r="AF477" s="489">
        <v>1124</v>
      </c>
      <c r="AG477" s="489">
        <v>1179</v>
      </c>
      <c r="AH477" s="489">
        <v>1216</v>
      </c>
      <c r="AI477" s="489">
        <v>1121</v>
      </c>
      <c r="AJ477" s="489">
        <v>916</v>
      </c>
      <c r="AK477" s="489">
        <v>978</v>
      </c>
      <c r="AL477" s="489">
        <v>951</v>
      </c>
      <c r="AM477" s="489">
        <v>710</v>
      </c>
      <c r="AN477" s="489">
        <v>697</v>
      </c>
      <c r="AO477" s="489">
        <v>647</v>
      </c>
      <c r="AP477" s="489">
        <v>716</v>
      </c>
      <c r="AQ477" s="489">
        <v>564</v>
      </c>
      <c r="AR477" s="489">
        <v>357</v>
      </c>
      <c r="AS477" s="489">
        <v>258</v>
      </c>
      <c r="AT477" s="489">
        <v>48</v>
      </c>
    </row>
    <row r="478" spans="1:46" s="3" customFormat="1" ht="15" customHeight="1">
      <c r="A478" s="270"/>
      <c r="B478" s="95"/>
      <c r="C478" s="96"/>
      <c r="D478" s="6"/>
      <c r="E478" s="708" t="s">
        <v>573</v>
      </c>
      <c r="F478" s="93"/>
      <c r="G478" s="93" t="s">
        <v>549</v>
      </c>
      <c r="J478" s="3">
        <f t="shared" si="82"/>
        <v>-6655</v>
      </c>
      <c r="K478" s="97"/>
      <c r="AD478" s="489">
        <v>-475</v>
      </c>
      <c r="AE478" s="489">
        <v>-440</v>
      </c>
      <c r="AF478" s="489">
        <v>-577</v>
      </c>
      <c r="AG478" s="489">
        <v>-590</v>
      </c>
      <c r="AH478" s="489">
        <v>-658</v>
      </c>
      <c r="AI478" s="489">
        <v>-585</v>
      </c>
      <c r="AJ478" s="489">
        <v>-451</v>
      </c>
      <c r="AK478" s="489">
        <v>-558</v>
      </c>
      <c r="AL478" s="489">
        <v>-488</v>
      </c>
      <c r="AM478" s="489">
        <v>-365</v>
      </c>
      <c r="AN478" s="489">
        <v>-336</v>
      </c>
      <c r="AO478" s="489">
        <v>-269</v>
      </c>
      <c r="AP478" s="489">
        <v>-319</v>
      </c>
      <c r="AQ478" s="489">
        <v>-230</v>
      </c>
      <c r="AR478" s="489">
        <v>-168</v>
      </c>
      <c r="AS478" s="489">
        <v>-112</v>
      </c>
      <c r="AT478" s="489">
        <v>-34</v>
      </c>
    </row>
    <row r="479" spans="1:46" s="3" customFormat="1" ht="15" customHeight="1">
      <c r="A479" s="270"/>
      <c r="B479" s="95"/>
      <c r="C479" s="96"/>
      <c r="D479" s="6"/>
      <c r="E479" s="708" t="s">
        <v>574</v>
      </c>
      <c r="F479" s="93"/>
      <c r="G479" s="93" t="s">
        <v>549</v>
      </c>
      <c r="J479" s="3">
        <f t="shared" si="82"/>
        <v>6604</v>
      </c>
      <c r="K479" s="97"/>
      <c r="AD479" s="500">
        <v>349</v>
      </c>
      <c r="AE479" s="500">
        <v>512</v>
      </c>
      <c r="AF479" s="500">
        <v>548</v>
      </c>
      <c r="AG479" s="500">
        <v>589</v>
      </c>
      <c r="AH479" s="500">
        <v>558</v>
      </c>
      <c r="AI479" s="500">
        <v>535</v>
      </c>
      <c r="AJ479" s="500">
        <v>465</v>
      </c>
      <c r="AK479" s="500">
        <v>420</v>
      </c>
      <c r="AL479" s="500">
        <v>463</v>
      </c>
      <c r="AM479" s="500">
        <v>345</v>
      </c>
      <c r="AN479" s="500">
        <v>361</v>
      </c>
      <c r="AO479" s="500">
        <v>378</v>
      </c>
      <c r="AP479" s="500">
        <v>398</v>
      </c>
      <c r="AQ479" s="500">
        <v>334</v>
      </c>
      <c r="AR479" s="500">
        <v>189</v>
      </c>
      <c r="AS479" s="500">
        <v>147</v>
      </c>
      <c r="AT479" s="500">
        <v>13</v>
      </c>
    </row>
    <row r="480" spans="1:46" ht="15" customHeight="1">
      <c r="D480" s="32"/>
      <c r="E480" s="94"/>
      <c r="F480" s="176"/>
      <c r="G480" s="94"/>
      <c r="H480" s="37"/>
    </row>
    <row r="482" spans="1:11" s="233" customFormat="1" ht="15" customHeight="1">
      <c r="A482" s="231" t="s">
        <v>163</v>
      </c>
      <c r="B482" s="231"/>
      <c r="C482" s="232"/>
      <c r="E482" s="706"/>
      <c r="F482" s="706"/>
      <c r="G482" s="706"/>
      <c r="I482" s="234"/>
      <c r="K482" s="243"/>
    </row>
  </sheetData>
  <conditionalFormatting sqref="F2">
    <cfRule type="cellIs" dxfId="79" priority="1" stopIfTrue="1" operator="notEqual">
      <formula>0</formula>
    </cfRule>
    <cfRule type="cellIs" dxfId="78" priority="2" stopIfTrue="1" operator="equal">
      <formula>""</formula>
    </cfRule>
  </conditionalFormatting>
  <conditionalFormatting sqref="F3">
    <cfRule type="cellIs" dxfId="77" priority="10" stopIfTrue="1" operator="notEqual">
      <formula>0</formula>
    </cfRule>
    <cfRule type="cellIs" dxfId="76" priority="11" stopIfTrue="1" operator="equal">
      <formula>""</formula>
    </cfRule>
  </conditionalFormatting>
  <conditionalFormatting sqref="L3:AV3">
    <cfRule type="cellIs" dxfId="75" priority="14" stopIfTrue="1" operator="equal">
      <formula>#REF!</formula>
    </cfRule>
    <cfRule type="cellIs" dxfId="74" priority="15" stopIfTrue="1" operator="equal">
      <formula>#REF!</formula>
    </cfRule>
    <cfRule type="cellIs" dxfId="73" priority="16" operator="equal">
      <formula>#REF!</formula>
    </cfRule>
    <cfRule type="cellIs" dxfId="72" priority="17" operator="equal">
      <formula>#REF!</formula>
    </cfRule>
  </conditionalFormatting>
  <conditionalFormatting sqref="L254:AV254">
    <cfRule type="colorScale" priority="3">
      <colorScale>
        <cfvo type="min"/>
        <cfvo type="max"/>
        <color rgb="FFFFEF9C"/>
        <color rgb="FF63BE7B"/>
      </colorScale>
    </cfRule>
  </conditionalFormatting>
  <conditionalFormatting sqref="M3:AV3">
    <cfRule type="cellIs" dxfId="71" priority="18" stopIfTrue="1" operator="equal">
      <formula>#REF!</formula>
    </cfRule>
    <cfRule type="cellIs" dxfId="70" priority="19" stopIfTrue="1" operator="equal">
      <formula>#REF!</formula>
    </cfRule>
  </conditionalFormatting>
  <dataValidations count="1">
    <dataValidation type="list" allowBlank="1" showInputMessage="1" showErrorMessage="1" sqref="H201:H206 H265:H270">
      <formula1>$F$208:$F$209</formula1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InputsTS!L386:AV386</xm:f>
              <xm:sqref>H386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InputsTS!L254:AV254</xm:f>
              <xm:sqref>H254</xm:sqref>
            </x14:sparkline>
          </x14:sparklines>
        </x14:sparklineGroup>
      </x14:sparklineGroup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7F"/>
  </sheetPr>
  <dimension ref="A1:BG203"/>
  <sheetViews>
    <sheetView zoomScale="130" zoomScaleNormal="130" workbookViewId="0">
      <pane xSplit="11" ySplit="4" topLeftCell="L76" activePane="bottomRight" state="frozen"/>
      <selection pane="topRight" activeCell="K1" sqref="K1"/>
      <selection pane="bottomLeft" activeCell="A5" sqref="A5"/>
      <selection pane="bottomRight" activeCell="F91" sqref="F91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18" customWidth="1"/>
    <col min="6" max="6" width="12.69921875" style="18" customWidth="1"/>
    <col min="7" max="8" width="20.69921875" style="18" customWidth="1"/>
    <col min="9" max="9" width="25.09765625" style="20" customWidth="1"/>
    <col min="10" max="10" width="12.69921875" style="18" customWidth="1" collapsed="1"/>
    <col min="11" max="11" width="1.59765625" style="46" customWidth="1"/>
    <col min="12" max="48" width="10.69921875" style="18" customWidth="1"/>
    <col min="49" max="57" width="11.69921875" style="18" hidden="1" customWidth="1"/>
    <col min="58" max="59" width="0" style="18" hidden="1" customWidth="1"/>
    <col min="60" max="16384" width="14.59765625" style="18" hidden="1"/>
  </cols>
  <sheetData>
    <row r="1" spans="1:48" ht="26.25" customHeight="1">
      <c r="A1" s="101" t="str">
        <f ca="1" xml:space="preserve"> RIGHT(CELL("filename", $A$3), LEN(CELL("filename", $A$3)) - SEARCH("]", CELL("filename", $A$3)))</f>
        <v>InputsCon</v>
      </c>
      <c r="F1" s="19"/>
    </row>
    <row r="2" spans="1:48" ht="15" customHeight="1">
      <c r="F2" s="482">
        <f xml:space="preserve"> Track!$F$85</f>
        <v>0</v>
      </c>
      <c r="G2" s="22" t="s">
        <v>1</v>
      </c>
      <c r="H2" s="22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23" t="s">
        <v>2</v>
      </c>
      <c r="H3" s="23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25" t="s">
        <v>5</v>
      </c>
      <c r="G4" s="16" t="s">
        <v>6</v>
      </c>
      <c r="H4" s="16" t="s">
        <v>7</v>
      </c>
      <c r="I4" s="26" t="s">
        <v>8</v>
      </c>
      <c r="J4" s="27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25"/>
      <c r="G5" s="16"/>
      <c r="H5" s="16"/>
      <c r="I5" s="26"/>
      <c r="J5" s="27"/>
      <c r="K5" s="97"/>
    </row>
    <row r="6" spans="1:48" s="31" customFormat="1" ht="15" customHeight="1" collapsed="1">
      <c r="A6" s="34" t="s">
        <v>812</v>
      </c>
      <c r="B6" s="28"/>
      <c r="C6" s="29"/>
      <c r="D6" s="30"/>
      <c r="E6" s="28"/>
      <c r="F6" s="28"/>
      <c r="G6" s="28"/>
      <c r="H6" s="28"/>
      <c r="I6" s="28"/>
      <c r="J6" s="28"/>
      <c r="K6" s="4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 ht="15" customHeight="1">
      <c r="D7" s="38"/>
      <c r="I7" s="18"/>
      <c r="K7" s="97"/>
    </row>
    <row r="8" spans="1:48" ht="15" customHeight="1">
      <c r="E8" s="148" t="s">
        <v>708</v>
      </c>
      <c r="F8" s="752" t="s">
        <v>1145</v>
      </c>
    </row>
    <row r="9" spans="1:48" ht="15" customHeight="1">
      <c r="E9" s="148" t="s">
        <v>709</v>
      </c>
      <c r="F9" s="753">
        <v>45809</v>
      </c>
    </row>
    <row r="11" spans="1:48" s="31" customFormat="1" ht="15" customHeight="1" collapsed="1">
      <c r="A11" s="34" t="s">
        <v>813</v>
      </c>
      <c r="B11" s="28"/>
      <c r="C11" s="29"/>
      <c r="D11" s="30"/>
      <c r="E11" s="28"/>
      <c r="F11" s="28"/>
      <c r="G11" s="28"/>
      <c r="H11" s="28"/>
      <c r="I11" s="28"/>
      <c r="J11" s="28"/>
      <c r="K11" s="42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3" spans="1:48" s="103" customFormat="1" ht="15" customHeight="1">
      <c r="A13" s="246"/>
      <c r="B13" s="246"/>
      <c r="C13" s="247"/>
      <c r="E13" s="32" t="s">
        <v>597</v>
      </c>
      <c r="F13" s="71">
        <v>0.02</v>
      </c>
      <c r="I13" s="210"/>
      <c r="K13" s="253"/>
    </row>
    <row r="14" spans="1:48" ht="15" customHeight="1">
      <c r="E14" s="425" t="str">
        <f xml:space="preserve"> Scenarios!B$44</f>
        <v>Discount rate</v>
      </c>
      <c r="F14" s="425">
        <f xml:space="preserve"> Scenarios!C$44</f>
        <v>0.1</v>
      </c>
      <c r="G14" s="425" t="str">
        <f xml:space="preserve"> Scenarios!D$44</f>
        <v>%nominal</v>
      </c>
    </row>
    <row r="15" spans="1:48" ht="15" customHeight="1">
      <c r="E15" s="36"/>
      <c r="F15" s="528"/>
      <c r="G15" s="36"/>
    </row>
    <row r="16" spans="1:48" ht="15" customHeight="1">
      <c r="E16" s="93" t="s">
        <v>1099</v>
      </c>
      <c r="F16" s="884">
        <v>1.4999999999999999E-2</v>
      </c>
      <c r="G16" s="18" t="s">
        <v>26</v>
      </c>
    </row>
    <row r="17" spans="1:48" s="103" customFormat="1" ht="15" customHeight="1">
      <c r="A17" s="246"/>
      <c r="B17" s="246"/>
      <c r="C17" s="247"/>
      <c r="E17" s="103" t="s">
        <v>1308</v>
      </c>
      <c r="F17" s="800">
        <v>0.04</v>
      </c>
      <c r="G17" s="103" t="s">
        <v>26</v>
      </c>
      <c r="I17" s="210"/>
      <c r="K17" s="253"/>
    </row>
    <row r="19" spans="1:48" s="31" customFormat="1" ht="15" customHeight="1" collapsed="1">
      <c r="A19" s="34" t="s">
        <v>814</v>
      </c>
      <c r="B19" s="28"/>
      <c r="C19" s="29"/>
      <c r="D19" s="30"/>
      <c r="E19" s="28"/>
      <c r="F19" s="28"/>
      <c r="G19" s="28"/>
      <c r="H19" s="28"/>
      <c r="I19" s="28"/>
      <c r="J19" s="28"/>
      <c r="K19" s="42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1:48" customFormat="1" ht="15" customHeight="1"/>
    <row r="21" spans="1:48" ht="15" customHeight="1">
      <c r="E21" s="323" t="s">
        <v>1061</v>
      </c>
      <c r="F21" s="714">
        <v>2025</v>
      </c>
      <c r="G21" s="46" t="s">
        <v>62</v>
      </c>
    </row>
    <row r="22" spans="1:48" ht="15" customHeight="1">
      <c r="E22" s="414" t="str">
        <f xml:space="preserve"> Scenarios!B$45</f>
        <v xml:space="preserve">Forecast / point forward year </v>
      </c>
      <c r="F22" s="414">
        <f xml:space="preserve"> Scenarios!C$45</f>
        <v>2025</v>
      </c>
      <c r="G22" s="414" t="str">
        <f xml:space="preserve"> Scenarios!D$45</f>
        <v>year</v>
      </c>
    </row>
    <row r="23" spans="1:48" ht="15" customHeight="1">
      <c r="E23" s="414" t="str">
        <f xml:space="preserve"> Scenarios!B$52</f>
        <v>Focus year for sensitivity analysis</v>
      </c>
      <c r="F23" s="414">
        <f xml:space="preserve"> Scenarios!C$52</f>
        <v>2022</v>
      </c>
      <c r="G23" s="414" t="str">
        <f xml:space="preserve"> Scenarios!D$52</f>
        <v>year</v>
      </c>
    </row>
    <row r="24" spans="1:48" ht="15" customHeight="1">
      <c r="E24" s="183" t="s">
        <v>1056</v>
      </c>
      <c r="F24" s="714">
        <v>2023</v>
      </c>
      <c r="G24" s="32" t="str">
        <f xml:space="preserve"> Dashboard!E$8</f>
        <v>year</v>
      </c>
    </row>
    <row r="25" spans="1:48" ht="15" customHeight="1">
      <c r="E25" s="108"/>
      <c r="F25" s="108"/>
      <c r="G25" s="108"/>
    </row>
    <row r="26" spans="1:48" ht="15" customHeight="1">
      <c r="E26" s="410" t="str">
        <f xml:space="preserve"> Scenarios!B$23</f>
        <v>Copper production sensitivity (forecast period)</v>
      </c>
      <c r="F26" s="410">
        <f xml:space="preserve"> Scenarios!C$23</f>
        <v>1</v>
      </c>
      <c r="G26" s="410" t="str">
        <f xml:space="preserve"> Scenarios!D$23</f>
        <v>%</v>
      </c>
    </row>
    <row r="27" spans="1:48" ht="15" customHeight="1">
      <c r="E27" s="410" t="str">
        <f xml:space="preserve"> Scenarios!B$24</f>
        <v>Cobalt production sensitivity (forecast period)</v>
      </c>
      <c r="F27" s="410">
        <f xml:space="preserve"> Scenarios!C$24</f>
        <v>1</v>
      </c>
      <c r="G27" s="410" t="str">
        <f xml:space="preserve"> Scenarios!D$24</f>
        <v>%</v>
      </c>
    </row>
    <row r="28" spans="1:48" ht="15" customHeight="1">
      <c r="E28" s="410" t="str">
        <f xml:space="preserve"> Scenarios!B$25</f>
        <v>Operating cost Sensitivity (forecast period)</v>
      </c>
      <c r="F28" s="410">
        <f xml:space="preserve"> Scenarios!C$25</f>
        <v>1</v>
      </c>
      <c r="G28" s="410" t="str">
        <f xml:space="preserve"> Scenarios!D$25</f>
        <v>%</v>
      </c>
    </row>
    <row r="29" spans="1:48" ht="15" customHeight="1">
      <c r="E29" s="410" t="str">
        <f xml:space="preserve"> Scenarios!B$26</f>
        <v>Capital cost sensitivity (forecast period)</v>
      </c>
      <c r="F29" s="410">
        <f xml:space="preserve"> Scenarios!C$26</f>
        <v>1</v>
      </c>
      <c r="G29" s="410" t="str">
        <f xml:space="preserve"> Scenarios!D$26</f>
        <v>%</v>
      </c>
    </row>
    <row r="30" spans="1:48" ht="15" customHeight="1">
      <c r="E30" s="410"/>
      <c r="F30" s="410"/>
      <c r="G30" s="410"/>
    </row>
    <row r="31" spans="1:48" s="103" customFormat="1" ht="15" customHeight="1">
      <c r="A31" s="246"/>
      <c r="B31" s="246"/>
      <c r="C31" s="247"/>
      <c r="E31" s="535" t="s">
        <v>1221</v>
      </c>
      <c r="F31" s="796">
        <v>2023</v>
      </c>
      <c r="G31" s="103" t="str">
        <f xml:space="preserve"> Dashboard!E$8</f>
        <v>year</v>
      </c>
      <c r="I31" s="210"/>
      <c r="K31" s="253"/>
    </row>
    <row r="32" spans="1:48" s="103" customFormat="1" ht="15" customHeight="1">
      <c r="A32" s="246"/>
      <c r="B32" s="246"/>
      <c r="C32" s="247"/>
      <c r="E32" s="535" t="s">
        <v>1230</v>
      </c>
      <c r="F32" s="813"/>
      <c r="I32" s="210"/>
      <c r="K32" s="253"/>
    </row>
    <row r="33" spans="1:48" ht="15" customHeight="1">
      <c r="E33" s="410"/>
      <c r="F33" s="410"/>
      <c r="G33" s="410"/>
    </row>
    <row r="34" spans="1:48" ht="15" customHeight="1">
      <c r="E34" s="410" t="str">
        <f xml:space="preserve"> Scenarios!B$25</f>
        <v>Operating cost Sensitivity (forecast period)</v>
      </c>
      <c r="F34" s="410">
        <f xml:space="preserve"> Scenarios!C$25</f>
        <v>1</v>
      </c>
      <c r="G34" s="410" t="str">
        <f xml:space="preserve"> Scenarios!D$25</f>
        <v>%</v>
      </c>
    </row>
    <row r="35" spans="1:48" ht="15" customHeight="1">
      <c r="E35" s="410"/>
      <c r="F35" s="410"/>
      <c r="G35" s="410"/>
    </row>
    <row r="36" spans="1:48" s="31" customFormat="1" ht="15" customHeight="1" collapsed="1">
      <c r="A36" s="34" t="s">
        <v>815</v>
      </c>
      <c r="B36" s="28"/>
      <c r="C36" s="29"/>
      <c r="D36" s="30"/>
      <c r="E36" s="28"/>
      <c r="F36" s="28"/>
      <c r="G36" s="28"/>
      <c r="H36" s="28"/>
      <c r="I36" s="28"/>
      <c r="J36" s="28"/>
      <c r="K36" s="42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 ht="15" customHeight="1">
      <c r="E37" s="410"/>
      <c r="F37" s="410"/>
      <c r="G37" s="410"/>
    </row>
    <row r="38" spans="1:48" ht="15" customHeight="1">
      <c r="E38" s="416" t="str">
        <f xml:space="preserve"> Scenarios!B$11</f>
        <v>Copper forecast price</v>
      </c>
      <c r="F38" s="661" t="str">
        <f xml:space="preserve"> Scenarios!C$11</f>
        <v>IMF_WEO</v>
      </c>
      <c r="G38" s="416" t="str">
        <f xml:space="preserve"> Scenarios!D$11</f>
        <v>option selected</v>
      </c>
      <c r="H38" s="3"/>
    </row>
    <row r="39" spans="1:48" ht="15" customHeight="1">
      <c r="E39" s="416" t="str">
        <f xml:space="preserve"> Scenarios!B$12</f>
        <v>Cobalt forecast price</v>
      </c>
      <c r="F39" s="661" t="str">
        <f xml:space="preserve"> Scenarios!C$12</f>
        <v>IMF_WEO</v>
      </c>
      <c r="G39" s="416" t="str">
        <f xml:space="preserve"> Scenarios!D$12</f>
        <v>option selected</v>
      </c>
      <c r="H39" s="3"/>
    </row>
    <row r="40" spans="1:48" ht="15" customHeight="1">
      <c r="E40" s="416" t="str">
        <f xml:space="preserve"> Scenarios!B$13</f>
        <v>Cu realized price method</v>
      </c>
      <c r="F40" s="661" t="str">
        <f xml:space="preserve"> Scenarios!C$13</f>
        <v>SOM_Contract</v>
      </c>
      <c r="G40" s="416" t="str">
        <f xml:space="preserve"> Scenarios!D$13</f>
        <v>selected</v>
      </c>
      <c r="H40" s="3"/>
    </row>
    <row r="41" spans="1:48" ht="15" customHeight="1">
      <c r="E41" s="425" t="str">
        <f xml:space="preserve"> Scenarios!B$14</f>
        <v>Copper: Realised Price vs LME for "LMEAssumed"</v>
      </c>
      <c r="F41" s="662">
        <f xml:space="preserve"> Scenarios!C$14</f>
        <v>0.95</v>
      </c>
      <c r="G41" s="425" t="str">
        <f xml:space="preserve"> Scenarios!D$14</f>
        <v>%</v>
      </c>
      <c r="H41" s="3"/>
    </row>
    <row r="42" spans="1:48" ht="15" customHeight="1">
      <c r="E42" s="416" t="str">
        <f xml:space="preserve"> Scenarios!B$15</f>
        <v>Co realized price method</v>
      </c>
      <c r="F42" s="661" t="str">
        <f xml:space="preserve"> Scenarios!C$15</f>
        <v>SOM_Contract</v>
      </c>
      <c r="G42" s="416" t="str">
        <f xml:space="preserve"> Scenarios!D$15</f>
        <v>selected</v>
      </c>
      <c r="H42" s="3"/>
    </row>
    <row r="43" spans="1:48" ht="15" customHeight="1">
      <c r="E43" s="425" t="str">
        <f xml:space="preserve"> Scenarios!B$18</f>
        <v>Cobalt: Realised Price vs LME for "LMEAssumed"</v>
      </c>
      <c r="F43" s="662">
        <f xml:space="preserve"> Scenarios!C$18</f>
        <v>0.7</v>
      </c>
      <c r="G43" s="425" t="str">
        <f xml:space="preserve"> Scenarios!D$18</f>
        <v>%</v>
      </c>
      <c r="H43" s="3"/>
    </row>
    <row r="44" spans="1:48" ht="15" customHeight="1">
      <c r="E44" s="416" t="str">
        <f xml:space="preserve"> Scenarios!B$19</f>
        <v>Apply freight, insurance &amp; sales costs 2019TR</v>
      </c>
      <c r="F44" s="661" t="str">
        <f xml:space="preserve"> Scenarios!C$19</f>
        <v>no</v>
      </c>
      <c r="G44" s="416" t="str">
        <f xml:space="preserve"> Scenarios!D$19</f>
        <v>selected</v>
      </c>
      <c r="H44" s="3"/>
    </row>
    <row r="45" spans="1:48" ht="15" customHeight="1">
      <c r="H45" s="3"/>
    </row>
    <row r="46" spans="1:48" ht="15" customHeight="1">
      <c r="E46" s="659" t="str">
        <f xml:space="preserve"> Scenarios!B$16</f>
        <v>Apply Cu transport / quality discount (1 = yes)</v>
      </c>
      <c r="F46" s="659">
        <f xml:space="preserve"> Scenarios!C$16</f>
        <v>1</v>
      </c>
      <c r="G46" s="659" t="str">
        <f xml:space="preserve"> Scenarios!D$16</f>
        <v>flag</v>
      </c>
      <c r="H46" s="3"/>
    </row>
    <row r="47" spans="1:48" ht="15" customHeight="1">
      <c r="H47" s="3"/>
    </row>
    <row r="48" spans="1:48" s="103" customFormat="1" ht="15" customHeight="1">
      <c r="A48" s="246"/>
      <c r="B48" s="246"/>
      <c r="C48" s="247"/>
      <c r="E48" s="46" t="s">
        <v>607</v>
      </c>
      <c r="F48" s="379">
        <v>8500</v>
      </c>
      <c r="G48" s="46" t="s">
        <v>14</v>
      </c>
      <c r="H48" s="8"/>
      <c r="I48" s="210"/>
      <c r="K48" s="253"/>
    </row>
    <row r="49" spans="1:48" s="103" customFormat="1" ht="15" customHeight="1">
      <c r="A49" s="246"/>
      <c r="B49" s="246"/>
      <c r="C49" s="247"/>
      <c r="E49" s="46" t="s">
        <v>816</v>
      </c>
      <c r="F49" s="379">
        <v>35000</v>
      </c>
      <c r="G49" s="46" t="s">
        <v>14</v>
      </c>
      <c r="H49" s="8"/>
      <c r="I49" s="210"/>
      <c r="K49" s="253"/>
    </row>
    <row r="50" spans="1:48" s="103" customFormat="1" ht="15" customHeight="1">
      <c r="A50" s="246"/>
      <c r="B50" s="246"/>
      <c r="C50" s="247"/>
      <c r="E50" s="18"/>
      <c r="F50" s="18"/>
      <c r="G50" s="18"/>
      <c r="H50" s="8"/>
      <c r="I50" s="210"/>
      <c r="K50" s="253"/>
    </row>
    <row r="51" spans="1:48" s="103" customFormat="1" ht="15" customHeight="1">
      <c r="A51" s="246"/>
      <c r="B51" s="246"/>
      <c r="C51" s="247"/>
      <c r="E51" s="416" t="str">
        <f xml:space="preserve"> Scenarios!B$28</f>
        <v>Operating Cost Profile</v>
      </c>
      <c r="F51" s="661" t="str">
        <f xml:space="preserve"> Scenarios!C$28</f>
        <v>Alt Opex</v>
      </c>
      <c r="G51" s="416" t="str">
        <f xml:space="preserve"> Scenarios!D$28</f>
        <v>option selected</v>
      </c>
      <c r="H51" s="8"/>
      <c r="I51" s="210"/>
      <c r="K51" s="253"/>
    </row>
    <row r="52" spans="1:48" s="103" customFormat="1" ht="15" customHeight="1">
      <c r="A52" s="246"/>
      <c r="B52" s="246"/>
      <c r="C52" s="247"/>
      <c r="E52" s="18"/>
      <c r="F52" s="18"/>
      <c r="G52" s="18"/>
      <c r="H52" s="8"/>
      <c r="I52" s="210"/>
      <c r="K52" s="253"/>
    </row>
    <row r="53" spans="1:48" s="31" customFormat="1" ht="15" customHeight="1" collapsed="1">
      <c r="A53" s="34" t="s">
        <v>818</v>
      </c>
      <c r="B53" s="28"/>
      <c r="C53" s="29"/>
      <c r="D53" s="30"/>
      <c r="E53" s="28"/>
      <c r="F53" s="28"/>
      <c r="G53" s="28"/>
      <c r="H53" s="28"/>
      <c r="I53" s="28"/>
      <c r="J53" s="28"/>
      <c r="K53" s="42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</row>
    <row r="55" spans="1:48" ht="15" customHeight="1">
      <c r="B55" s="16" t="s">
        <v>1030</v>
      </c>
    </row>
    <row r="56" spans="1:48" ht="15" customHeight="1">
      <c r="E56" s="18" t="s">
        <v>852</v>
      </c>
      <c r="F56" s="754" t="s">
        <v>654</v>
      </c>
      <c r="G56" s="376" t="s">
        <v>60</v>
      </c>
    </row>
    <row r="57" spans="1:48" ht="15" customHeight="1">
      <c r="E57" s="18" t="s">
        <v>852</v>
      </c>
      <c r="F57" s="754" t="s">
        <v>655</v>
      </c>
      <c r="G57" s="376" t="s">
        <v>60</v>
      </c>
    </row>
    <row r="59" spans="1:48" ht="15" customHeight="1">
      <c r="E59" s="18" t="s">
        <v>1073</v>
      </c>
      <c r="F59" s="755" t="s">
        <v>599</v>
      </c>
      <c r="G59" s="376" t="s">
        <v>60</v>
      </c>
    </row>
    <row r="60" spans="1:48" ht="15" customHeight="1">
      <c r="E60" s="18" t="s">
        <v>1073</v>
      </c>
      <c r="F60" s="755" t="s">
        <v>600</v>
      </c>
      <c r="G60" s="376" t="s">
        <v>60</v>
      </c>
    </row>
    <row r="62" spans="1:48" ht="15" customHeight="1">
      <c r="E62" s="18" t="s">
        <v>1306</v>
      </c>
      <c r="F62" s="66" t="s">
        <v>1310</v>
      </c>
      <c r="G62" s="376" t="s">
        <v>60</v>
      </c>
    </row>
    <row r="63" spans="1:48" ht="15" customHeight="1">
      <c r="E63" s="18" t="s">
        <v>1309</v>
      </c>
      <c r="F63" s="66" t="s">
        <v>1311</v>
      </c>
      <c r="G63" s="376" t="s">
        <v>60</v>
      </c>
    </row>
    <row r="65" spans="1:11" ht="15" customHeight="1">
      <c r="B65" s="16" t="s">
        <v>48</v>
      </c>
    </row>
    <row r="66" spans="1:11" s="103" customFormat="1" ht="15" customHeight="1">
      <c r="A66" s="246"/>
      <c r="B66" s="246"/>
      <c r="C66" s="247"/>
      <c r="E66" s="308" t="s">
        <v>52</v>
      </c>
      <c r="F66" s="71">
        <v>0.02</v>
      </c>
      <c r="G66" s="756" t="s">
        <v>53</v>
      </c>
      <c r="I66" s="210"/>
      <c r="K66" s="253"/>
    </row>
    <row r="67" spans="1:11" s="103" customFormat="1" ht="15" customHeight="1">
      <c r="A67" s="246"/>
      <c r="B67" s="246"/>
      <c r="C67" s="247"/>
      <c r="E67" s="308" t="s">
        <v>54</v>
      </c>
      <c r="F67" s="71">
        <v>3.5000000000000003E-2</v>
      </c>
      <c r="G67" s="756" t="s">
        <v>55</v>
      </c>
      <c r="I67" s="210"/>
      <c r="K67" s="253"/>
    </row>
    <row r="68" spans="1:11" s="103" customFormat="1" ht="15" customHeight="1">
      <c r="A68" s="246"/>
      <c r="B68" s="246"/>
      <c r="C68" s="247"/>
      <c r="E68" s="308"/>
      <c r="F68"/>
      <c r="G68"/>
      <c r="I68" s="210"/>
      <c r="K68" s="253"/>
    </row>
    <row r="69" spans="1:11" s="103" customFormat="1" ht="15" customHeight="1">
      <c r="A69" s="246"/>
      <c r="B69" s="246"/>
      <c r="C69" s="247"/>
      <c r="E69" s="308" t="s">
        <v>56</v>
      </c>
      <c r="F69" s="71">
        <v>0.02</v>
      </c>
      <c r="G69" s="308" t="s">
        <v>57</v>
      </c>
      <c r="I69" s="210"/>
      <c r="K69" s="253"/>
    </row>
    <row r="70" spans="1:11" s="103" customFormat="1" ht="15" customHeight="1">
      <c r="A70" s="246"/>
      <c r="B70" s="246"/>
      <c r="C70" s="247"/>
      <c r="E70" s="308" t="s">
        <v>58</v>
      </c>
      <c r="F70" s="71">
        <v>0.1</v>
      </c>
      <c r="G70" s="308" t="s">
        <v>57</v>
      </c>
      <c r="I70" s="210"/>
      <c r="K70" s="253"/>
    </row>
    <row r="71" spans="1:11" s="103" customFormat="1" ht="15" customHeight="1">
      <c r="A71" s="246"/>
      <c r="B71" s="246"/>
      <c r="C71" s="247"/>
      <c r="E71" s="308"/>
      <c r="F71"/>
      <c r="G71" s="308"/>
      <c r="I71" s="210"/>
      <c r="K71" s="253"/>
    </row>
    <row r="72" spans="1:11" s="103" customFormat="1" ht="15" customHeight="1">
      <c r="A72" s="246"/>
      <c r="B72" s="246"/>
      <c r="C72" s="247"/>
      <c r="E72" s="320" t="s">
        <v>59</v>
      </c>
      <c r="F72" s="757" t="s">
        <v>53</v>
      </c>
      <c r="G72" s="320" t="s">
        <v>60</v>
      </c>
      <c r="I72" s="210"/>
      <c r="K72" s="253"/>
    </row>
    <row r="73" spans="1:11" s="103" customFormat="1" ht="15" customHeight="1">
      <c r="A73" s="246"/>
      <c r="B73" s="246"/>
      <c r="C73" s="247"/>
      <c r="E73" s="320" t="s">
        <v>59</v>
      </c>
      <c r="F73" s="757" t="s">
        <v>55</v>
      </c>
      <c r="G73" s="320" t="s">
        <v>60</v>
      </c>
      <c r="I73" s="210"/>
      <c r="K73" s="253"/>
    </row>
    <row r="74" spans="1:11" s="103" customFormat="1" ht="15" customHeight="1">
      <c r="A74" s="246"/>
      <c r="B74" s="246"/>
      <c r="C74" s="247"/>
      <c r="E74" s="320"/>
      <c r="F74"/>
      <c r="G74" s="320"/>
      <c r="I74" s="210"/>
      <c r="K74" s="253"/>
    </row>
    <row r="75" spans="1:11" s="103" customFormat="1" ht="15" customHeight="1">
      <c r="A75" s="246"/>
      <c r="B75" s="246"/>
      <c r="C75" s="247"/>
      <c r="E75" s="308" t="s">
        <v>61</v>
      </c>
      <c r="F75" s="714">
        <v>2019</v>
      </c>
      <c r="G75" s="308" t="s">
        <v>62</v>
      </c>
      <c r="I75" s="210"/>
      <c r="K75" s="253"/>
    </row>
    <row r="76" spans="1:11" s="103" customFormat="1" ht="15" customHeight="1">
      <c r="A76" s="246"/>
      <c r="B76" s="246"/>
      <c r="C76" s="247"/>
      <c r="E76" s="308"/>
      <c r="F76"/>
      <c r="G76" s="308"/>
      <c r="I76" s="210"/>
      <c r="K76" s="253"/>
    </row>
    <row r="77" spans="1:11" s="103" customFormat="1" ht="15" customHeight="1">
      <c r="A77" s="246"/>
      <c r="B77" s="246"/>
      <c r="C77" s="247"/>
      <c r="E77" s="442" t="s">
        <v>1204</v>
      </c>
      <c r="F77" s="796">
        <v>2019</v>
      </c>
      <c r="G77" s="442" t="s">
        <v>62</v>
      </c>
      <c r="I77" s="210"/>
      <c r="K77" s="253"/>
    </row>
    <row r="78" spans="1:11" s="103" customFormat="1" ht="15" customHeight="1">
      <c r="A78" s="246"/>
      <c r="B78" s="246"/>
      <c r="C78" s="247"/>
      <c r="E78" s="442" t="s">
        <v>1205</v>
      </c>
      <c r="F78" s="797">
        <v>0.5</v>
      </c>
      <c r="G78" s="442" t="s">
        <v>26</v>
      </c>
      <c r="I78" s="210"/>
      <c r="K78" s="253"/>
    </row>
    <row r="79" spans="1:11" s="103" customFormat="1" ht="15" customHeight="1">
      <c r="A79" s="246"/>
      <c r="B79" s="246"/>
      <c r="C79" s="247"/>
      <c r="E79" s="442" t="s">
        <v>1202</v>
      </c>
      <c r="F79" s="797">
        <v>0.25</v>
      </c>
      <c r="G79" s="442" t="s">
        <v>26</v>
      </c>
      <c r="I79" s="210"/>
      <c r="K79" s="253"/>
    </row>
    <row r="80" spans="1:11" s="103" customFormat="1" ht="15" customHeight="1">
      <c r="A80" s="246"/>
      <c r="B80" s="246"/>
      <c r="C80" s="247"/>
      <c r="E80" s="442" t="s">
        <v>1203</v>
      </c>
      <c r="F80" s="797">
        <v>0.15</v>
      </c>
      <c r="G80" s="442" t="s">
        <v>26</v>
      </c>
      <c r="I80" s="210"/>
      <c r="K80" s="253"/>
    </row>
    <row r="81" spans="1:11" s="103" customFormat="1" ht="15" customHeight="1">
      <c r="A81" s="246"/>
      <c r="B81" s="246"/>
      <c r="C81" s="247"/>
      <c r="E81" s="442" t="s">
        <v>1206</v>
      </c>
      <c r="F81" s="797">
        <v>0.1</v>
      </c>
      <c r="G81" s="442" t="s">
        <v>26</v>
      </c>
      <c r="I81" s="210"/>
      <c r="K81" s="253"/>
    </row>
    <row r="82" spans="1:11" s="103" customFormat="1" ht="15" customHeight="1">
      <c r="A82" s="246"/>
      <c r="B82" s="246"/>
      <c r="C82" s="247"/>
      <c r="E82" s="442" t="s">
        <v>1207</v>
      </c>
      <c r="F82" s="797">
        <v>0</v>
      </c>
      <c r="G82" s="442" t="s">
        <v>26</v>
      </c>
      <c r="I82" s="210"/>
      <c r="K82" s="253"/>
    </row>
    <row r="83" spans="1:11" s="103" customFormat="1" ht="15" customHeight="1">
      <c r="A83" s="246"/>
      <c r="B83" s="246"/>
      <c r="C83" s="247"/>
      <c r="E83" s="442"/>
      <c r="F83" s="1"/>
      <c r="G83" s="442"/>
      <c r="I83" s="210"/>
      <c r="K83" s="253"/>
    </row>
    <row r="84" spans="1:11" s="103" customFormat="1" ht="15" customHeight="1">
      <c r="A84" s="246"/>
      <c r="B84" s="246"/>
      <c r="C84" s="247"/>
      <c r="E84" s="442" t="s">
        <v>1204</v>
      </c>
      <c r="F84" s="796">
        <v>2024</v>
      </c>
      <c r="G84" s="442" t="s">
        <v>62</v>
      </c>
      <c r="I84" s="210"/>
      <c r="K84" s="253"/>
    </row>
    <row r="85" spans="1:11" s="103" customFormat="1" ht="15" customHeight="1">
      <c r="A85" s="246"/>
      <c r="B85" s="246"/>
      <c r="C85" s="247"/>
      <c r="E85" s="442" t="s">
        <v>1205</v>
      </c>
      <c r="F85" s="797">
        <v>0.44</v>
      </c>
      <c r="G85" s="442" t="s">
        <v>26</v>
      </c>
      <c r="I85" s="210"/>
      <c r="K85" s="253"/>
    </row>
    <row r="86" spans="1:11" s="103" customFormat="1" ht="15" customHeight="1">
      <c r="A86" s="246"/>
      <c r="B86" s="246"/>
      <c r="C86" s="247"/>
      <c r="E86" s="442" t="s">
        <v>1202</v>
      </c>
      <c r="F86" s="797">
        <v>0.23</v>
      </c>
      <c r="G86" s="442" t="s">
        <v>26</v>
      </c>
      <c r="I86" s="210"/>
      <c r="K86" s="253"/>
    </row>
    <row r="87" spans="1:11" s="103" customFormat="1" ht="15" customHeight="1">
      <c r="A87" s="246"/>
      <c r="B87" s="246"/>
      <c r="C87" s="247"/>
      <c r="E87" s="442" t="s">
        <v>1203</v>
      </c>
      <c r="F87" s="797">
        <v>0.14000000000000001</v>
      </c>
      <c r="G87" s="442" t="s">
        <v>26</v>
      </c>
      <c r="I87" s="210"/>
      <c r="K87" s="253"/>
    </row>
    <row r="88" spans="1:11" s="103" customFormat="1" ht="15" customHeight="1">
      <c r="A88" s="246"/>
      <c r="B88" s="246"/>
      <c r="C88" s="247"/>
      <c r="E88" s="442" t="s">
        <v>1206</v>
      </c>
      <c r="F88" s="797">
        <v>0.08</v>
      </c>
      <c r="G88" s="442" t="s">
        <v>26</v>
      </c>
      <c r="I88" s="210"/>
      <c r="K88" s="253"/>
    </row>
    <row r="89" spans="1:11" s="103" customFormat="1" ht="15" customHeight="1">
      <c r="A89" s="246"/>
      <c r="B89" s="246"/>
      <c r="C89" s="247"/>
      <c r="E89" s="442" t="s">
        <v>1207</v>
      </c>
      <c r="F89" s="797">
        <v>0.11</v>
      </c>
      <c r="G89" s="442" t="s">
        <v>26</v>
      </c>
      <c r="I89" s="210"/>
      <c r="K89" s="253"/>
    </row>
    <row r="90" spans="1:11" s="103" customFormat="1" ht="15" customHeight="1">
      <c r="A90" s="246"/>
      <c r="B90" s="246"/>
      <c r="C90" s="247"/>
      <c r="E90" s="308"/>
      <c r="F90"/>
      <c r="G90" s="308"/>
      <c r="I90" s="210"/>
      <c r="K90" s="253"/>
    </row>
    <row r="91" spans="1:11" s="103" customFormat="1" ht="15" customHeight="1">
      <c r="A91" s="246"/>
      <c r="B91" s="246"/>
      <c r="C91" s="247"/>
      <c r="E91" s="308" t="s">
        <v>63</v>
      </c>
      <c r="F91" s="71">
        <v>2.5000000000000001E-2</v>
      </c>
      <c r="G91" s="756" t="s">
        <v>53</v>
      </c>
      <c r="I91" s="210"/>
      <c r="K91" s="253"/>
    </row>
    <row r="92" spans="1:11" s="103" customFormat="1" ht="15" customHeight="1">
      <c r="A92" s="246"/>
      <c r="B92" s="246"/>
      <c r="C92" s="247"/>
      <c r="E92" s="308"/>
      <c r="F92" s="18"/>
      <c r="G92" s="18"/>
      <c r="I92" s="210"/>
      <c r="K92" s="253"/>
    </row>
    <row r="93" spans="1:11" s="103" customFormat="1" ht="15" customHeight="1">
      <c r="A93" s="246"/>
      <c r="B93" s="246"/>
      <c r="C93" s="247"/>
      <c r="E93" s="442" t="str">
        <f xml:space="preserve"> Scenarios!B$38</f>
        <v>apply increased State Participation</v>
      </c>
      <c r="F93" s="797" t="str">
        <f xml:space="preserve"> Scenarios!C$38</f>
        <v>yes</v>
      </c>
      <c r="G93" s="442" t="str">
        <f xml:space="preserve"> Scenarios!D$38</f>
        <v>flag</v>
      </c>
      <c r="I93" s="210"/>
      <c r="K93" s="253"/>
    </row>
    <row r="94" spans="1:11" s="103" customFormat="1" ht="15" customHeight="1">
      <c r="A94" s="246"/>
      <c r="B94" s="246"/>
      <c r="C94" s="247"/>
      <c r="E94" s="308"/>
      <c r="F94" s="18"/>
      <c r="G94" s="18"/>
      <c r="I94" s="210"/>
      <c r="K94" s="253"/>
    </row>
    <row r="95" spans="1:11" s="103" customFormat="1" ht="15" customHeight="1">
      <c r="A95" s="246"/>
      <c r="B95" s="16" t="s">
        <v>98</v>
      </c>
      <c r="C95" s="247"/>
      <c r="E95" s="308"/>
      <c r="F95" s="18"/>
      <c r="G95" s="18"/>
      <c r="I95" s="210"/>
      <c r="K95" s="253"/>
    </row>
    <row r="96" spans="1:11" s="103" customFormat="1" ht="15" customHeight="1">
      <c r="A96" s="246"/>
      <c r="B96" s="246"/>
      <c r="C96" s="247"/>
      <c r="E96" s="320" t="s">
        <v>99</v>
      </c>
      <c r="F96" s="71">
        <v>0.6</v>
      </c>
      <c r="G96" s="320" t="s">
        <v>26</v>
      </c>
      <c r="I96" s="210"/>
      <c r="K96" s="253"/>
    </row>
    <row r="97" spans="1:11" s="103" customFormat="1" ht="15" customHeight="1">
      <c r="A97" s="246"/>
      <c r="B97" s="246"/>
      <c r="C97" s="247"/>
      <c r="E97" s="320" t="s">
        <v>100</v>
      </c>
      <c r="F97" s="71">
        <v>0.3</v>
      </c>
      <c r="G97" s="320" t="s">
        <v>26</v>
      </c>
      <c r="I97" s="210"/>
      <c r="K97" s="253"/>
    </row>
    <row r="98" spans="1:11" s="103" customFormat="1" ht="15" customHeight="1">
      <c r="A98" s="246"/>
      <c r="B98" s="246"/>
      <c r="C98" s="247"/>
      <c r="E98" s="308"/>
      <c r="F98" s="18"/>
      <c r="G98" s="18"/>
      <c r="I98" s="210"/>
      <c r="K98" s="253"/>
    </row>
    <row r="99" spans="1:11" s="103" customFormat="1" ht="15" customHeight="1">
      <c r="A99" s="246"/>
      <c r="B99" s="246"/>
      <c r="C99" s="247"/>
      <c r="E99" s="657" t="str">
        <f xml:space="preserve"> Scenarios!B$30</f>
        <v>Straight line depreciation years (AVERAGE)</v>
      </c>
      <c r="F99" s="657">
        <f xml:space="preserve"> Scenarios!C$30</f>
        <v>7</v>
      </c>
      <c r="G99" s="657" t="str">
        <f xml:space="preserve"> Scenarios!D$30</f>
        <v>years</v>
      </c>
      <c r="I99" s="210"/>
      <c r="K99" s="253"/>
    </row>
    <row r="100" spans="1:11" s="103" customFormat="1" ht="15" customHeight="1">
      <c r="A100" s="246"/>
      <c r="B100" s="246"/>
      <c r="C100" s="247"/>
      <c r="E100" s="308"/>
      <c r="F100" s="18"/>
      <c r="G100" s="18"/>
      <c r="I100" s="210"/>
      <c r="K100" s="253"/>
    </row>
    <row r="101" spans="1:11" s="103" customFormat="1" ht="15" customHeight="1">
      <c r="A101" s="246"/>
      <c r="B101" s="516" t="s">
        <v>196</v>
      </c>
      <c r="C101" s="247"/>
      <c r="E101" s="308"/>
      <c r="F101" s="18"/>
      <c r="G101" s="18"/>
      <c r="I101" s="210"/>
      <c r="K101" s="253"/>
    </row>
    <row r="102" spans="1:11" s="103" customFormat="1" ht="15" customHeight="1">
      <c r="A102" s="246"/>
      <c r="B102" s="246"/>
      <c r="C102" s="247"/>
      <c r="E102" s="229" t="s">
        <v>746</v>
      </c>
      <c r="F102" s="517" t="s">
        <v>654</v>
      </c>
      <c r="G102" s="229" t="s">
        <v>747</v>
      </c>
      <c r="I102" s="210"/>
      <c r="K102" s="253"/>
    </row>
    <row r="103" spans="1:11" s="103" customFormat="1" ht="15" customHeight="1">
      <c r="A103" s="246"/>
      <c r="B103" s="246"/>
      <c r="C103" s="247"/>
      <c r="E103" s="229"/>
      <c r="F103" s="18"/>
      <c r="G103" s="229"/>
      <c r="I103" s="210"/>
      <c r="K103" s="253"/>
    </row>
    <row r="104" spans="1:11" s="103" customFormat="1" ht="15" customHeight="1">
      <c r="A104" s="246"/>
      <c r="B104" s="246"/>
      <c r="C104" s="247"/>
      <c r="E104" s="417" t="str">
        <f xml:space="preserve"> Scenarios!B$29</f>
        <v>Opening balance of CIT losses 2011</v>
      </c>
      <c r="F104" s="417">
        <f xml:space="preserve"> Scenarios!C$29</f>
        <v>0</v>
      </c>
      <c r="G104" s="417" t="str">
        <f xml:space="preserve"> Scenarios!D$29</f>
        <v>$ mn</v>
      </c>
      <c r="I104" s="210"/>
      <c r="K104" s="253"/>
    </row>
    <row r="105" spans="1:11" s="103" customFormat="1" ht="15" customHeight="1">
      <c r="A105" s="246"/>
      <c r="B105" s="246"/>
      <c r="C105" s="247"/>
      <c r="E105" s="229"/>
      <c r="F105" s="18"/>
      <c r="G105" s="229"/>
      <c r="I105" s="210"/>
      <c r="K105" s="253"/>
    </row>
    <row r="106" spans="1:11" s="103" customFormat="1" ht="15" customHeight="1">
      <c r="A106" s="246"/>
      <c r="B106" s="246"/>
      <c r="C106" s="247"/>
      <c r="E106" s="425" t="str">
        <f xml:space="preserve"> Scenarios!B$27</f>
        <v>Interest deductible for CIT</v>
      </c>
      <c r="F106" s="425">
        <f xml:space="preserve"> Scenarios!C$27</f>
        <v>1</v>
      </c>
      <c r="G106" s="425" t="str">
        <f xml:space="preserve"> Scenarios!D$27</f>
        <v>%</v>
      </c>
      <c r="I106" s="210"/>
      <c r="K106" s="253"/>
    </row>
    <row r="107" spans="1:11" s="103" customFormat="1" ht="15" customHeight="1">
      <c r="A107" s="246"/>
      <c r="B107" s="246"/>
      <c r="C107" s="247"/>
      <c r="E107" s="229"/>
      <c r="F107" s="18"/>
      <c r="G107" s="229"/>
      <c r="I107" s="210"/>
      <c r="K107" s="253"/>
    </row>
    <row r="108" spans="1:11" s="103" customFormat="1" ht="15" customHeight="1">
      <c r="A108" s="246"/>
      <c r="B108" s="246"/>
      <c r="C108" s="247"/>
      <c r="E108" s="320" t="s">
        <v>119</v>
      </c>
      <c r="F108" s="321">
        <v>0.3</v>
      </c>
      <c r="G108" s="320" t="s">
        <v>26</v>
      </c>
      <c r="I108" s="210"/>
      <c r="K108" s="253"/>
    </row>
    <row r="109" spans="1:11" s="103" customFormat="1" ht="15" customHeight="1">
      <c r="A109" s="246"/>
      <c r="B109" s="246"/>
      <c r="C109" s="247"/>
      <c r="E109" s="308"/>
      <c r="F109" s="18"/>
      <c r="G109" s="18"/>
      <c r="I109" s="210"/>
      <c r="K109" s="253"/>
    </row>
    <row r="110" spans="1:11" s="103" customFormat="1" ht="15" customHeight="1">
      <c r="A110" s="246"/>
      <c r="B110" s="246"/>
      <c r="C110" s="247"/>
      <c r="E110" s="308" t="s">
        <v>890</v>
      </c>
      <c r="F110" s="137">
        <v>0.01</v>
      </c>
      <c r="G110" s="18" t="s">
        <v>891</v>
      </c>
      <c r="I110" s="210"/>
      <c r="K110" s="253"/>
    </row>
    <row r="111" spans="1:11" s="103" customFormat="1" ht="15" customHeight="1">
      <c r="A111" s="246"/>
      <c r="B111" s="246"/>
      <c r="C111" s="247"/>
      <c r="E111" s="308"/>
      <c r="F111" s="18"/>
      <c r="G111" s="18"/>
      <c r="I111" s="210"/>
      <c r="K111" s="253"/>
    </row>
    <row r="112" spans="1:11" s="103" customFormat="1" ht="15" customHeight="1">
      <c r="A112" s="246"/>
      <c r="B112" s="516" t="s">
        <v>962</v>
      </c>
      <c r="C112" s="247"/>
      <c r="E112" s="308"/>
      <c r="F112" s="18"/>
      <c r="G112" s="18"/>
      <c r="I112" s="210"/>
      <c r="K112" s="253"/>
    </row>
    <row r="113" spans="1:11" s="103" customFormat="1" ht="15" customHeight="1">
      <c r="A113" s="246"/>
      <c r="B113" s="246"/>
      <c r="C113" s="247"/>
      <c r="E113" s="320" t="s">
        <v>963</v>
      </c>
      <c r="F113" s="609">
        <v>1.25</v>
      </c>
      <c r="G113" s="320" t="s">
        <v>790</v>
      </c>
      <c r="I113" s="210"/>
      <c r="K113" s="253"/>
    </row>
    <row r="114" spans="1:11" s="103" customFormat="1" ht="15" customHeight="1">
      <c r="A114" s="246"/>
      <c r="B114" s="246"/>
      <c r="C114" s="247"/>
      <c r="E114" s="320" t="s">
        <v>956</v>
      </c>
      <c r="F114" s="321">
        <v>0.5</v>
      </c>
      <c r="G114" s="320" t="s">
        <v>26</v>
      </c>
      <c r="I114" s="210"/>
      <c r="K114" s="253"/>
    </row>
    <row r="115" spans="1:11" s="103" customFormat="1" ht="15" customHeight="1">
      <c r="A115" s="246"/>
      <c r="B115" s="246"/>
      <c r="C115" s="247"/>
      <c r="E115" s="657" t="str">
        <f xml:space="preserve"> Scenarios!B$32</f>
        <v>Excess Profits Tax applied (1 = yes)</v>
      </c>
      <c r="F115" s="657">
        <f xml:space="preserve"> Scenarios!C$32</f>
        <v>1</v>
      </c>
      <c r="G115" s="657" t="str">
        <f xml:space="preserve"> Scenarios!D$32</f>
        <v>flag</v>
      </c>
      <c r="I115" s="210"/>
      <c r="K115" s="253"/>
    </row>
    <row r="116" spans="1:11" s="103" customFormat="1" ht="15" customHeight="1">
      <c r="A116" s="246"/>
      <c r="B116" s="246"/>
      <c r="C116" s="247"/>
      <c r="E116" s="657" t="str">
        <f xml:space="preserve"> Scenarios!B$33</f>
        <v>EPT: Apply inflation to FS prices and Operating Surplus</v>
      </c>
      <c r="F116" s="758" t="str">
        <f xml:space="preserve"> Scenarios!C$33</f>
        <v>no</v>
      </c>
      <c r="G116" s="657" t="str">
        <f xml:space="preserve"> Scenarios!D$33</f>
        <v>selected</v>
      </c>
      <c r="I116" s="210"/>
      <c r="K116" s="253"/>
    </row>
    <row r="117" spans="1:11" s="103" customFormat="1" ht="15" customHeight="1">
      <c r="A117" s="246"/>
      <c r="B117" s="246"/>
      <c r="C117" s="247"/>
      <c r="E117" s="136" t="s">
        <v>1114</v>
      </c>
      <c r="F117" s="824">
        <v>2019</v>
      </c>
      <c r="G117" s="136" t="s">
        <v>62</v>
      </c>
      <c r="I117" s="210"/>
      <c r="K117" s="253"/>
    </row>
    <row r="118" spans="1:11" s="103" customFormat="1" ht="15" customHeight="1">
      <c r="A118" s="246"/>
      <c r="B118" s="246"/>
      <c r="C118" s="247"/>
      <c r="E118" s="320"/>
      <c r="F118" s="724"/>
      <c r="G118" s="320"/>
      <c r="I118" s="210"/>
      <c r="K118" s="253"/>
    </row>
    <row r="119" spans="1:11" s="103" customFormat="1" ht="15" customHeight="1">
      <c r="A119" s="246"/>
      <c r="B119" s="516" t="s">
        <v>1209</v>
      </c>
      <c r="C119" s="247"/>
      <c r="E119" s="320"/>
      <c r="F119" s="724"/>
      <c r="G119" s="320"/>
      <c r="I119" s="210"/>
      <c r="K119" s="253"/>
    </row>
    <row r="120" spans="1:11" s="103" customFormat="1" ht="15" customHeight="1">
      <c r="A120" s="246"/>
      <c r="B120" s="246"/>
      <c r="C120" s="247"/>
      <c r="E120" s="799" t="s">
        <v>1094</v>
      </c>
      <c r="F120" s="800">
        <v>3.0000000000000001E-3</v>
      </c>
      <c r="G120" s="136" t="s">
        <v>1095</v>
      </c>
      <c r="I120" s="210"/>
      <c r="K120" s="253"/>
    </row>
    <row r="121" spans="1:11" s="103" customFormat="1" ht="15" customHeight="1">
      <c r="A121" s="246"/>
      <c r="B121" s="246"/>
      <c r="C121" s="247"/>
      <c r="E121" s="320"/>
      <c r="F121" s="724"/>
      <c r="G121" s="320"/>
      <c r="I121" s="210"/>
      <c r="K121" s="253"/>
    </row>
    <row r="122" spans="1:11" s="103" customFormat="1" ht="15" customHeight="1">
      <c r="A122" s="246"/>
      <c r="B122" s="516" t="s">
        <v>1122</v>
      </c>
      <c r="C122" s="247"/>
      <c r="E122" s="320"/>
      <c r="F122" s="724"/>
      <c r="G122" s="320"/>
      <c r="I122" s="210"/>
      <c r="K122" s="253"/>
    </row>
    <row r="123" spans="1:11" s="103" customFormat="1" ht="15" customHeight="1">
      <c r="A123" s="246"/>
      <c r="B123" s="246"/>
      <c r="C123" s="247"/>
      <c r="E123" s="410" t="str">
        <f xml:space="preserve"> Scenarios!B$31</f>
        <v>Management fees added to operating costs</v>
      </c>
      <c r="F123" s="410">
        <f xml:space="preserve"> Scenarios!C$31</f>
        <v>0</v>
      </c>
      <c r="G123" s="410" t="str">
        <f xml:space="preserve"> Scenarios!D$31</f>
        <v>%</v>
      </c>
      <c r="I123" s="210"/>
      <c r="K123" s="253"/>
    </row>
    <row r="124" spans="1:11" s="103" customFormat="1" ht="15" customHeight="1">
      <c r="A124" s="246"/>
      <c r="B124" s="246"/>
      <c r="C124" s="247"/>
      <c r="E124" s="320"/>
      <c r="F124" s="724"/>
      <c r="G124" s="320"/>
      <c r="I124" s="210"/>
      <c r="K124" s="253"/>
    </row>
    <row r="125" spans="1:11" s="283" customFormat="1" ht="15" customHeight="1">
      <c r="A125" s="516"/>
      <c r="B125" s="516" t="s">
        <v>871</v>
      </c>
      <c r="C125" s="282"/>
      <c r="E125" s="200"/>
      <c r="I125" s="520"/>
      <c r="K125" s="412"/>
    </row>
    <row r="126" spans="1:11" s="103" customFormat="1" ht="15" customHeight="1">
      <c r="A126" s="246"/>
      <c r="B126" s="246"/>
      <c r="C126" s="247"/>
      <c r="E126" t="s">
        <v>877</v>
      </c>
      <c r="F126" s="795">
        <v>0.05</v>
      </c>
      <c r="G126" t="s">
        <v>26</v>
      </c>
      <c r="I126" s="210"/>
      <c r="K126" s="253"/>
    </row>
    <row r="127" spans="1:11" s="103" customFormat="1" ht="15" customHeight="1">
      <c r="A127" s="246"/>
      <c r="B127" s="246"/>
      <c r="C127" s="247"/>
      <c r="E127" s="658" t="str">
        <f xml:space="preserve"> Scenarios!B$35</f>
        <v>Include Import Duties in forecast (1 = yes)</v>
      </c>
      <c r="F127" s="658">
        <f xml:space="preserve"> Scenarios!C$35</f>
        <v>1</v>
      </c>
      <c r="G127" s="658" t="str">
        <f xml:space="preserve"> Scenarios!D$35</f>
        <v>flag</v>
      </c>
      <c r="I127" s="210"/>
      <c r="K127" s="253"/>
    </row>
    <row r="128" spans="1:11" s="103" customFormat="1" ht="15" customHeight="1">
      <c r="A128" s="246"/>
      <c r="B128" s="246"/>
      <c r="C128" s="247"/>
      <c r="E128" s="308"/>
      <c r="F128" s="18"/>
      <c r="G128" s="18"/>
      <c r="I128" s="210"/>
      <c r="K128" s="253"/>
    </row>
    <row r="129" spans="1:11" s="103" customFormat="1" ht="15" customHeight="1">
      <c r="A129" s="246"/>
      <c r="B129" s="516" t="s">
        <v>821</v>
      </c>
      <c r="C129" s="247"/>
      <c r="E129" s="308"/>
      <c r="F129" s="18"/>
      <c r="G129" s="18"/>
      <c r="I129" s="210"/>
      <c r="K129" s="253"/>
    </row>
    <row r="130" spans="1:11" s="103" customFormat="1" ht="15" customHeight="1">
      <c r="A130" s="246"/>
      <c r="B130" s="516"/>
      <c r="C130" s="247"/>
      <c r="E130" s="425" t="str">
        <f xml:space="preserve"> Scenarios!B$36</f>
        <v>Interest withholding tax</v>
      </c>
      <c r="F130" s="425">
        <f xml:space="preserve"> Scenarios!C$36</f>
        <v>0</v>
      </c>
      <c r="G130" s="425" t="str">
        <f xml:space="preserve"> Scenarios!D$36</f>
        <v>%</v>
      </c>
      <c r="H130" s="202"/>
      <c r="I130" s="519" t="s">
        <v>753</v>
      </c>
      <c r="K130" s="253"/>
    </row>
    <row r="131" spans="1:11" s="103" customFormat="1" ht="15" customHeight="1">
      <c r="A131" s="246"/>
      <c r="B131" s="246"/>
      <c r="C131" s="247"/>
      <c r="E131" s="425" t="str">
        <f xml:space="preserve"> Scenarios!B$37</f>
        <v>Dividend withholding tax</v>
      </c>
      <c r="F131" s="425">
        <f xml:space="preserve"> Scenarios!C$37</f>
        <v>0.1</v>
      </c>
      <c r="G131" s="425" t="str">
        <f xml:space="preserve"> Scenarios!D$37</f>
        <v>%</v>
      </c>
      <c r="I131" s="210"/>
      <c r="K131" s="253"/>
    </row>
    <row r="132" spans="1:11" s="103" customFormat="1" ht="15" customHeight="1">
      <c r="A132" s="246"/>
      <c r="B132" s="246"/>
      <c r="C132" s="247"/>
      <c r="E132" s="791" t="s">
        <v>1325</v>
      </c>
      <c r="F132" s="791">
        <v>0.05</v>
      </c>
      <c r="G132" s="791" t="s">
        <v>26</v>
      </c>
      <c r="I132" s="210"/>
      <c r="K132" s="253"/>
    </row>
    <row r="133" spans="1:11" s="103" customFormat="1" ht="15" customHeight="1">
      <c r="A133" s="246"/>
      <c r="B133" s="516"/>
      <c r="C133" s="247"/>
      <c r="E133" s="751" t="str">
        <f xml:space="preserve"> Scenarios!B$39</f>
        <v>WHT rate non-resident services</v>
      </c>
      <c r="F133" s="751">
        <f xml:space="preserve"> Scenarios!C$39</f>
        <v>0.14000000000000001</v>
      </c>
      <c r="G133" s="751" t="str">
        <f xml:space="preserve"> Scenarios!D$39</f>
        <v>%</v>
      </c>
      <c r="I133" s="210"/>
      <c r="K133" s="253"/>
    </row>
    <row r="134" spans="1:11" s="103" customFormat="1" ht="15" customHeight="1">
      <c r="A134" s="246"/>
      <c r="B134" s="516"/>
      <c r="C134" s="247"/>
      <c r="E134" s="308"/>
      <c r="F134" s="18"/>
      <c r="G134" s="18"/>
      <c r="I134" s="210"/>
      <c r="K134" s="253"/>
    </row>
    <row r="135" spans="1:11" s="103" customFormat="1" ht="15" customHeight="1">
      <c r="A135" s="246"/>
      <c r="B135" s="516" t="s">
        <v>897</v>
      </c>
      <c r="C135" s="247"/>
      <c r="E135" s="308"/>
      <c r="F135" s="18"/>
      <c r="G135" s="18"/>
      <c r="I135" s="210"/>
      <c r="K135" s="253"/>
    </row>
    <row r="136" spans="1:11" s="103" customFormat="1" ht="15" customHeight="1">
      <c r="A136" s="246"/>
      <c r="B136" s="516"/>
      <c r="C136" s="247"/>
      <c r="E136" s="308" t="s">
        <v>898</v>
      </c>
      <c r="F136" s="137">
        <v>0.04</v>
      </c>
      <c r="G136" s="18" t="s">
        <v>899</v>
      </c>
      <c r="I136" s="210"/>
      <c r="K136" s="253"/>
    </row>
    <row r="137" spans="1:11" s="103" customFormat="1" ht="15" customHeight="1">
      <c r="A137" s="246"/>
      <c r="B137" s="516"/>
      <c r="C137" s="247"/>
      <c r="E137" s="658" t="str">
        <f xml:space="preserve"> Scenarios!B$40</f>
        <v>Include Payroll taxes in forecast (1 = yes)</v>
      </c>
      <c r="F137" s="658">
        <f xml:space="preserve"> Scenarios!C$40</f>
        <v>1</v>
      </c>
      <c r="G137" s="658" t="str">
        <f xml:space="preserve"> Scenarios!D$40</f>
        <v>flag</v>
      </c>
      <c r="I137" s="210"/>
      <c r="K137" s="253"/>
    </row>
    <row r="138" spans="1:11" s="103" customFormat="1" ht="15" customHeight="1">
      <c r="A138" s="246"/>
      <c r="B138" s="516"/>
      <c r="C138" s="247"/>
      <c r="E138" s="308"/>
      <c r="F138" s="18"/>
      <c r="G138" s="18"/>
      <c r="I138" s="210"/>
      <c r="K138" s="253"/>
    </row>
    <row r="139" spans="1:11" s="103" customFormat="1" ht="15" customHeight="1">
      <c r="A139" s="246"/>
      <c r="B139" s="516" t="s">
        <v>819</v>
      </c>
      <c r="C139" s="247"/>
      <c r="E139" s="308"/>
      <c r="F139" s="18"/>
      <c r="G139" s="18"/>
      <c r="I139" s="210"/>
      <c r="K139" s="253"/>
    </row>
    <row r="140" spans="1:11" s="103" customFormat="1" ht="15" customHeight="1">
      <c r="A140" s="246"/>
      <c r="B140" s="246"/>
      <c r="C140" s="247"/>
      <c r="E140" s="442" t="s">
        <v>1241</v>
      </c>
      <c r="F140" s="254">
        <v>662.76</v>
      </c>
      <c r="G140" s="103" t="s">
        <v>29</v>
      </c>
      <c r="I140" s="210"/>
      <c r="K140" s="253"/>
    </row>
    <row r="141" spans="1:11" s="103" customFormat="1" ht="15" customHeight="1">
      <c r="A141" s="246"/>
      <c r="B141" s="246"/>
      <c r="C141" s="247"/>
      <c r="E141" s="442" t="s">
        <v>1242</v>
      </c>
      <c r="F141" s="792">
        <v>433.5</v>
      </c>
      <c r="G141" s="103" t="s">
        <v>29</v>
      </c>
      <c r="I141" s="210"/>
      <c r="K141" s="253"/>
    </row>
    <row r="142" spans="1:11" s="103" customFormat="1" ht="15" customHeight="1">
      <c r="A142" s="246"/>
      <c r="B142" s="516"/>
      <c r="C142" s="247"/>
      <c r="E142" s="308"/>
      <c r="F142" s="18"/>
      <c r="G142" s="18"/>
      <c r="I142" s="210"/>
      <c r="K142" s="253"/>
    </row>
    <row r="143" spans="1:11" s="103" customFormat="1" ht="15" customHeight="1">
      <c r="A143" s="246"/>
      <c r="B143" s="516" t="s">
        <v>1331</v>
      </c>
      <c r="C143" s="247"/>
      <c r="E143" s="308"/>
      <c r="F143" s="18"/>
      <c r="G143" s="18"/>
      <c r="I143" s="210"/>
      <c r="K143" s="253"/>
    </row>
    <row r="144" spans="1:11" s="103" customFormat="1" ht="15" customHeight="1">
      <c r="A144" s="246"/>
      <c r="B144" s="246"/>
      <c r="C144" s="247"/>
      <c r="E144" s="442" t="s">
        <v>1332</v>
      </c>
      <c r="F144" s="254">
        <v>55</v>
      </c>
      <c r="G144" s="103" t="s">
        <v>29</v>
      </c>
      <c r="I144" s="210"/>
      <c r="K144" s="253"/>
    </row>
    <row r="145" spans="1:11" s="103" customFormat="1" ht="15" customHeight="1">
      <c r="A145" s="246"/>
      <c r="B145" s="516"/>
      <c r="C145" s="247"/>
      <c r="E145" s="308"/>
      <c r="F145" s="18"/>
      <c r="G145" s="18"/>
      <c r="I145" s="210"/>
      <c r="K145" s="253"/>
    </row>
    <row r="146" spans="1:11" s="103" customFormat="1" ht="15" customHeight="1">
      <c r="A146" s="246"/>
      <c r="B146" s="516"/>
      <c r="C146" s="247"/>
      <c r="E146" s="308"/>
      <c r="F146" s="18"/>
      <c r="G146" s="18"/>
      <c r="I146" s="210"/>
      <c r="K146" s="253"/>
    </row>
    <row r="147" spans="1:11" s="103" customFormat="1" ht="15" customHeight="1">
      <c r="A147" s="246"/>
      <c r="B147" s="516"/>
      <c r="C147" s="247"/>
      <c r="E147" s="308"/>
      <c r="F147" s="18"/>
      <c r="G147" s="18"/>
      <c r="I147" s="210"/>
      <c r="K147" s="253"/>
    </row>
    <row r="148" spans="1:11" s="103" customFormat="1" ht="15" customHeight="1">
      <c r="A148" s="246"/>
      <c r="B148" s="516"/>
      <c r="C148" s="247"/>
      <c r="E148" s="308"/>
      <c r="F148" s="18"/>
      <c r="G148" s="18"/>
      <c r="I148" s="210"/>
      <c r="K148" s="253"/>
    </row>
    <row r="149" spans="1:11" s="103" customFormat="1" ht="15" customHeight="1">
      <c r="A149" s="246"/>
      <c r="B149" s="246"/>
      <c r="C149" s="247"/>
      <c r="E149" s="98" t="s">
        <v>1108</v>
      </c>
      <c r="F149" s="321">
        <v>7.0000000000000007E-2</v>
      </c>
      <c r="G149" s="32" t="s">
        <v>26</v>
      </c>
      <c r="I149" s="210"/>
      <c r="K149" s="253"/>
    </row>
    <row r="150" spans="1:11" s="103" customFormat="1" ht="15" customHeight="1">
      <c r="A150" s="246"/>
      <c r="B150" s="246"/>
      <c r="C150" s="247"/>
      <c r="E150" s="98" t="s">
        <v>766</v>
      </c>
      <c r="F150" s="392" t="s">
        <v>674</v>
      </c>
      <c r="G150" s="32" t="s">
        <v>26</v>
      </c>
      <c r="I150" s="210"/>
      <c r="K150" s="253"/>
    </row>
    <row r="151" spans="1:11" s="103" customFormat="1" ht="15" customHeight="1">
      <c r="A151" s="246"/>
      <c r="B151" s="246"/>
      <c r="C151" s="247"/>
      <c r="E151" s="98" t="s">
        <v>675</v>
      </c>
      <c r="F151" s="321">
        <v>0.06</v>
      </c>
      <c r="G151" s="32" t="s">
        <v>26</v>
      </c>
      <c r="I151" s="210"/>
      <c r="K151" s="253"/>
    </row>
    <row r="152" spans="1:11" s="103" customFormat="1" ht="15" customHeight="1">
      <c r="A152" s="246"/>
      <c r="B152" s="246"/>
      <c r="C152" s="247"/>
      <c r="E152" s="308"/>
      <c r="F152" s="18"/>
      <c r="G152" s="18"/>
      <c r="I152" s="210"/>
      <c r="K152" s="253"/>
    </row>
    <row r="153" spans="1:11" s="103" customFormat="1" ht="15" customHeight="1">
      <c r="A153" s="246"/>
      <c r="B153" s="246"/>
      <c r="C153" s="247"/>
      <c r="E153" s="98" t="s">
        <v>765</v>
      </c>
      <c r="F153" s="327">
        <v>2018</v>
      </c>
      <c r="G153" s="98" t="s">
        <v>62</v>
      </c>
      <c r="I153" s="210"/>
      <c r="K153" s="253"/>
    </row>
    <row r="154" spans="1:11" s="103" customFormat="1" ht="15" customHeight="1">
      <c r="A154" s="246"/>
      <c r="B154" s="246"/>
      <c r="C154" s="247"/>
      <c r="E154" s="98" t="s">
        <v>764</v>
      </c>
      <c r="F154" s="327">
        <v>2030</v>
      </c>
      <c r="G154" s="98" t="s">
        <v>62</v>
      </c>
      <c r="I154" s="210"/>
      <c r="K154" s="253"/>
    </row>
    <row r="155" spans="1:11" s="103" customFormat="1" ht="15" customHeight="1">
      <c r="A155" s="246"/>
      <c r="B155" s="246"/>
      <c r="C155" s="247"/>
      <c r="E155" s="98"/>
      <c r="F155" s="410"/>
      <c r="G155" s="98"/>
      <c r="I155" s="210"/>
      <c r="K155" s="253"/>
    </row>
    <row r="156" spans="1:11" s="103" customFormat="1" ht="15" customHeight="1">
      <c r="A156" s="246"/>
      <c r="B156" s="246"/>
      <c r="C156" s="247"/>
      <c r="E156" s="202" t="s">
        <v>1109</v>
      </c>
      <c r="F156" s="126">
        <v>0.03</v>
      </c>
      <c r="G156" s="202" t="s">
        <v>26</v>
      </c>
      <c r="H156" s="202"/>
      <c r="I156" s="202" t="s">
        <v>131</v>
      </c>
      <c r="K156" s="253"/>
    </row>
    <row r="157" spans="1:11" s="103" customFormat="1" ht="15" customHeight="1">
      <c r="A157" s="246"/>
      <c r="B157" s="246"/>
      <c r="C157" s="247"/>
      <c r="E157" s="202" t="s">
        <v>1111</v>
      </c>
      <c r="F157" s="206">
        <f>F149</f>
        <v>7.0000000000000007E-2</v>
      </c>
      <c r="G157" s="202" t="s">
        <v>26</v>
      </c>
      <c r="H157" s="202"/>
      <c r="I157" s="202"/>
      <c r="K157" s="253"/>
    </row>
    <row r="158" spans="1:11" s="103" customFormat="1" ht="15" customHeight="1">
      <c r="A158" s="246"/>
      <c r="B158" s="246"/>
      <c r="C158" s="247"/>
      <c r="E158" s="202"/>
      <c r="F158" s="206"/>
      <c r="G158" s="202"/>
      <c r="H158" s="202"/>
      <c r="I158" s="202"/>
      <c r="K158" s="253"/>
    </row>
    <row r="159" spans="1:11" s="283" customFormat="1" ht="15" customHeight="1">
      <c r="A159" s="516"/>
      <c r="B159" s="516"/>
      <c r="C159" s="282"/>
      <c r="E159" s="206" t="s">
        <v>1110</v>
      </c>
      <c r="F159" s="126">
        <v>0.04</v>
      </c>
      <c r="G159" s="206" t="s">
        <v>26</v>
      </c>
      <c r="H159" s="202"/>
      <c r="I159" s="202"/>
      <c r="K159" s="412"/>
    </row>
    <row r="160" spans="1:11" s="103" customFormat="1" ht="15" customHeight="1">
      <c r="A160" s="246"/>
      <c r="B160" s="246"/>
      <c r="C160" s="247"/>
      <c r="E160" s="202"/>
      <c r="F160" s="206"/>
      <c r="G160" s="202"/>
      <c r="H160" s="202"/>
      <c r="I160" s="202"/>
      <c r="K160" s="253"/>
    </row>
    <row r="161" spans="1:11" s="103" customFormat="1" ht="15" customHeight="1">
      <c r="A161" s="246"/>
      <c r="B161" s="246"/>
      <c r="C161" s="247"/>
      <c r="E161" s="658" t="str">
        <f xml:space="preserve"> Scenarios!B$43</f>
        <v>Include KCC debt interest (1 = yes)</v>
      </c>
      <c r="F161" s="658">
        <f xml:space="preserve"> Scenarios!C$43</f>
        <v>1</v>
      </c>
      <c r="G161" s="658" t="str">
        <f xml:space="preserve"> Scenarios!D$43</f>
        <v>flag</v>
      </c>
      <c r="H161" s="202"/>
      <c r="I161" s="202"/>
      <c r="K161" s="253"/>
    </row>
    <row r="162" spans="1:11" s="103" customFormat="1" ht="15" customHeight="1">
      <c r="A162" s="246"/>
      <c r="B162" s="246"/>
      <c r="C162" s="247"/>
      <c r="E162" s="658"/>
      <c r="F162" s="658"/>
      <c r="G162" s="658"/>
      <c r="H162" s="202"/>
      <c r="I162" s="202"/>
      <c r="K162" s="253"/>
    </row>
    <row r="163" spans="1:11" s="103" customFormat="1" ht="15" customHeight="1">
      <c r="A163" s="246"/>
      <c r="B163" s="246"/>
      <c r="C163" s="247"/>
      <c r="E163" s="425" t="str">
        <f xml:space="preserve"> Scenarios!B$34</f>
        <v>Base case or alternative debt interest rates</v>
      </c>
      <c r="F163" s="662" t="str">
        <f xml:space="preserve"> Scenarios!C$34</f>
        <v>Computed</v>
      </c>
      <c r="G163" s="425" t="str">
        <f xml:space="preserve"> Scenarios!D$34</f>
        <v>selected</v>
      </c>
      <c r="H163" s="202"/>
      <c r="I163" s="202"/>
      <c r="K163" s="253"/>
    </row>
    <row r="164" spans="1:11" s="103" customFormat="1" ht="15" customHeight="1">
      <c r="A164" s="246"/>
      <c r="B164" s="246"/>
      <c r="C164" s="247"/>
      <c r="E164" s="658"/>
      <c r="F164"/>
      <c r="G164" s="658"/>
      <c r="H164" s="202"/>
      <c r="I164" s="202"/>
      <c r="K164" s="253"/>
    </row>
    <row r="165" spans="1:11" s="103" customFormat="1" ht="15" customHeight="1">
      <c r="A165" s="246"/>
      <c r="B165" s="246"/>
      <c r="C165" s="247"/>
      <c r="E165" s="202" t="s">
        <v>757</v>
      </c>
      <c r="F165" s="521" t="s">
        <v>755</v>
      </c>
      <c r="G165" s="202" t="s">
        <v>622</v>
      </c>
      <c r="H165" s="283"/>
      <c r="I165" s="520"/>
      <c r="K165" s="253"/>
    </row>
    <row r="166" spans="1:11" ht="15" customHeight="1">
      <c r="E166" s="98"/>
      <c r="F166" s="410"/>
      <c r="G166" s="410"/>
    </row>
    <row r="167" spans="1:11" ht="15" customHeight="1">
      <c r="B167" s="16" t="s">
        <v>206</v>
      </c>
      <c r="E167" s="98"/>
      <c r="F167" s="410"/>
      <c r="G167" s="410"/>
    </row>
    <row r="168" spans="1:11" s="103" customFormat="1" ht="15" customHeight="1">
      <c r="A168" s="246"/>
      <c r="B168" s="246"/>
      <c r="C168" s="247"/>
      <c r="E168" s="62" t="s">
        <v>126</v>
      </c>
      <c r="F168" s="126">
        <v>0.05</v>
      </c>
      <c r="G168" s="150" t="s">
        <v>26</v>
      </c>
      <c r="I168" s="210"/>
      <c r="K168" s="253"/>
    </row>
    <row r="169" spans="1:11" s="103" customFormat="1" ht="15" customHeight="1">
      <c r="A169" s="246"/>
      <c r="B169" s="246"/>
      <c r="C169" s="247"/>
      <c r="E169" s="8" t="s">
        <v>1298</v>
      </c>
      <c r="F169" s="877">
        <v>2018</v>
      </c>
      <c r="G169" s="136" t="s">
        <v>62</v>
      </c>
      <c r="I169" s="210"/>
      <c r="K169" s="253"/>
    </row>
    <row r="170" spans="1:11" s="103" customFormat="1" ht="15" customHeight="1">
      <c r="A170" s="246"/>
      <c r="B170" s="246"/>
      <c r="C170" s="247"/>
      <c r="E170" s="8" t="s">
        <v>1297</v>
      </c>
      <c r="F170" s="205">
        <v>0.05</v>
      </c>
      <c r="G170" s="136" t="s">
        <v>26</v>
      </c>
      <c r="I170" s="210"/>
      <c r="K170" s="253"/>
    </row>
    <row r="171" spans="1:11" s="103" customFormat="1" ht="15" customHeight="1">
      <c r="A171" s="246"/>
      <c r="B171" s="246"/>
      <c r="C171" s="247"/>
      <c r="E171" s="8"/>
      <c r="F171" s="205"/>
      <c r="G171" s="136"/>
      <c r="I171" s="210"/>
      <c r="K171" s="253"/>
    </row>
    <row r="172" spans="1:11" s="103" customFormat="1" ht="15" customHeight="1">
      <c r="A172" s="246"/>
      <c r="B172" s="246"/>
      <c r="C172" s="247"/>
      <c r="E172" s="62" t="s">
        <v>703</v>
      </c>
      <c r="F172" s="126">
        <v>1</v>
      </c>
      <c r="G172" s="150" t="s">
        <v>26</v>
      </c>
      <c r="K172" s="253"/>
    </row>
    <row r="173" spans="1:11" s="103" customFormat="1" ht="15" customHeight="1">
      <c r="A173" s="246"/>
      <c r="B173" s="246"/>
      <c r="C173" s="247"/>
      <c r="E173" s="62" t="s">
        <v>915</v>
      </c>
      <c r="F173" s="602">
        <v>25</v>
      </c>
      <c r="G173" s="150" t="s">
        <v>657</v>
      </c>
      <c r="H173"/>
      <c r="K173" s="253"/>
    </row>
    <row r="174" spans="1:11" s="103" customFormat="1" ht="15" customHeight="1">
      <c r="A174" s="246"/>
      <c r="B174" s="246"/>
      <c r="C174" s="247"/>
      <c r="E174" s="70" t="str">
        <f xml:space="preserve"> Kamoto_2011TR!E$179</f>
        <v>Opening balance Gecamines loan (from 2011 TR emulation)</v>
      </c>
      <c r="F174" s="70">
        <f xml:space="preserve"> Kamoto_2011TR!F$179</f>
        <v>700</v>
      </c>
      <c r="G174" s="70" t="str">
        <f xml:space="preserve"> Kamoto_2011TR!G$179</f>
        <v>$ mn</v>
      </c>
      <c r="H174"/>
      <c r="K174" s="253"/>
    </row>
    <row r="175" spans="1:11" ht="15" customHeight="1">
      <c r="E175" s="62" t="s">
        <v>132</v>
      </c>
      <c r="F175" s="125">
        <v>2011</v>
      </c>
      <c r="G175" s="150" t="s">
        <v>62</v>
      </c>
      <c r="H175"/>
      <c r="I175" s="18"/>
    </row>
    <row r="176" spans="1:11" ht="15" customHeight="1">
      <c r="E176" s="98"/>
      <c r="F176" s="410"/>
      <c r="G176" s="410"/>
      <c r="H176"/>
      <c r="I176" s="18"/>
    </row>
    <row r="177" spans="1:11" s="103" customFormat="1" ht="15" customHeight="1">
      <c r="A177" s="246"/>
      <c r="B177" s="246"/>
      <c r="C177" s="247"/>
      <c r="E177" s="202" t="s">
        <v>1112</v>
      </c>
      <c r="F177" s="126">
        <v>0.03</v>
      </c>
      <c r="G177" s="200" t="s">
        <v>26</v>
      </c>
      <c r="H177"/>
      <c r="I177" s="210"/>
      <c r="K177" s="253"/>
    </row>
    <row r="178" spans="1:11" s="103" customFormat="1" ht="15" customHeight="1">
      <c r="A178" s="246"/>
      <c r="B178" s="246"/>
      <c r="C178" s="247"/>
      <c r="E178" s="62"/>
      <c r="F178" s="410"/>
      <c r="G178" s="150"/>
      <c r="I178" s="210"/>
      <c r="K178" s="253"/>
    </row>
    <row r="179" spans="1:11" ht="15" customHeight="1">
      <c r="E179" s="417" t="str">
        <f xml:space="preserve"> Scenarios!B$41</f>
        <v>Apply opening balance on Gecamines loan</v>
      </c>
      <c r="F179" s="417">
        <f xml:space="preserve"> Scenarios!C$41</f>
        <v>1</v>
      </c>
      <c r="G179" s="417" t="str">
        <f xml:space="preserve"> Scenarios!D$41</f>
        <v>flag</v>
      </c>
    </row>
    <row r="180" spans="1:11" ht="15" customHeight="1">
      <c r="E180" s="417" t="str">
        <f xml:space="preserve"> Scenarios!B$42</f>
        <v>Apply interest on Gecamines loan</v>
      </c>
      <c r="F180" s="417">
        <f xml:space="preserve"> Scenarios!C$42</f>
        <v>1</v>
      </c>
      <c r="G180" s="417" t="str">
        <f xml:space="preserve"> Scenarios!D$42</f>
        <v>flag</v>
      </c>
    </row>
    <row r="181" spans="1:11" ht="15" customHeight="1">
      <c r="E181" s="98"/>
      <c r="F181" s="410"/>
      <c r="G181" s="410"/>
    </row>
    <row r="183" spans="1:11" s="21" customFormat="1" ht="15" customHeight="1">
      <c r="A183" s="49" t="s">
        <v>360</v>
      </c>
      <c r="B183" s="49"/>
      <c r="C183" s="50"/>
      <c r="D183" s="51"/>
      <c r="E183" s="49"/>
      <c r="F183" s="49"/>
      <c r="G183" s="49"/>
      <c r="H183" s="49"/>
      <c r="K183" s="45"/>
    </row>
    <row r="184" spans="1:11" ht="15" customHeight="1">
      <c r="D184" s="32"/>
      <c r="E184" s="32"/>
      <c r="F184" s="32"/>
      <c r="G184" s="32"/>
      <c r="H184" s="32"/>
      <c r="K184" s="45"/>
    </row>
    <row r="185" spans="1:11" ht="15" customHeight="1">
      <c r="D185" s="32"/>
      <c r="E185" s="32" t="s">
        <v>361</v>
      </c>
      <c r="F185" s="33">
        <v>1000</v>
      </c>
      <c r="G185" s="32" t="s">
        <v>362</v>
      </c>
      <c r="H185" s="32"/>
      <c r="K185" s="45"/>
    </row>
    <row r="186" spans="1:11" ht="15" customHeight="1">
      <c r="D186" s="32"/>
      <c r="E186" s="32"/>
      <c r="F186" s="32"/>
      <c r="G186" s="32"/>
      <c r="H186" s="32"/>
      <c r="K186" s="45"/>
    </row>
    <row r="187" spans="1:11" ht="15" customHeight="1">
      <c r="D187" s="32"/>
      <c r="E187" s="32" t="s">
        <v>363</v>
      </c>
      <c r="F187" s="33">
        <v>1000000</v>
      </c>
      <c r="G187" s="32" t="s">
        <v>364</v>
      </c>
      <c r="H187" s="32"/>
      <c r="K187" s="45"/>
    </row>
    <row r="188" spans="1:11" ht="15" customHeight="1">
      <c r="D188" s="32"/>
      <c r="E188" s="32"/>
      <c r="F188" s="32"/>
      <c r="G188" s="32"/>
      <c r="H188" s="32"/>
      <c r="K188" s="45"/>
    </row>
    <row r="189" spans="1:11" ht="15" customHeight="1">
      <c r="D189" s="32"/>
      <c r="E189" s="32" t="s">
        <v>365</v>
      </c>
      <c r="F189" s="219">
        <v>9.9999999999999995E-7</v>
      </c>
      <c r="G189" s="32" t="s">
        <v>366</v>
      </c>
      <c r="H189" s="32"/>
      <c r="K189" s="45"/>
    </row>
    <row r="190" spans="1:11" ht="15" customHeight="1">
      <c r="K190" s="45"/>
    </row>
    <row r="191" spans="1:11" ht="15" customHeight="1">
      <c r="E191" s="32" t="s">
        <v>367</v>
      </c>
      <c r="F191" s="219">
        <v>1E-3</v>
      </c>
      <c r="G191" s="32" t="s">
        <v>366</v>
      </c>
      <c r="H191" s="32"/>
      <c r="K191" s="45"/>
    </row>
    <row r="192" spans="1:11" ht="15" customHeight="1">
      <c r="K192" s="45"/>
    </row>
    <row r="193" spans="1:11" ht="15" customHeight="1">
      <c r="E193" s="35" t="s">
        <v>368</v>
      </c>
      <c r="F193" s="52">
        <v>1.0000000000000001E-5</v>
      </c>
      <c r="G193" s="35" t="s">
        <v>26</v>
      </c>
      <c r="H193" s="35"/>
      <c r="K193" s="45"/>
    </row>
    <row r="194" spans="1:11" ht="15" customHeight="1">
      <c r="F194" s="18" t="s">
        <v>369</v>
      </c>
      <c r="K194" s="45"/>
    </row>
    <row r="195" spans="1:11" ht="15" customHeight="1">
      <c r="E195" s="32" t="s">
        <v>370</v>
      </c>
      <c r="F195" s="33">
        <v>365</v>
      </c>
      <c r="G195" s="32" t="s">
        <v>371</v>
      </c>
      <c r="H195" s="32"/>
      <c r="K195" s="45"/>
    </row>
    <row r="196" spans="1:11" ht="15" customHeight="1">
      <c r="K196" s="45"/>
    </row>
    <row r="197" spans="1:11" ht="15" customHeight="1">
      <c r="E197" s="32" t="s">
        <v>372</v>
      </c>
      <c r="F197" s="24" t="s">
        <v>373</v>
      </c>
      <c r="G197" s="32" t="s">
        <v>374</v>
      </c>
      <c r="H197" s="32"/>
      <c r="K197" s="45"/>
    </row>
    <row r="198" spans="1:11" ht="15" customHeight="1">
      <c r="E198" s="32"/>
      <c r="F198" s="38"/>
      <c r="G198" s="32"/>
      <c r="H198" s="32"/>
      <c r="K198" s="45"/>
    </row>
    <row r="199" spans="1:11" ht="15" customHeight="1">
      <c r="E199" s="32" t="s">
        <v>375</v>
      </c>
      <c r="F199" s="24" t="s">
        <v>376</v>
      </c>
      <c r="G199" s="32" t="s">
        <v>374</v>
      </c>
      <c r="H199" s="32"/>
      <c r="K199" s="45"/>
    </row>
    <row r="200" spans="1:11" ht="15" customHeight="1">
      <c r="K200" s="45"/>
    </row>
    <row r="201" spans="1:11" ht="15" customHeight="1">
      <c r="E201" s="110" t="s">
        <v>226</v>
      </c>
      <c r="F201" s="527">
        <v>2204.62</v>
      </c>
      <c r="G201" s="110" t="s">
        <v>227</v>
      </c>
      <c r="K201" s="45"/>
    </row>
    <row r="202" spans="1:11" ht="15" customHeight="1">
      <c r="K202" s="45"/>
    </row>
    <row r="203" spans="1:11" s="233" customFormat="1" ht="15" customHeight="1">
      <c r="A203" s="231" t="s">
        <v>163</v>
      </c>
      <c r="B203" s="231"/>
      <c r="C203" s="232"/>
      <c r="I203" s="234"/>
      <c r="K203" s="243"/>
    </row>
  </sheetData>
  <conditionalFormatting sqref="F2">
    <cfRule type="cellIs" dxfId="69" priority="1" stopIfTrue="1" operator="notEqual">
      <formula>0</formula>
    </cfRule>
    <cfRule type="cellIs" dxfId="68" priority="2" stopIfTrue="1" operator="equal">
      <formula>""</formula>
    </cfRule>
  </conditionalFormatting>
  <conditionalFormatting sqref="F3">
    <cfRule type="cellIs" dxfId="67" priority="5" stopIfTrue="1" operator="notEqual">
      <formula>0</formula>
    </cfRule>
    <cfRule type="cellIs" dxfId="66" priority="6" stopIfTrue="1" operator="equal">
      <formula>""</formula>
    </cfRule>
  </conditionalFormatting>
  <conditionalFormatting sqref="L3:AV3">
    <cfRule type="cellIs" dxfId="65" priority="7" stopIfTrue="1" operator="equal">
      <formula>#REF!</formula>
    </cfRule>
    <cfRule type="cellIs" dxfId="64" priority="8" stopIfTrue="1" operator="equal">
      <formula>#REF!</formula>
    </cfRule>
    <cfRule type="cellIs" dxfId="63" priority="9" operator="equal">
      <formula>#REF!</formula>
    </cfRule>
    <cfRule type="cellIs" dxfId="62" priority="10" operator="equal">
      <formula>#REF!</formula>
    </cfRule>
  </conditionalFormatting>
  <conditionalFormatting sqref="M3:AV3">
    <cfRule type="cellIs" dxfId="61" priority="11" stopIfTrue="1" operator="equal">
      <formula>#REF!</formula>
    </cfRule>
    <cfRule type="cellIs" dxfId="60" priority="12" stopIfTrue="1" operator="equal">
      <formula>#REF!</formula>
    </cfRule>
  </conditionalFormatting>
  <dataValidations count="4">
    <dataValidation type="list" allowBlank="1" showInputMessage="1" showErrorMessage="1" sqref="G91 G66:G67">
      <formula1>$F$460:$F$461</formula1>
    </dataValidation>
    <dataValidation type="list" allowBlank="1" showInputMessage="1" showErrorMessage="1" sqref="F165">
      <formula1>$F$694:$F$695</formula1>
    </dataValidation>
    <dataValidation type="list" allowBlank="1" showInputMessage="1" showErrorMessage="1" sqref="F102 F116">
      <formula1>$F$56:$F$57</formula1>
    </dataValidation>
    <dataValidation type="list" allowBlank="1" showInputMessage="1" showErrorMessage="1" sqref="F124 F118:F119 F121:F122">
      <formula1>F$587:F$588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0.749992370372631"/>
  </sheetPr>
  <dimension ref="A1:BG330"/>
  <sheetViews>
    <sheetView zoomScaleNormal="100" workbookViewId="0">
      <pane xSplit="11" ySplit="4" topLeftCell="L5" activePane="bottomRight" state="frozen"/>
      <selection activeCell="L5" sqref="L5"/>
      <selection pane="topRight" activeCell="L5" sqref="L5"/>
      <selection pane="bottomLeft" activeCell="L5" sqref="L5"/>
      <selection pane="bottomRight" activeCell="L1" sqref="L1:L1048576"/>
    </sheetView>
  </sheetViews>
  <sheetFormatPr baseColWidth="10" defaultColWidth="0" defaultRowHeight="15" customHeight="1"/>
  <cols>
    <col min="1" max="2" width="1.296875" style="111" customWidth="1"/>
    <col min="3" max="3" width="1.296875" style="191" customWidth="1"/>
    <col min="4" max="4" width="1.296875" style="110" customWidth="1"/>
    <col min="5" max="5" width="50.69921875" style="110" customWidth="1"/>
    <col min="6" max="6" width="12.69921875" style="110" customWidth="1"/>
    <col min="7" max="7" width="20.69921875" style="110" customWidth="1"/>
    <col min="8" max="8" width="13.8984375" style="110" customWidth="1"/>
    <col min="9" max="9" width="13.296875" style="20" customWidth="1"/>
    <col min="10" max="10" width="12.69921875" style="110" customWidth="1" collapsed="1"/>
    <col min="11" max="11" width="1.59765625" style="123" customWidth="1"/>
    <col min="12" max="48" width="10.69921875" style="110" customWidth="1"/>
    <col min="49" max="57" width="11.69921875" style="110" hidden="1" customWidth="1"/>
    <col min="58" max="59" width="0" style="110" hidden="1" customWidth="1"/>
    <col min="60" max="16384" width="14.59765625" style="110" hidden="1"/>
  </cols>
  <sheetData>
    <row r="1" spans="1:48" s="187" customFormat="1" ht="26.25" customHeight="1">
      <c r="A1" s="483" t="str">
        <f ca="1" xml:space="preserve"> RIGHT(CELL("filename", $A$3), LEN(CELL("filename", $A$3)) - SEARCH("]", CELL("filename", $A$3)))</f>
        <v>Kamoto_2019TR</v>
      </c>
      <c r="B1" s="473"/>
      <c r="C1" s="474"/>
      <c r="F1" s="479"/>
      <c r="I1" s="210"/>
      <c r="K1" s="480"/>
    </row>
    <row r="2" spans="1:48" ht="15" customHeight="1">
      <c r="E2" s="110" t="s">
        <v>0</v>
      </c>
      <c r="F2" s="482">
        <f xml:space="preserve"> Track!$F$85</f>
        <v>0</v>
      </c>
      <c r="G2" s="22" t="s">
        <v>1</v>
      </c>
      <c r="H2" s="22"/>
      <c r="K2" s="161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168" t="s">
        <v>2</v>
      </c>
      <c r="H3" s="168"/>
      <c r="K3" s="161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166" t="s">
        <v>5</v>
      </c>
      <c r="G4" s="111" t="s">
        <v>6</v>
      </c>
      <c r="H4" s="111" t="s">
        <v>7</v>
      </c>
      <c r="I4" s="165" t="s">
        <v>8</v>
      </c>
      <c r="J4" s="27"/>
      <c r="K4" s="161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166"/>
      <c r="G5" s="111"/>
      <c r="H5" s="111"/>
      <c r="I5" s="165"/>
      <c r="J5" s="27"/>
      <c r="K5" s="161"/>
    </row>
    <row r="6" spans="1:48" s="160" customFormat="1" ht="15" customHeight="1">
      <c r="A6" s="164" t="s">
        <v>9</v>
      </c>
      <c r="B6" s="162"/>
      <c r="C6" s="192"/>
      <c r="D6" s="163"/>
      <c r="E6" s="162"/>
      <c r="F6" s="162"/>
      <c r="G6" s="162"/>
      <c r="H6" s="162"/>
    </row>
    <row r="7" spans="1:48" s="3" customFormat="1" ht="15" customHeight="1">
      <c r="B7" s="241"/>
      <c r="C7" s="62"/>
    </row>
    <row r="8" spans="1:48" s="3" customFormat="1" ht="15" customHeight="1">
      <c r="B8" s="241" t="s">
        <v>10</v>
      </c>
      <c r="C8" s="62"/>
    </row>
    <row r="9" spans="1:48" s="3" customFormat="1" ht="15" customHeight="1">
      <c r="B9" s="241"/>
      <c r="C9" s="62" t="s">
        <v>11</v>
      </c>
    </row>
    <row r="10" spans="1:48" s="3" customFormat="1" ht="15" customHeight="1">
      <c r="B10" s="241"/>
      <c r="C10" s="62"/>
      <c r="E10" s="106" t="s">
        <v>12</v>
      </c>
    </row>
    <row r="11" spans="1:48" s="3" customFormat="1" ht="15" customHeight="1">
      <c r="B11" s="241"/>
      <c r="C11" s="62"/>
      <c r="E11" s="70" t="str">
        <f xml:space="preserve"> InputsTS!E$175</f>
        <v>LME spot (NI 43 101 2019)</v>
      </c>
      <c r="F11" s="70">
        <f xml:space="preserve"> InputsTS!F$175</f>
        <v>0</v>
      </c>
      <c r="G11" s="70" t="str">
        <f xml:space="preserve"> InputsTS!G$175</f>
        <v>$ / tonne</v>
      </c>
      <c r="H11" s="70">
        <f xml:space="preserve"> InputsTS!H$175</f>
        <v>0</v>
      </c>
      <c r="I11" s="70" t="str">
        <f xml:space="preserve"> InputsTS!I$175</f>
        <v>XXIII</v>
      </c>
      <c r="J11" s="70">
        <f xml:space="preserve"> InputsTS!J$175</f>
        <v>0</v>
      </c>
      <c r="K11" s="70">
        <f xml:space="preserve"> InputsTS!K$175</f>
        <v>0</v>
      </c>
      <c r="L11" s="70">
        <f xml:space="preserve"> InputsTS!L$175</f>
        <v>0</v>
      </c>
      <c r="M11" s="70">
        <f xml:space="preserve"> InputsTS!M$175</f>
        <v>0</v>
      </c>
      <c r="N11" s="70">
        <f xml:space="preserve"> InputsTS!N$175</f>
        <v>0</v>
      </c>
      <c r="O11" s="70">
        <f xml:space="preserve"> InputsTS!O$175</f>
        <v>5199</v>
      </c>
      <c r="P11" s="70">
        <f xml:space="preserve"> InputsTS!P$175</f>
        <v>7558</v>
      </c>
      <c r="Q11" s="70">
        <f xml:space="preserve"> InputsTS!Q$175</f>
        <v>8826</v>
      </c>
      <c r="R11" s="70">
        <f xml:space="preserve"> InputsTS!R$175</f>
        <v>7953</v>
      </c>
      <c r="S11" s="70">
        <f xml:space="preserve"> InputsTS!S$175</f>
        <v>7349</v>
      </c>
      <c r="T11" s="70">
        <f xml:space="preserve"> InputsTS!T$175</f>
        <v>6830</v>
      </c>
      <c r="U11" s="70">
        <f xml:space="preserve"> InputsTS!U$175</f>
        <v>5493</v>
      </c>
      <c r="V11" s="70">
        <f xml:space="preserve"> InputsTS!V$175</f>
        <v>4870</v>
      </c>
      <c r="W11" s="70">
        <f xml:space="preserve"> InputsTS!W$175</f>
        <v>6200</v>
      </c>
      <c r="X11" s="70">
        <f xml:space="preserve"> InputsTS!X$175</f>
        <v>6645</v>
      </c>
      <c r="Y11" s="70">
        <f xml:space="preserve"> InputsTS!Y$175</f>
        <v>0</v>
      </c>
      <c r="Z11" s="70">
        <f xml:space="preserve"> InputsTS!Z$175</f>
        <v>0</v>
      </c>
      <c r="AA11" s="70">
        <f xml:space="preserve"> InputsTS!AA$175</f>
        <v>0</v>
      </c>
      <c r="AB11" s="70">
        <f xml:space="preserve"> InputsTS!AB$175</f>
        <v>0</v>
      </c>
      <c r="AC11" s="70">
        <f xml:space="preserve"> InputsTS!AC$175</f>
        <v>0</v>
      </c>
      <c r="AD11" s="70">
        <f xml:space="preserve"> InputsTS!AD$175</f>
        <v>0</v>
      </c>
      <c r="AE11" s="70">
        <f xml:space="preserve"> InputsTS!AE$175</f>
        <v>0</v>
      </c>
      <c r="AF11" s="70">
        <f xml:space="preserve"> InputsTS!AF$175</f>
        <v>0</v>
      </c>
      <c r="AG11" s="70">
        <f xml:space="preserve"> InputsTS!AG$175</f>
        <v>0</v>
      </c>
      <c r="AH11" s="70">
        <f xml:space="preserve"> InputsTS!AH$175</f>
        <v>0</v>
      </c>
      <c r="AI11" s="70">
        <f xml:space="preserve"> InputsTS!AI$175</f>
        <v>0</v>
      </c>
      <c r="AJ11" s="70">
        <f xml:space="preserve"> InputsTS!AJ$175</f>
        <v>0</v>
      </c>
      <c r="AK11" s="70">
        <f xml:space="preserve"> InputsTS!AK$175</f>
        <v>0</v>
      </c>
      <c r="AL11" s="70">
        <f xml:space="preserve"> InputsTS!AL$175</f>
        <v>0</v>
      </c>
      <c r="AM11" s="70">
        <f xml:space="preserve"> InputsTS!AM$175</f>
        <v>0</v>
      </c>
      <c r="AN11" s="70">
        <f xml:space="preserve"> InputsTS!AN$175</f>
        <v>0</v>
      </c>
      <c r="AO11" s="70">
        <f xml:space="preserve"> InputsTS!AO$175</f>
        <v>0</v>
      </c>
      <c r="AP11" s="70">
        <f xml:space="preserve"> InputsTS!AP$175</f>
        <v>0</v>
      </c>
      <c r="AQ11" s="70">
        <f xml:space="preserve"> InputsTS!AQ$175</f>
        <v>0</v>
      </c>
      <c r="AR11" s="70">
        <f xml:space="preserve"> InputsTS!AR$175</f>
        <v>0</v>
      </c>
      <c r="AS11" s="70">
        <f xml:space="preserve"> InputsTS!AS$175</f>
        <v>0</v>
      </c>
      <c r="AT11" s="70">
        <f xml:space="preserve"> InputsTS!AT$175</f>
        <v>0</v>
      </c>
      <c r="AU11" s="70">
        <f xml:space="preserve"> InputsTS!AU$175</f>
        <v>0</v>
      </c>
      <c r="AV11" s="70">
        <f xml:space="preserve"> InputsTS!AV$175</f>
        <v>0</v>
      </c>
    </row>
    <row r="12" spans="1:48" s="3" customFormat="1" ht="15" customHeight="1">
      <c r="B12" s="241"/>
      <c r="C12" s="62"/>
      <c r="E12" s="70" t="str">
        <f xml:space="preserve"> InputsTS!E$177</f>
        <v>KML Macroeconomic Assumptions (NI 43 101 2019)</v>
      </c>
      <c r="F12" s="70">
        <f xml:space="preserve"> InputsTS!F$177</f>
        <v>0</v>
      </c>
      <c r="G12" s="70" t="str">
        <f xml:space="preserve"> InputsTS!G$177</f>
        <v>$ / tonne</v>
      </c>
      <c r="H12" s="70">
        <f xml:space="preserve"> InputsTS!H$177</f>
        <v>0</v>
      </c>
      <c r="I12" s="70" t="str">
        <f xml:space="preserve"> InputsTS!I$177</f>
        <v>XXIII</v>
      </c>
      <c r="J12" s="70">
        <f xml:space="preserve"> InputsTS!J$177</f>
        <v>0</v>
      </c>
      <c r="K12" s="70">
        <f xml:space="preserve"> InputsTS!K$177</f>
        <v>0</v>
      </c>
      <c r="L12" s="70">
        <f xml:space="preserve"> InputsTS!L$177</f>
        <v>0</v>
      </c>
      <c r="M12" s="70">
        <f xml:space="preserve"> InputsTS!M$177</f>
        <v>0</v>
      </c>
      <c r="N12" s="70">
        <f xml:space="preserve"> InputsTS!N$177</f>
        <v>0</v>
      </c>
      <c r="O12" s="70">
        <f xml:space="preserve"> InputsTS!O$177</f>
        <v>0</v>
      </c>
      <c r="P12" s="70">
        <f xml:space="preserve"> InputsTS!P$177</f>
        <v>0</v>
      </c>
      <c r="Q12" s="70">
        <f xml:space="preserve"> InputsTS!Q$177</f>
        <v>0</v>
      </c>
      <c r="R12" s="70">
        <f xml:space="preserve"> InputsTS!R$177</f>
        <v>0</v>
      </c>
      <c r="S12" s="70">
        <f xml:space="preserve"> InputsTS!S$177</f>
        <v>0</v>
      </c>
      <c r="T12" s="70">
        <f xml:space="preserve"> InputsTS!T$177</f>
        <v>0</v>
      </c>
      <c r="U12" s="70">
        <f xml:space="preserve"> InputsTS!U$177</f>
        <v>0</v>
      </c>
      <c r="V12" s="70">
        <f xml:space="preserve"> InputsTS!V$177</f>
        <v>0</v>
      </c>
      <c r="W12" s="70">
        <f xml:space="preserve"> InputsTS!W$177</f>
        <v>0</v>
      </c>
      <c r="X12" s="70">
        <f xml:space="preserve"> InputsTS!X$177</f>
        <v>0</v>
      </c>
      <c r="Y12" s="70">
        <f xml:space="preserve"> InputsTS!Y$177</f>
        <v>6047</v>
      </c>
      <c r="Z12" s="70">
        <f xml:space="preserve"> InputsTS!Z$177</f>
        <v>6500</v>
      </c>
      <c r="AA12" s="70">
        <f xml:space="preserve"> InputsTS!AA$177</f>
        <v>6500</v>
      </c>
      <c r="AB12" s="70">
        <f xml:space="preserve"> InputsTS!AB$177</f>
        <v>6500</v>
      </c>
      <c r="AC12" s="70">
        <f xml:space="preserve"> InputsTS!AC$177</f>
        <v>6500</v>
      </c>
      <c r="AD12" s="70">
        <f xml:space="preserve"> InputsTS!AD$177</f>
        <v>6500</v>
      </c>
      <c r="AE12" s="70">
        <f xml:space="preserve"> InputsTS!AE$177</f>
        <v>6500</v>
      </c>
      <c r="AF12" s="70">
        <f xml:space="preserve"> InputsTS!AF$177</f>
        <v>6500</v>
      </c>
      <c r="AG12" s="70">
        <f xml:space="preserve"> InputsTS!AG$177</f>
        <v>6500</v>
      </c>
      <c r="AH12" s="70">
        <f xml:space="preserve"> InputsTS!AH$177</f>
        <v>6500</v>
      </c>
      <c r="AI12" s="70">
        <f xml:space="preserve"> InputsTS!AI$177</f>
        <v>0</v>
      </c>
      <c r="AJ12" s="70">
        <f xml:space="preserve"> InputsTS!AJ$177</f>
        <v>0</v>
      </c>
      <c r="AK12" s="70">
        <f xml:space="preserve"> InputsTS!AK$177</f>
        <v>0</v>
      </c>
      <c r="AL12" s="70">
        <f xml:space="preserve"> InputsTS!AL$177</f>
        <v>0</v>
      </c>
      <c r="AM12" s="70">
        <f xml:space="preserve"> InputsTS!AM$177</f>
        <v>0</v>
      </c>
      <c r="AN12" s="70">
        <f xml:space="preserve"> InputsTS!AN$177</f>
        <v>0</v>
      </c>
      <c r="AO12" s="70">
        <f xml:space="preserve"> InputsTS!AO$177</f>
        <v>0</v>
      </c>
      <c r="AP12" s="70">
        <f xml:space="preserve"> InputsTS!AP$177</f>
        <v>0</v>
      </c>
      <c r="AQ12" s="70">
        <f xml:space="preserve"> InputsTS!AQ$177</f>
        <v>0</v>
      </c>
      <c r="AR12" s="70">
        <f xml:space="preserve"> InputsTS!AR$177</f>
        <v>0</v>
      </c>
      <c r="AS12" s="70">
        <f xml:space="preserve"> InputsTS!AS$177</f>
        <v>0</v>
      </c>
      <c r="AT12" s="70">
        <f xml:space="preserve"> InputsTS!AT$177</f>
        <v>0</v>
      </c>
      <c r="AU12" s="70">
        <f xml:space="preserve"> InputsTS!AU$177</f>
        <v>0</v>
      </c>
      <c r="AV12" s="70">
        <f xml:space="preserve"> InputsTS!AV$177</f>
        <v>0</v>
      </c>
    </row>
    <row r="13" spans="1:48" s="62" customFormat="1" ht="15" customHeight="1">
      <c r="B13" s="203"/>
      <c r="E13" s="62" t="s">
        <v>13</v>
      </c>
      <c r="G13" s="62" t="s">
        <v>14</v>
      </c>
      <c r="L13" s="62">
        <f t="shared" ref="L13:AV13" si="0" xml:space="preserve"> IF(L11 &gt; 0, L11, IF(L12 &gt; 0, L12, K13))</f>
        <v>0</v>
      </c>
      <c r="M13" s="62">
        <f t="shared" si="0"/>
        <v>0</v>
      </c>
      <c r="N13" s="62">
        <f t="shared" si="0"/>
        <v>0</v>
      </c>
      <c r="O13" s="62">
        <f t="shared" si="0"/>
        <v>5199</v>
      </c>
      <c r="P13" s="62">
        <f xml:space="preserve"> IF(P11 &gt; 0, P11, IF(P12 &gt; 0, P12, O13))</f>
        <v>7558</v>
      </c>
      <c r="Q13" s="62">
        <f xml:space="preserve"> IF(Q11 &gt; 0, Q11, IF(Q12 &gt; 0, Q12, P13))</f>
        <v>8826</v>
      </c>
      <c r="R13" s="62">
        <f t="shared" si="0"/>
        <v>7953</v>
      </c>
      <c r="S13" s="62">
        <f t="shared" si="0"/>
        <v>7349</v>
      </c>
      <c r="T13" s="62">
        <f t="shared" si="0"/>
        <v>6830</v>
      </c>
      <c r="U13" s="62">
        <f t="shared" si="0"/>
        <v>5493</v>
      </c>
      <c r="V13" s="62">
        <f t="shared" si="0"/>
        <v>4870</v>
      </c>
      <c r="W13" s="62">
        <f t="shared" si="0"/>
        <v>6200</v>
      </c>
      <c r="X13" s="62">
        <f t="shared" si="0"/>
        <v>6645</v>
      </c>
      <c r="Y13" s="62">
        <f t="shared" si="0"/>
        <v>6047</v>
      </c>
      <c r="Z13" s="62">
        <f t="shared" si="0"/>
        <v>6500</v>
      </c>
      <c r="AA13" s="62">
        <f t="shared" si="0"/>
        <v>6500</v>
      </c>
      <c r="AB13" s="62">
        <f t="shared" si="0"/>
        <v>6500</v>
      </c>
      <c r="AC13" s="62">
        <f t="shared" si="0"/>
        <v>6500</v>
      </c>
      <c r="AD13" s="62">
        <f t="shared" si="0"/>
        <v>6500</v>
      </c>
      <c r="AE13" s="62">
        <f t="shared" si="0"/>
        <v>6500</v>
      </c>
      <c r="AF13" s="62">
        <f t="shared" si="0"/>
        <v>6500</v>
      </c>
      <c r="AG13" s="62">
        <f t="shared" si="0"/>
        <v>6500</v>
      </c>
      <c r="AH13" s="62">
        <f t="shared" si="0"/>
        <v>6500</v>
      </c>
      <c r="AI13" s="62">
        <f t="shared" si="0"/>
        <v>6500</v>
      </c>
      <c r="AJ13" s="62">
        <f t="shared" si="0"/>
        <v>6500</v>
      </c>
      <c r="AK13" s="62">
        <f t="shared" si="0"/>
        <v>6500</v>
      </c>
      <c r="AL13" s="62">
        <f t="shared" si="0"/>
        <v>6500</v>
      </c>
      <c r="AM13" s="62">
        <f t="shared" si="0"/>
        <v>6500</v>
      </c>
      <c r="AN13" s="62">
        <f t="shared" si="0"/>
        <v>6500</v>
      </c>
      <c r="AO13" s="62">
        <f t="shared" si="0"/>
        <v>6500</v>
      </c>
      <c r="AP13" s="62">
        <f t="shared" si="0"/>
        <v>6500</v>
      </c>
      <c r="AQ13" s="62">
        <f t="shared" si="0"/>
        <v>6500</v>
      </c>
      <c r="AR13" s="62">
        <f t="shared" si="0"/>
        <v>6500</v>
      </c>
      <c r="AS13" s="62">
        <f t="shared" si="0"/>
        <v>6500</v>
      </c>
      <c r="AT13" s="62">
        <f t="shared" si="0"/>
        <v>6500</v>
      </c>
      <c r="AU13" s="62">
        <f t="shared" si="0"/>
        <v>6500</v>
      </c>
      <c r="AV13" s="62">
        <f t="shared" si="0"/>
        <v>6500</v>
      </c>
    </row>
    <row r="14" spans="1:48" s="3" customFormat="1" ht="15" customHeight="1">
      <c r="B14" s="241"/>
      <c r="C14" s="62"/>
    </row>
    <row r="15" spans="1:48" s="3" customFormat="1" ht="15" customHeight="1">
      <c r="B15" s="241"/>
      <c r="C15" s="62" t="s">
        <v>15</v>
      </c>
    </row>
    <row r="16" spans="1:48" s="3" customFormat="1" ht="15" customHeight="1">
      <c r="B16" s="241"/>
      <c r="C16" s="62"/>
      <c r="E16" s="106" t="s">
        <v>16</v>
      </c>
    </row>
    <row r="17" spans="1:48" s="3" customFormat="1" ht="15" customHeight="1">
      <c r="B17" s="241"/>
      <c r="C17" s="62"/>
      <c r="E17" s="70" t="str">
        <f xml:space="preserve"> InputsTS!E$238</f>
        <v>Cobalt spot (NI 43 101 2019)</v>
      </c>
      <c r="F17" s="70">
        <f xml:space="preserve"> InputsTS!F$238</f>
        <v>0</v>
      </c>
      <c r="G17" s="70" t="str">
        <f xml:space="preserve"> InputsTS!G$238</f>
        <v>$ / tonne</v>
      </c>
      <c r="H17" s="70">
        <f xml:space="preserve"> InputsTS!H$238</f>
        <v>0</v>
      </c>
      <c r="I17" s="70" t="str">
        <f xml:space="preserve"> InputsTS!I$238</f>
        <v>XXIII</v>
      </c>
      <c r="J17" s="70">
        <f xml:space="preserve"> InputsTS!J$238</f>
        <v>0</v>
      </c>
      <c r="K17" s="70">
        <f xml:space="preserve"> InputsTS!K$238</f>
        <v>0</v>
      </c>
      <c r="L17" s="70">
        <f xml:space="preserve"> InputsTS!L$238</f>
        <v>0</v>
      </c>
      <c r="M17" s="70">
        <f xml:space="preserve"> InputsTS!M$238</f>
        <v>0</v>
      </c>
      <c r="N17" s="70">
        <f xml:space="preserve"> InputsTS!N$238</f>
        <v>0</v>
      </c>
      <c r="O17" s="70">
        <f xml:space="preserve"> InputsTS!O$238</f>
        <v>35031</v>
      </c>
      <c r="P17" s="70">
        <f xml:space="preserve"> InputsTS!P$238</f>
        <v>41337</v>
      </c>
      <c r="Q17" s="70">
        <f xml:space="preserve"> InputsTS!Q$238</f>
        <v>30005</v>
      </c>
      <c r="R17" s="70">
        <f xml:space="preserve"> InputsTS!R$238</f>
        <v>28783</v>
      </c>
      <c r="S17" s="70">
        <f xml:space="preserve"> InputsTS!S$238</f>
        <v>27029</v>
      </c>
      <c r="T17" s="70">
        <f xml:space="preserve"> InputsTS!T$238</f>
        <v>30866</v>
      </c>
      <c r="U17" s="70">
        <f xml:space="preserve"> InputsTS!U$238</f>
        <v>29233</v>
      </c>
      <c r="V17" s="70">
        <f xml:space="preserve"> InputsTS!V$238</f>
        <v>26433</v>
      </c>
      <c r="W17" s="70">
        <f xml:space="preserve"> InputsTS!W$238</f>
        <v>61288</v>
      </c>
      <c r="X17" s="70">
        <f xml:space="preserve"> InputsTS!X$238</f>
        <v>0</v>
      </c>
      <c r="Y17" s="70">
        <f xml:space="preserve"> InputsTS!Y$238</f>
        <v>0</v>
      </c>
      <c r="Z17" s="70">
        <f xml:space="preserve"> InputsTS!Z$238</f>
        <v>0</v>
      </c>
      <c r="AA17" s="70">
        <f xml:space="preserve"> InputsTS!AA$238</f>
        <v>0</v>
      </c>
      <c r="AB17" s="70">
        <f xml:space="preserve"> InputsTS!AB$238</f>
        <v>0</v>
      </c>
      <c r="AC17" s="70">
        <f xml:space="preserve"> InputsTS!AC$238</f>
        <v>0</v>
      </c>
      <c r="AD17" s="70">
        <f xml:space="preserve"> InputsTS!AD$238</f>
        <v>0</v>
      </c>
      <c r="AE17" s="70">
        <f xml:space="preserve"> InputsTS!AE$238</f>
        <v>0</v>
      </c>
      <c r="AF17" s="70">
        <f xml:space="preserve"> InputsTS!AF$238</f>
        <v>0</v>
      </c>
      <c r="AG17" s="70">
        <f xml:space="preserve"> InputsTS!AG$238</f>
        <v>0</v>
      </c>
      <c r="AH17" s="70">
        <f xml:space="preserve"> InputsTS!AH$238</f>
        <v>0</v>
      </c>
      <c r="AI17" s="70">
        <f xml:space="preserve"> InputsTS!AI$238</f>
        <v>0</v>
      </c>
      <c r="AJ17" s="70">
        <f xml:space="preserve"> InputsTS!AJ$238</f>
        <v>0</v>
      </c>
      <c r="AK17" s="70">
        <f xml:space="preserve"> InputsTS!AK$238</f>
        <v>0</v>
      </c>
      <c r="AL17" s="70">
        <f xml:space="preserve"> InputsTS!AL$238</f>
        <v>0</v>
      </c>
      <c r="AM17" s="70">
        <f xml:space="preserve"> InputsTS!AM$238</f>
        <v>0</v>
      </c>
      <c r="AN17" s="70">
        <f xml:space="preserve"> InputsTS!AN$238</f>
        <v>0</v>
      </c>
      <c r="AO17" s="70">
        <f xml:space="preserve"> InputsTS!AO$238</f>
        <v>0</v>
      </c>
      <c r="AP17" s="70">
        <f xml:space="preserve"> InputsTS!AP$238</f>
        <v>0</v>
      </c>
      <c r="AQ17" s="70">
        <f xml:space="preserve"> InputsTS!AQ$238</f>
        <v>0</v>
      </c>
      <c r="AR17" s="70">
        <f xml:space="preserve"> InputsTS!AR$238</f>
        <v>0</v>
      </c>
      <c r="AS17" s="70">
        <f xml:space="preserve"> InputsTS!AS$238</f>
        <v>0</v>
      </c>
      <c r="AT17" s="70">
        <f xml:space="preserve"> InputsTS!AT$238</f>
        <v>0</v>
      </c>
      <c r="AU17" s="70">
        <f xml:space="preserve"> InputsTS!AU$238</f>
        <v>0</v>
      </c>
      <c r="AV17" s="70">
        <f xml:space="preserve"> InputsTS!AV$238</f>
        <v>0</v>
      </c>
    </row>
    <row r="18" spans="1:48" s="3" customFormat="1" ht="15" customHeight="1">
      <c r="B18" s="241"/>
      <c r="C18" s="62"/>
      <c r="E18" s="70" t="str">
        <f xml:space="preserve"> InputsTS!E$241</f>
        <v>KML Macroeconomic Assumptions (NI 43 101 2019)</v>
      </c>
      <c r="F18" s="70">
        <f xml:space="preserve"> InputsTS!F$241</f>
        <v>0</v>
      </c>
      <c r="G18" s="70" t="str">
        <f xml:space="preserve"> InputsTS!G$241</f>
        <v>$ / lb</v>
      </c>
      <c r="H18" s="70">
        <f xml:space="preserve"> InputsTS!H$241</f>
        <v>0</v>
      </c>
      <c r="I18" s="70" t="str">
        <f xml:space="preserve"> InputsTS!I$241</f>
        <v>XXIII</v>
      </c>
      <c r="J18" s="70">
        <f xml:space="preserve"> InputsTS!J$241</f>
        <v>0</v>
      </c>
      <c r="K18" s="70">
        <f xml:space="preserve"> InputsTS!K$241</f>
        <v>0</v>
      </c>
      <c r="L18" s="70">
        <f xml:space="preserve"> InputsTS!L$241</f>
        <v>0</v>
      </c>
      <c r="M18" s="70">
        <f xml:space="preserve"> InputsTS!M$241</f>
        <v>0</v>
      </c>
      <c r="N18" s="70">
        <f xml:space="preserve"> InputsTS!N$241</f>
        <v>0</v>
      </c>
      <c r="O18" s="70">
        <f xml:space="preserve"> InputsTS!O$241</f>
        <v>0</v>
      </c>
      <c r="P18" s="70">
        <f xml:space="preserve"> InputsTS!P$241</f>
        <v>0</v>
      </c>
      <c r="Q18" s="70">
        <f xml:space="preserve"> InputsTS!Q$241</f>
        <v>0</v>
      </c>
      <c r="R18" s="70">
        <f xml:space="preserve"> InputsTS!R$241</f>
        <v>0</v>
      </c>
      <c r="S18" s="70">
        <f xml:space="preserve"> InputsTS!S$241</f>
        <v>0</v>
      </c>
      <c r="T18" s="70">
        <f xml:space="preserve"> InputsTS!T$241</f>
        <v>0</v>
      </c>
      <c r="U18" s="70">
        <f xml:space="preserve"> InputsTS!U$241</f>
        <v>0</v>
      </c>
      <c r="V18" s="70">
        <f xml:space="preserve"> InputsTS!V$241</f>
        <v>0</v>
      </c>
      <c r="W18" s="70">
        <f xml:space="preserve"> InputsTS!W$241</f>
        <v>0</v>
      </c>
      <c r="X18" s="70">
        <f xml:space="preserve"> InputsTS!X$241</f>
        <v>0</v>
      </c>
      <c r="Y18" s="70">
        <f xml:space="preserve"> InputsTS!Y$241</f>
        <v>12.7</v>
      </c>
      <c r="Z18" s="70">
        <f xml:space="preserve"> InputsTS!Z$241</f>
        <v>20</v>
      </c>
      <c r="AA18" s="70">
        <f xml:space="preserve"> InputsTS!AA$241</f>
        <v>27</v>
      </c>
      <c r="AB18" s="70">
        <f xml:space="preserve"> InputsTS!AB$241</f>
        <v>27</v>
      </c>
      <c r="AC18" s="70">
        <f xml:space="preserve"> InputsTS!AC$241</f>
        <v>27</v>
      </c>
      <c r="AD18" s="70">
        <f xml:space="preserve"> InputsTS!AD$241</f>
        <v>27</v>
      </c>
      <c r="AE18" s="70">
        <f xml:space="preserve"> InputsTS!AE$241</f>
        <v>27</v>
      </c>
      <c r="AF18" s="70">
        <f xml:space="preserve"> InputsTS!AF$241</f>
        <v>27</v>
      </c>
      <c r="AG18" s="70">
        <f xml:space="preserve"> InputsTS!AG$241</f>
        <v>27</v>
      </c>
      <c r="AH18" s="70">
        <f xml:space="preserve"> InputsTS!AH$241</f>
        <v>27</v>
      </c>
      <c r="AI18" s="70">
        <f xml:space="preserve"> InputsTS!AI$241</f>
        <v>0</v>
      </c>
      <c r="AJ18" s="70">
        <f xml:space="preserve"> InputsTS!AJ$241</f>
        <v>0</v>
      </c>
      <c r="AK18" s="70">
        <f xml:space="preserve"> InputsTS!AK$241</f>
        <v>0</v>
      </c>
      <c r="AL18" s="70">
        <f xml:space="preserve"> InputsTS!AL$241</f>
        <v>0</v>
      </c>
      <c r="AM18" s="70">
        <f xml:space="preserve"> InputsTS!AM$241</f>
        <v>0</v>
      </c>
      <c r="AN18" s="70">
        <f xml:space="preserve"> InputsTS!AN$241</f>
        <v>0</v>
      </c>
      <c r="AO18" s="70">
        <f xml:space="preserve"> InputsTS!AO$241</f>
        <v>0</v>
      </c>
      <c r="AP18" s="70">
        <f xml:space="preserve"> InputsTS!AP$241</f>
        <v>0</v>
      </c>
      <c r="AQ18" s="70">
        <f xml:space="preserve"> InputsTS!AQ$241</f>
        <v>0</v>
      </c>
      <c r="AR18" s="70">
        <f xml:space="preserve"> InputsTS!AR$241</f>
        <v>0</v>
      </c>
      <c r="AS18" s="70">
        <f xml:space="preserve"> InputsTS!AS$241</f>
        <v>0</v>
      </c>
      <c r="AT18" s="70">
        <f xml:space="preserve"> InputsTS!AT$241</f>
        <v>0</v>
      </c>
      <c r="AU18" s="70">
        <f xml:space="preserve"> InputsTS!AU$241</f>
        <v>0</v>
      </c>
      <c r="AV18" s="70">
        <f xml:space="preserve"> InputsTS!AV$241</f>
        <v>0</v>
      </c>
    </row>
    <row r="19" spans="1:48" s="3" customFormat="1" ht="15" customHeight="1">
      <c r="B19" s="241"/>
      <c r="C19" s="62"/>
      <c r="E19" s="70" t="str">
        <f xml:space="preserve"> InputsCon!E$201</f>
        <v>Convert  lb / tonnes</v>
      </c>
      <c r="F19" s="174">
        <f xml:space="preserve"> InputsCon!F$201</f>
        <v>2204.62</v>
      </c>
      <c r="G19" s="112" t="str">
        <f xml:space="preserve"> InputsCon!G$201</f>
        <v>lb / tonne</v>
      </c>
    </row>
    <row r="20" spans="1:48" s="3" customFormat="1" ht="15" customHeight="1">
      <c r="B20" s="241"/>
      <c r="C20" s="62"/>
      <c r="E20" s="3" t="str">
        <f xml:space="preserve"> E18</f>
        <v>KML Macroeconomic Assumptions (NI 43 101 2019)</v>
      </c>
      <c r="G20" s="3" t="s">
        <v>14</v>
      </c>
      <c r="L20" s="3">
        <f t="shared" ref="L20:AV20" si="1" xml:space="preserve"> L18 * $F19</f>
        <v>0</v>
      </c>
      <c r="M20" s="3">
        <f t="shared" si="1"/>
        <v>0</v>
      </c>
      <c r="N20" s="3">
        <f t="shared" si="1"/>
        <v>0</v>
      </c>
      <c r="O20" s="3">
        <f t="shared" si="1"/>
        <v>0</v>
      </c>
      <c r="P20" s="3">
        <f t="shared" si="1"/>
        <v>0</v>
      </c>
      <c r="Q20" s="3">
        <f t="shared" si="1"/>
        <v>0</v>
      </c>
      <c r="R20" s="3">
        <f t="shared" si="1"/>
        <v>0</v>
      </c>
      <c r="S20" s="3">
        <f t="shared" si="1"/>
        <v>0</v>
      </c>
      <c r="T20" s="3">
        <f t="shared" si="1"/>
        <v>0</v>
      </c>
      <c r="U20" s="3">
        <f t="shared" si="1"/>
        <v>0</v>
      </c>
      <c r="V20" s="3">
        <f t="shared" si="1"/>
        <v>0</v>
      </c>
      <c r="W20" s="3">
        <f t="shared" si="1"/>
        <v>0</v>
      </c>
      <c r="X20" s="3">
        <f t="shared" si="1"/>
        <v>0</v>
      </c>
      <c r="Y20" s="3">
        <f t="shared" si="1"/>
        <v>27998.673999999995</v>
      </c>
      <c r="Z20" s="3">
        <f t="shared" si="1"/>
        <v>44092.399999999994</v>
      </c>
      <c r="AA20" s="3">
        <f t="shared" si="1"/>
        <v>59524.74</v>
      </c>
      <c r="AB20" s="3">
        <f t="shared" si="1"/>
        <v>59524.74</v>
      </c>
      <c r="AC20" s="3">
        <f t="shared" si="1"/>
        <v>59524.74</v>
      </c>
      <c r="AD20" s="3">
        <f t="shared" si="1"/>
        <v>59524.74</v>
      </c>
      <c r="AE20" s="3">
        <f t="shared" si="1"/>
        <v>59524.74</v>
      </c>
      <c r="AF20" s="3">
        <f t="shared" si="1"/>
        <v>59524.74</v>
      </c>
      <c r="AG20" s="3">
        <f t="shared" si="1"/>
        <v>59524.74</v>
      </c>
      <c r="AH20" s="3">
        <f t="shared" si="1"/>
        <v>59524.74</v>
      </c>
      <c r="AI20" s="3">
        <f t="shared" si="1"/>
        <v>0</v>
      </c>
      <c r="AJ20" s="3">
        <f t="shared" si="1"/>
        <v>0</v>
      </c>
      <c r="AK20" s="3">
        <f t="shared" si="1"/>
        <v>0</v>
      </c>
      <c r="AL20" s="3">
        <f t="shared" si="1"/>
        <v>0</v>
      </c>
      <c r="AM20" s="3">
        <f t="shared" si="1"/>
        <v>0</v>
      </c>
      <c r="AN20" s="3">
        <f t="shared" si="1"/>
        <v>0</v>
      </c>
      <c r="AO20" s="3">
        <f t="shared" si="1"/>
        <v>0</v>
      </c>
      <c r="AP20" s="3">
        <f t="shared" si="1"/>
        <v>0</v>
      </c>
      <c r="AQ20" s="3">
        <f t="shared" si="1"/>
        <v>0</v>
      </c>
      <c r="AR20" s="3">
        <f t="shared" si="1"/>
        <v>0</v>
      </c>
      <c r="AS20" s="3">
        <f t="shared" si="1"/>
        <v>0</v>
      </c>
      <c r="AT20" s="3">
        <f t="shared" si="1"/>
        <v>0</v>
      </c>
      <c r="AU20" s="3">
        <f t="shared" si="1"/>
        <v>0</v>
      </c>
      <c r="AV20" s="3">
        <f t="shared" si="1"/>
        <v>0</v>
      </c>
    </row>
    <row r="21" spans="1:48" s="3" customFormat="1" ht="15" customHeight="1">
      <c r="B21" s="241"/>
      <c r="C21" s="62"/>
      <c r="E21" s="62" t="s">
        <v>17</v>
      </c>
      <c r="G21" s="3" t="s">
        <v>14</v>
      </c>
      <c r="H21" s="62"/>
      <c r="L21" s="3">
        <f t="shared" ref="L21:AV21" si="2" xml:space="preserve"> IF(L17 &gt; 0, L17, IF(L20 &gt; 0, L20, K21))</f>
        <v>0</v>
      </c>
      <c r="M21" s="3">
        <f t="shared" si="2"/>
        <v>0</v>
      </c>
      <c r="N21" s="3">
        <f t="shared" si="2"/>
        <v>0</v>
      </c>
      <c r="O21" s="3">
        <f t="shared" si="2"/>
        <v>35031</v>
      </c>
      <c r="P21" s="3">
        <f t="shared" si="2"/>
        <v>41337</v>
      </c>
      <c r="Q21" s="3">
        <f t="shared" si="2"/>
        <v>30005</v>
      </c>
      <c r="R21" s="3">
        <f t="shared" si="2"/>
        <v>28783</v>
      </c>
      <c r="S21" s="3">
        <f t="shared" si="2"/>
        <v>27029</v>
      </c>
      <c r="T21" s="3">
        <f t="shared" si="2"/>
        <v>30866</v>
      </c>
      <c r="U21" s="3">
        <f t="shared" si="2"/>
        <v>29233</v>
      </c>
      <c r="V21" s="3">
        <f t="shared" si="2"/>
        <v>26433</v>
      </c>
      <c r="W21" s="3">
        <f t="shared" si="2"/>
        <v>61288</v>
      </c>
      <c r="X21" s="3">
        <f t="shared" si="2"/>
        <v>61288</v>
      </c>
      <c r="Y21" s="3">
        <f t="shared" si="2"/>
        <v>27998.673999999995</v>
      </c>
      <c r="Z21" s="3">
        <f t="shared" si="2"/>
        <v>44092.399999999994</v>
      </c>
      <c r="AA21" s="3">
        <f t="shared" si="2"/>
        <v>59524.74</v>
      </c>
      <c r="AB21" s="3">
        <f t="shared" si="2"/>
        <v>59524.74</v>
      </c>
      <c r="AC21" s="3">
        <f t="shared" si="2"/>
        <v>59524.74</v>
      </c>
      <c r="AD21" s="3">
        <f t="shared" si="2"/>
        <v>59524.74</v>
      </c>
      <c r="AE21" s="3">
        <f t="shared" si="2"/>
        <v>59524.74</v>
      </c>
      <c r="AF21" s="3">
        <f t="shared" si="2"/>
        <v>59524.74</v>
      </c>
      <c r="AG21" s="3">
        <f t="shared" si="2"/>
        <v>59524.74</v>
      </c>
      <c r="AH21" s="3">
        <f t="shared" si="2"/>
        <v>59524.74</v>
      </c>
      <c r="AI21" s="3">
        <f t="shared" si="2"/>
        <v>59524.74</v>
      </c>
      <c r="AJ21" s="3">
        <f t="shared" si="2"/>
        <v>59524.74</v>
      </c>
      <c r="AK21" s="3">
        <f t="shared" si="2"/>
        <v>59524.74</v>
      </c>
      <c r="AL21" s="3">
        <f t="shared" si="2"/>
        <v>59524.74</v>
      </c>
      <c r="AM21" s="3">
        <f t="shared" si="2"/>
        <v>59524.74</v>
      </c>
      <c r="AN21" s="3">
        <f t="shared" si="2"/>
        <v>59524.74</v>
      </c>
      <c r="AO21" s="3">
        <f t="shared" si="2"/>
        <v>59524.74</v>
      </c>
      <c r="AP21" s="3">
        <f t="shared" si="2"/>
        <v>59524.74</v>
      </c>
      <c r="AQ21" s="3">
        <f t="shared" si="2"/>
        <v>59524.74</v>
      </c>
      <c r="AR21" s="3">
        <f t="shared" si="2"/>
        <v>59524.74</v>
      </c>
      <c r="AS21" s="3">
        <f t="shared" si="2"/>
        <v>59524.74</v>
      </c>
      <c r="AT21" s="3">
        <f t="shared" si="2"/>
        <v>59524.74</v>
      </c>
      <c r="AU21" s="3">
        <f t="shared" si="2"/>
        <v>59524.74</v>
      </c>
      <c r="AV21" s="3">
        <f t="shared" si="2"/>
        <v>59524.74</v>
      </c>
    </row>
    <row r="22" spans="1:48" s="3" customFormat="1" ht="15" customHeight="1">
      <c r="B22" s="241"/>
      <c r="C22" s="62"/>
    </row>
    <row r="23" spans="1:48" ht="15" customHeight="1">
      <c r="B23" s="111" t="s">
        <v>18</v>
      </c>
    </row>
    <row r="24" spans="1:48" ht="15" customHeight="1">
      <c r="E24" s="106" t="s">
        <v>19</v>
      </c>
    </row>
    <row r="25" spans="1:48" s="70" customFormat="1" ht="15" customHeight="1">
      <c r="A25" s="195"/>
      <c r="B25" s="195"/>
      <c r="C25" s="196"/>
      <c r="E25" s="70" t="str">
        <f xml:space="preserve"> Inp_2019TR!E$35</f>
        <v>Copper produced: historic 2019TR</v>
      </c>
      <c r="F25" s="70">
        <f xml:space="preserve"> Inp_2019TR!F$35</f>
        <v>0</v>
      </c>
      <c r="G25" s="70" t="str">
        <f xml:space="preserve"> Inp_2019TR!G$35</f>
        <v>KT Cu</v>
      </c>
      <c r="H25" s="70">
        <f xml:space="preserve"> Inp_2019TR!H$35</f>
        <v>0</v>
      </c>
      <c r="I25" s="70" t="str">
        <f xml:space="preserve"> Inp_2019TR!I$35</f>
        <v>XXII</v>
      </c>
      <c r="J25" s="70">
        <f xml:space="preserve"> Inp_2019TR!J$35</f>
        <v>741.21</v>
      </c>
      <c r="K25" s="70">
        <f xml:space="preserve"> Inp_2019TR!K$35</f>
        <v>0</v>
      </c>
      <c r="L25" s="70">
        <f xml:space="preserve"> Inp_2019TR!L$35</f>
        <v>0</v>
      </c>
      <c r="M25" s="70">
        <f xml:space="preserve"> Inp_2019TR!M$35</f>
        <v>0</v>
      </c>
      <c r="N25" s="70">
        <f xml:space="preserve"> Inp_2019TR!N$35</f>
        <v>22.12</v>
      </c>
      <c r="O25" s="70">
        <f xml:space="preserve"> Inp_2019TR!O$35</f>
        <v>41.96</v>
      </c>
      <c r="P25" s="70">
        <f xml:space="preserve"> Inp_2019TR!P$35</f>
        <v>52.18</v>
      </c>
      <c r="Q25" s="70">
        <f xml:space="preserve"> Inp_2019TR!Q$35</f>
        <v>57.61</v>
      </c>
      <c r="R25" s="70">
        <f xml:space="preserve"> Inp_2019TR!R$35</f>
        <v>61.44</v>
      </c>
      <c r="S25" s="70">
        <f xml:space="preserve"> Inp_2019TR!S$35</f>
        <v>87.48</v>
      </c>
      <c r="T25" s="70">
        <f xml:space="preserve"> Inp_2019TR!T$35</f>
        <v>157.02000000000001</v>
      </c>
      <c r="U25" s="70">
        <f xml:space="preserve"> Inp_2019TR!U$35</f>
        <v>106.8</v>
      </c>
      <c r="V25" s="70">
        <f xml:space="preserve"> Inp_2019TR!V$35</f>
        <v>0</v>
      </c>
      <c r="W25" s="70">
        <f xml:space="preserve"> Inp_2019TR!W$35</f>
        <v>2.2000000000000002</v>
      </c>
      <c r="X25" s="70">
        <f xml:space="preserve"> Inp_2019TR!X$35</f>
        <v>152.4</v>
      </c>
      <c r="Y25" s="70">
        <f xml:space="preserve"> Inp_2019TR!Y$35</f>
        <v>0</v>
      </c>
      <c r="Z25" s="70">
        <f xml:space="preserve"> Inp_2019TR!Z$35</f>
        <v>0</v>
      </c>
      <c r="AA25" s="70">
        <f xml:space="preserve"> Inp_2019TR!AA$35</f>
        <v>0</v>
      </c>
      <c r="AB25" s="70">
        <f xml:space="preserve"> Inp_2019TR!AB$35</f>
        <v>0</v>
      </c>
      <c r="AC25" s="70">
        <f xml:space="preserve"> Inp_2019TR!AC$35</f>
        <v>0</v>
      </c>
      <c r="AD25" s="70">
        <f xml:space="preserve"> Inp_2019TR!AD$35</f>
        <v>0</v>
      </c>
      <c r="AE25" s="70">
        <f xml:space="preserve"> Inp_2019TR!AE$35</f>
        <v>0</v>
      </c>
      <c r="AF25" s="70">
        <f xml:space="preserve"> Inp_2019TR!AF$35</f>
        <v>0</v>
      </c>
      <c r="AG25" s="70">
        <f xml:space="preserve"> Inp_2019TR!AG$35</f>
        <v>0</v>
      </c>
      <c r="AH25" s="70">
        <f xml:space="preserve"> Inp_2019TR!AH$35</f>
        <v>0</v>
      </c>
      <c r="AI25" s="70">
        <f xml:space="preserve"> Inp_2019TR!AI$35</f>
        <v>0</v>
      </c>
      <c r="AJ25" s="70">
        <f xml:space="preserve"> Inp_2019TR!AJ$35</f>
        <v>0</v>
      </c>
      <c r="AK25" s="70">
        <f xml:space="preserve"> Inp_2019TR!AK$35</f>
        <v>0</v>
      </c>
      <c r="AL25" s="70">
        <f xml:space="preserve"> Inp_2019TR!AL$35</f>
        <v>0</v>
      </c>
      <c r="AM25" s="70">
        <f xml:space="preserve"> Inp_2019TR!AM$35</f>
        <v>0</v>
      </c>
      <c r="AN25" s="70">
        <f xml:space="preserve"> Inp_2019TR!AN$35</f>
        <v>0</v>
      </c>
      <c r="AO25" s="70">
        <f xml:space="preserve"> Inp_2019TR!AO$35</f>
        <v>0</v>
      </c>
      <c r="AP25" s="70">
        <f xml:space="preserve"> Inp_2019TR!AP$35</f>
        <v>0</v>
      </c>
      <c r="AQ25" s="70">
        <f xml:space="preserve"> Inp_2019TR!AQ$35</f>
        <v>0</v>
      </c>
      <c r="AR25" s="70">
        <f xml:space="preserve"> Inp_2019TR!AR$35</f>
        <v>0</v>
      </c>
      <c r="AS25" s="70">
        <f xml:space="preserve"> Inp_2019TR!AS$35</f>
        <v>0</v>
      </c>
      <c r="AT25" s="70">
        <f xml:space="preserve"> Inp_2019TR!AT$35</f>
        <v>0</v>
      </c>
      <c r="AU25" s="70">
        <f xml:space="preserve"> Inp_2019TR!AU$35</f>
        <v>0</v>
      </c>
      <c r="AV25" s="70">
        <f xml:space="preserve"> Inp_2019TR!AV$35</f>
        <v>0</v>
      </c>
    </row>
    <row r="26" spans="1:48" s="123" customFormat="1" ht="15" customHeight="1">
      <c r="A26" s="134"/>
      <c r="B26" s="134"/>
      <c r="C26" s="151"/>
      <c r="E26" s="170" t="str">
        <f xml:space="preserve"> Inp_2019TR!E$152</f>
        <v>Copper recovered (calculated) 2019TR</v>
      </c>
      <c r="F26" s="170">
        <f xml:space="preserve"> Inp_2019TR!F$152</f>
        <v>0</v>
      </c>
      <c r="G26" s="170" t="str">
        <f xml:space="preserve"> Inp_2019TR!G$152</f>
        <v>KT Cu</v>
      </c>
      <c r="H26" s="170">
        <f xml:space="preserve"> Inp_2019TR!H$152</f>
        <v>0</v>
      </c>
      <c r="I26" s="170">
        <f xml:space="preserve"> Inp_2019TR!I$152</f>
        <v>0</v>
      </c>
      <c r="J26" s="170">
        <f xml:space="preserve"> Inp_2019TR!J$152</f>
        <v>3497.386224607957</v>
      </c>
      <c r="K26" s="170">
        <f xml:space="preserve"> Inp_2019TR!K$152</f>
        <v>0</v>
      </c>
      <c r="L26" s="170">
        <f xml:space="preserve"> Inp_2019TR!L$152</f>
        <v>0</v>
      </c>
      <c r="M26" s="170">
        <f xml:space="preserve"> Inp_2019TR!M$152</f>
        <v>0</v>
      </c>
      <c r="N26" s="170">
        <f xml:space="preserve"> Inp_2019TR!N$152</f>
        <v>0</v>
      </c>
      <c r="O26" s="170">
        <f xml:space="preserve"> Inp_2019TR!O$152</f>
        <v>0</v>
      </c>
      <c r="P26" s="170">
        <f xml:space="preserve"> Inp_2019TR!P$152</f>
        <v>0</v>
      </c>
      <c r="Q26" s="170">
        <f xml:space="preserve"> Inp_2019TR!Q$152</f>
        <v>0</v>
      </c>
      <c r="R26" s="170">
        <f xml:space="preserve"> Inp_2019TR!R$152</f>
        <v>0</v>
      </c>
      <c r="S26" s="170">
        <f xml:space="preserve"> Inp_2019TR!S$152</f>
        <v>0</v>
      </c>
      <c r="T26" s="170">
        <f xml:space="preserve"> Inp_2019TR!T$152</f>
        <v>0</v>
      </c>
      <c r="U26" s="170">
        <f xml:space="preserve"> Inp_2019TR!U$152</f>
        <v>0</v>
      </c>
      <c r="V26" s="170">
        <f xml:space="preserve"> Inp_2019TR!V$152</f>
        <v>0</v>
      </c>
      <c r="W26" s="170">
        <f xml:space="preserve"> Inp_2019TR!W$152</f>
        <v>0</v>
      </c>
      <c r="X26" s="170">
        <f xml:space="preserve"> Inp_2019TR!X$152</f>
        <v>0</v>
      </c>
      <c r="Y26" s="170">
        <f xml:space="preserve"> Inp_2019TR!Y$152</f>
        <v>245.34750146284372</v>
      </c>
      <c r="Z26" s="170">
        <f xml:space="preserve"> Inp_2019TR!Z$152</f>
        <v>285.22065868263473</v>
      </c>
      <c r="AA26" s="170">
        <f xml:space="preserve"> Inp_2019TR!AA$152</f>
        <v>299.81725954441509</v>
      </c>
      <c r="AB26" s="170">
        <f xml:space="preserve"> Inp_2019TR!AB$152</f>
        <v>296.21784962905542</v>
      </c>
      <c r="AC26" s="170">
        <f xml:space="preserve"> Inp_2019TR!AC$152</f>
        <v>296.94263218962374</v>
      </c>
      <c r="AD26" s="170">
        <f xml:space="preserve"> Inp_2019TR!AD$152</f>
        <v>299.65871148149176</v>
      </c>
      <c r="AE26" s="170">
        <f xml:space="preserve"> Inp_2019TR!AE$152</f>
        <v>299.661427509703</v>
      </c>
      <c r="AF26" s="170">
        <f xml:space="preserve"> Inp_2019TR!AF$152</f>
        <v>299.8001332001333</v>
      </c>
      <c r="AG26" s="170">
        <f xml:space="preserve"> Inp_2019TR!AG$152</f>
        <v>299.33496619749531</v>
      </c>
      <c r="AH26" s="170">
        <f xml:space="preserve"> Inp_2019TR!AH$152</f>
        <v>301.73374896093094</v>
      </c>
      <c r="AI26" s="170">
        <f xml:space="preserve"> Inp_2019TR!AI$152</f>
        <v>180.26167412958054</v>
      </c>
      <c r="AJ26" s="170">
        <f xml:space="preserve"> Inp_2019TR!AJ$152</f>
        <v>97.319636963696368</v>
      </c>
      <c r="AK26" s="170">
        <f xml:space="preserve"> Inp_2019TR!AK$152</f>
        <v>99.578759627077432</v>
      </c>
      <c r="AL26" s="170">
        <f xml:space="preserve"> Inp_2019TR!AL$152</f>
        <v>103.19999999999999</v>
      </c>
      <c r="AM26" s="170">
        <f xml:space="preserve"> Inp_2019TR!AM$152</f>
        <v>70.426277019683624</v>
      </c>
      <c r="AN26" s="170">
        <f xml:space="preserve"> Inp_2019TR!AN$152</f>
        <v>22.864988009592331</v>
      </c>
      <c r="AO26" s="170">
        <f xml:space="preserve"> Inp_2019TR!AO$152</f>
        <v>0</v>
      </c>
      <c r="AP26" s="170">
        <f xml:space="preserve"> Inp_2019TR!AP$152</f>
        <v>0</v>
      </c>
      <c r="AQ26" s="170">
        <f xml:space="preserve"> Inp_2019TR!AQ$152</f>
        <v>0</v>
      </c>
      <c r="AR26" s="170">
        <f xml:space="preserve"> Inp_2019TR!AR$152</f>
        <v>0</v>
      </c>
      <c r="AS26" s="170">
        <f xml:space="preserve"> Inp_2019TR!AS$152</f>
        <v>0</v>
      </c>
      <c r="AT26" s="170">
        <f xml:space="preserve"> Inp_2019TR!AT$152</f>
        <v>0</v>
      </c>
      <c r="AU26" s="170">
        <f xml:space="preserve"> Inp_2019TR!AU$152</f>
        <v>0</v>
      </c>
      <c r="AV26" s="170">
        <f xml:space="preserve"> Inp_2019TR!AV$152</f>
        <v>0</v>
      </c>
    </row>
    <row r="27" spans="1:48" s="150" customFormat="1" ht="15" customHeight="1">
      <c r="A27" s="189"/>
      <c r="B27" s="189"/>
      <c r="C27" s="151"/>
      <c r="E27" s="200" t="s">
        <v>20</v>
      </c>
      <c r="F27" s="200"/>
      <c r="G27" s="200" t="s">
        <v>21</v>
      </c>
      <c r="H27" s="200"/>
      <c r="I27" s="200"/>
      <c r="J27" s="200">
        <f xml:space="preserve"> SUM(L27:AV27)</f>
        <v>4238.596224607958</v>
      </c>
      <c r="K27" s="200"/>
      <c r="L27" s="200">
        <f t="shared" ref="L27:AV27" si="3">L25 + L26</f>
        <v>0</v>
      </c>
      <c r="M27" s="200">
        <f t="shared" si="3"/>
        <v>0</v>
      </c>
      <c r="N27" s="200">
        <f t="shared" si="3"/>
        <v>22.12</v>
      </c>
      <c r="O27" s="200">
        <f t="shared" si="3"/>
        <v>41.96</v>
      </c>
      <c r="P27" s="200">
        <f t="shared" si="3"/>
        <v>52.18</v>
      </c>
      <c r="Q27" s="200">
        <f t="shared" si="3"/>
        <v>57.61</v>
      </c>
      <c r="R27" s="200">
        <f t="shared" si="3"/>
        <v>61.44</v>
      </c>
      <c r="S27" s="200">
        <f t="shared" si="3"/>
        <v>87.48</v>
      </c>
      <c r="T27" s="200">
        <f t="shared" si="3"/>
        <v>157.02000000000001</v>
      </c>
      <c r="U27" s="200">
        <f t="shared" si="3"/>
        <v>106.8</v>
      </c>
      <c r="V27" s="200">
        <f t="shared" si="3"/>
        <v>0</v>
      </c>
      <c r="W27" s="200">
        <f t="shared" si="3"/>
        <v>2.2000000000000002</v>
      </c>
      <c r="X27" s="200">
        <f>X25 + X26</f>
        <v>152.4</v>
      </c>
      <c r="Y27" s="200">
        <f t="shared" si="3"/>
        <v>245.34750146284372</v>
      </c>
      <c r="Z27" s="200">
        <f t="shared" si="3"/>
        <v>285.22065868263473</v>
      </c>
      <c r="AA27" s="200">
        <f t="shared" si="3"/>
        <v>299.81725954441509</v>
      </c>
      <c r="AB27" s="200">
        <f t="shared" si="3"/>
        <v>296.21784962905542</v>
      </c>
      <c r="AC27" s="200">
        <f t="shared" si="3"/>
        <v>296.94263218962374</v>
      </c>
      <c r="AD27" s="200">
        <f t="shared" si="3"/>
        <v>299.65871148149176</v>
      </c>
      <c r="AE27" s="200">
        <f t="shared" si="3"/>
        <v>299.661427509703</v>
      </c>
      <c r="AF27" s="200">
        <f t="shared" si="3"/>
        <v>299.8001332001333</v>
      </c>
      <c r="AG27" s="200">
        <f t="shared" si="3"/>
        <v>299.33496619749531</v>
      </c>
      <c r="AH27" s="200">
        <f t="shared" si="3"/>
        <v>301.73374896093094</v>
      </c>
      <c r="AI27" s="200">
        <f t="shared" si="3"/>
        <v>180.26167412958054</v>
      </c>
      <c r="AJ27" s="200">
        <f t="shared" si="3"/>
        <v>97.319636963696368</v>
      </c>
      <c r="AK27" s="200">
        <f t="shared" si="3"/>
        <v>99.578759627077432</v>
      </c>
      <c r="AL27" s="200">
        <f t="shared" si="3"/>
        <v>103.19999999999999</v>
      </c>
      <c r="AM27" s="200">
        <f t="shared" si="3"/>
        <v>70.426277019683624</v>
      </c>
      <c r="AN27" s="200">
        <f t="shared" si="3"/>
        <v>22.864988009592331</v>
      </c>
      <c r="AO27" s="200">
        <f t="shared" si="3"/>
        <v>0</v>
      </c>
      <c r="AP27" s="200">
        <f t="shared" si="3"/>
        <v>0</v>
      </c>
      <c r="AQ27" s="200">
        <f t="shared" si="3"/>
        <v>0</v>
      </c>
      <c r="AR27" s="200">
        <f t="shared" si="3"/>
        <v>0</v>
      </c>
      <c r="AS27" s="200">
        <f t="shared" si="3"/>
        <v>0</v>
      </c>
      <c r="AT27" s="200">
        <f t="shared" si="3"/>
        <v>0</v>
      </c>
      <c r="AU27" s="200">
        <f t="shared" si="3"/>
        <v>0</v>
      </c>
      <c r="AV27" s="200">
        <f t="shared" si="3"/>
        <v>0</v>
      </c>
    </row>
    <row r="28" spans="1:48" s="150" customFormat="1" ht="15" customHeight="1">
      <c r="A28" s="189"/>
      <c r="B28" s="189"/>
      <c r="C28" s="151"/>
      <c r="E28" s="200" t="str">
        <f xml:space="preserve"> E27</f>
        <v>Copper produced: history + forecast 2019TR</v>
      </c>
      <c r="F28" s="200">
        <f xml:space="preserve"> SUM(L27:AV27)</f>
        <v>4238.596224607958</v>
      </c>
      <c r="G28" s="200" t="str">
        <f xml:space="preserve"> G27</f>
        <v>KT Cu</v>
      </c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</row>
    <row r="29" spans="1:48" s="93" customFormat="1" ht="15" customHeight="1">
      <c r="A29" s="92"/>
      <c r="B29" s="92"/>
      <c r="C29" s="149"/>
      <c r="E29" s="93" t="s">
        <v>22</v>
      </c>
      <c r="G29" s="93" t="s">
        <v>23</v>
      </c>
      <c r="I29" s="94"/>
      <c r="J29" s="93">
        <f xml:space="preserve"> SUM(L29:AV29)</f>
        <v>29</v>
      </c>
      <c r="L29" s="93">
        <f xml:space="preserve"> (SUM(L26:$AV26) &gt; 0) * 1</f>
        <v>1</v>
      </c>
      <c r="M29" s="93">
        <f xml:space="preserve"> (SUM(M26:$AV26) &gt; 0) * 1</f>
        <v>1</v>
      </c>
      <c r="N29" s="93">
        <f xml:space="preserve"> (SUM(N26:$AV26) &gt; 0) * 1</f>
        <v>1</v>
      </c>
      <c r="O29" s="93">
        <f xml:space="preserve"> (SUM(O26:$AV26) &gt; 0) * 1</f>
        <v>1</v>
      </c>
      <c r="P29" s="93">
        <f xml:space="preserve"> (SUM(P26:$AV26) &gt; 0) * 1</f>
        <v>1</v>
      </c>
      <c r="Q29" s="93">
        <f xml:space="preserve"> (SUM(Q26:$AV26) &gt; 0) * 1</f>
        <v>1</v>
      </c>
      <c r="R29" s="93">
        <f xml:space="preserve"> (SUM(R26:$AV26) &gt; 0) * 1</f>
        <v>1</v>
      </c>
      <c r="S29" s="93">
        <f xml:space="preserve"> (SUM(S26:$AV26) &gt; 0) * 1</f>
        <v>1</v>
      </c>
      <c r="T29" s="93">
        <f xml:space="preserve"> (SUM(T26:$AV26) &gt; 0) * 1</f>
        <v>1</v>
      </c>
      <c r="U29" s="93">
        <f xml:space="preserve"> (SUM(U26:$AV26) &gt; 0) * 1</f>
        <v>1</v>
      </c>
      <c r="V29" s="93">
        <f xml:space="preserve"> (SUM(V26:$AV26) &gt; 0) * 1</f>
        <v>1</v>
      </c>
      <c r="W29" s="93">
        <f xml:space="preserve"> (SUM(W26:$AV26) &gt; 0) * 1</f>
        <v>1</v>
      </c>
      <c r="X29" s="93">
        <f xml:space="preserve"> (SUM(X26:$AV26) &gt; 0) * 1</f>
        <v>1</v>
      </c>
      <c r="Y29" s="93">
        <f xml:space="preserve"> (SUM(Y26:$AV26) &gt; 0) * 1</f>
        <v>1</v>
      </c>
      <c r="Z29" s="93">
        <f xml:space="preserve"> (SUM(Z26:$AV26) &gt; 0) * 1</f>
        <v>1</v>
      </c>
      <c r="AA29" s="93">
        <f xml:space="preserve"> (SUM(AA26:$AV26) &gt; 0) * 1</f>
        <v>1</v>
      </c>
      <c r="AB29" s="93">
        <f xml:space="preserve"> (SUM(AB26:$AV26) &gt; 0) * 1</f>
        <v>1</v>
      </c>
      <c r="AC29" s="93">
        <f xml:space="preserve"> (SUM(AC26:$AV26) &gt; 0) * 1</f>
        <v>1</v>
      </c>
      <c r="AD29" s="93">
        <f xml:space="preserve"> (SUM(AD26:$AV26) &gt; 0) * 1</f>
        <v>1</v>
      </c>
      <c r="AE29" s="93">
        <f xml:space="preserve"> (SUM(AE26:$AV26) &gt; 0) * 1</f>
        <v>1</v>
      </c>
      <c r="AF29" s="93">
        <f xml:space="preserve"> (SUM(AF26:$AV26) &gt; 0) * 1</f>
        <v>1</v>
      </c>
      <c r="AG29" s="93">
        <f xml:space="preserve"> (SUM(AG26:$AV26) &gt; 0) * 1</f>
        <v>1</v>
      </c>
      <c r="AH29" s="93">
        <f xml:space="preserve"> (SUM(AH26:$AV26) &gt; 0) * 1</f>
        <v>1</v>
      </c>
      <c r="AI29" s="93">
        <f xml:space="preserve"> (SUM(AI26:$AV26) &gt; 0) * 1</f>
        <v>1</v>
      </c>
      <c r="AJ29" s="93">
        <f xml:space="preserve"> (SUM(AJ26:$AV26) &gt; 0) * 1</f>
        <v>1</v>
      </c>
      <c r="AK29" s="93">
        <f xml:space="preserve"> (SUM(AK26:$AV26) &gt; 0) * 1</f>
        <v>1</v>
      </c>
      <c r="AL29" s="93">
        <f xml:space="preserve"> (SUM(AL26:$AV26) &gt; 0) * 1</f>
        <v>1</v>
      </c>
      <c r="AM29" s="93">
        <f xml:space="preserve"> (SUM(AM26:$AV26) &gt; 0) * 1</f>
        <v>1</v>
      </c>
      <c r="AN29" s="93">
        <f xml:space="preserve"> (SUM(AN26:$AV26) &gt; 0) * 1</f>
        <v>1</v>
      </c>
      <c r="AO29" s="93">
        <f xml:space="preserve"> (SUM(AO26:$AV26) &gt; 0) * 1</f>
        <v>0</v>
      </c>
      <c r="AP29" s="93">
        <f xml:space="preserve"> (SUM(AP26:$AV26) &gt; 0) * 1</f>
        <v>0</v>
      </c>
      <c r="AQ29" s="93">
        <f xml:space="preserve"> (SUM(AQ26:$AV26) &gt; 0) * 1</f>
        <v>0</v>
      </c>
      <c r="AR29" s="93">
        <f xml:space="preserve"> (SUM(AR26:$AV26) &gt; 0) * 1</f>
        <v>0</v>
      </c>
      <c r="AS29" s="93">
        <f xml:space="preserve"> (SUM(AS26:$AV26) &gt; 0) * 1</f>
        <v>0</v>
      </c>
      <c r="AT29" s="93">
        <f xml:space="preserve"> (SUM(AT26:$AV26) &gt; 0) * 1</f>
        <v>0</v>
      </c>
      <c r="AU29" s="93">
        <f xml:space="preserve"> (SUM(AU26:$AV26) &gt; 0) * 1</f>
        <v>0</v>
      </c>
      <c r="AV29" s="93">
        <f xml:space="preserve"> (SUM(AV26:$AV26) &gt; 0) * 1</f>
        <v>0</v>
      </c>
    </row>
    <row r="31" spans="1:48" ht="15" customHeight="1">
      <c r="E31" s="235" t="s">
        <v>24</v>
      </c>
    </row>
    <row r="32" spans="1:48" ht="15" customHeight="1">
      <c r="E32" s="110" t="s">
        <v>25</v>
      </c>
      <c r="F32" s="205">
        <v>0.95</v>
      </c>
      <c r="G32" s="110" t="s">
        <v>26</v>
      </c>
      <c r="I32" s="136" t="s">
        <v>27</v>
      </c>
    </row>
    <row r="33" spans="1:48" s="123" customFormat="1" ht="15" customHeight="1">
      <c r="A33" s="134"/>
      <c r="B33" s="134"/>
      <c r="C33" s="151"/>
      <c r="E33" s="123" t="s">
        <v>28</v>
      </c>
      <c r="G33" s="123" t="s">
        <v>29</v>
      </c>
      <c r="I33" s="159"/>
      <c r="J33" s="123">
        <f xml:space="preserve"> SUM(L33:AV33)</f>
        <v>26181.829210699601</v>
      </c>
      <c r="L33" s="123">
        <f t="shared" ref="L33:AV33" si="4" xml:space="preserve"> L13 * L27 / 10^3 * $F32</f>
        <v>0</v>
      </c>
      <c r="M33" s="123">
        <f t="shared" si="4"/>
        <v>0</v>
      </c>
      <c r="N33" s="123">
        <f t="shared" si="4"/>
        <v>0</v>
      </c>
      <c r="O33" s="123">
        <f t="shared" si="4"/>
        <v>207.242538</v>
      </c>
      <c r="P33" s="123">
        <f t="shared" si="4"/>
        <v>374.65761799999996</v>
      </c>
      <c r="Q33" s="123">
        <f t="shared" si="4"/>
        <v>483.04256699999996</v>
      </c>
      <c r="R33" s="123">
        <f t="shared" si="4"/>
        <v>464.20070399999997</v>
      </c>
      <c r="S33" s="123">
        <f t="shared" si="4"/>
        <v>610.745994</v>
      </c>
      <c r="T33" s="123">
        <f t="shared" si="4"/>
        <v>1018.82427</v>
      </c>
      <c r="U33" s="123">
        <f t="shared" si="4"/>
        <v>557.31978000000004</v>
      </c>
      <c r="V33" s="123">
        <f t="shared" si="4"/>
        <v>0</v>
      </c>
      <c r="W33" s="123">
        <f t="shared" si="4"/>
        <v>12.958000000000002</v>
      </c>
      <c r="X33" s="123">
        <f t="shared" si="4"/>
        <v>962.06309999999996</v>
      </c>
      <c r="Y33" s="123">
        <f t="shared" si="4"/>
        <v>1409.435524278525</v>
      </c>
      <c r="Z33" s="123">
        <f t="shared" si="4"/>
        <v>1761.2375673652693</v>
      </c>
      <c r="AA33" s="123">
        <f t="shared" si="4"/>
        <v>1851.3715776867632</v>
      </c>
      <c r="AB33" s="123">
        <f t="shared" si="4"/>
        <v>1829.1452214594171</v>
      </c>
      <c r="AC33" s="123">
        <f t="shared" si="4"/>
        <v>1833.6207537709263</v>
      </c>
      <c r="AD33" s="123">
        <f t="shared" si="4"/>
        <v>1850.3925433982115</v>
      </c>
      <c r="AE33" s="123">
        <f t="shared" si="4"/>
        <v>1850.4093148724157</v>
      </c>
      <c r="AF33" s="123">
        <f t="shared" si="4"/>
        <v>1851.265822510823</v>
      </c>
      <c r="AG33" s="123">
        <f t="shared" si="4"/>
        <v>1848.3934162695334</v>
      </c>
      <c r="AH33" s="123">
        <f t="shared" si="4"/>
        <v>1863.2058998337484</v>
      </c>
      <c r="AI33" s="123">
        <f t="shared" si="4"/>
        <v>1113.1158377501597</v>
      </c>
      <c r="AJ33" s="123">
        <f t="shared" si="4"/>
        <v>600.94875825082511</v>
      </c>
      <c r="AK33" s="123">
        <f t="shared" si="4"/>
        <v>614.89884069720301</v>
      </c>
      <c r="AL33" s="123">
        <f t="shared" si="4"/>
        <v>637.25999999999976</v>
      </c>
      <c r="AM33" s="123">
        <f t="shared" si="4"/>
        <v>434.8822605965463</v>
      </c>
      <c r="AN33" s="123">
        <f t="shared" si="4"/>
        <v>141.19130095923265</v>
      </c>
      <c r="AO33" s="123">
        <f t="shared" si="4"/>
        <v>0</v>
      </c>
      <c r="AP33" s="123">
        <f t="shared" si="4"/>
        <v>0</v>
      </c>
      <c r="AQ33" s="123">
        <f t="shared" si="4"/>
        <v>0</v>
      </c>
      <c r="AR33" s="123">
        <f t="shared" si="4"/>
        <v>0</v>
      </c>
      <c r="AS33" s="123">
        <f t="shared" si="4"/>
        <v>0</v>
      </c>
      <c r="AT33" s="123">
        <f t="shared" si="4"/>
        <v>0</v>
      </c>
      <c r="AU33" s="123">
        <f t="shared" si="4"/>
        <v>0</v>
      </c>
      <c r="AV33" s="123">
        <f t="shared" si="4"/>
        <v>0</v>
      </c>
    </row>
    <row r="35" spans="1:48" ht="15" customHeight="1">
      <c r="E35" s="204" t="s">
        <v>30</v>
      </c>
      <c r="F35" s="204">
        <f xml:space="preserve"> F41 / F28</f>
        <v>0.11214547046194459</v>
      </c>
      <c r="G35" s="204" t="str">
        <f xml:space="preserve"> InputsTS!G$381</f>
        <v>%</v>
      </c>
      <c r="H35" s="186"/>
      <c r="I35" s="204" t="s">
        <v>31</v>
      </c>
    </row>
    <row r="37" spans="1:48" ht="15" customHeight="1">
      <c r="E37" s="106" t="s">
        <v>19</v>
      </c>
    </row>
    <row r="38" spans="1:48" ht="15" customHeight="1">
      <c r="E38" s="70" t="str">
        <f xml:space="preserve"> Inp_2019TR!E$36</f>
        <v>Cobalt produced: historic 2019TR</v>
      </c>
      <c r="F38" s="70">
        <f xml:space="preserve"> Inp_2019TR!F$36</f>
        <v>0</v>
      </c>
      <c r="G38" s="70" t="str">
        <f xml:space="preserve"> Inp_2019TR!G$36</f>
        <v>KT Co</v>
      </c>
      <c r="H38" s="70">
        <f xml:space="preserve"> Inp_2019TR!H$36</f>
        <v>0</v>
      </c>
      <c r="I38" s="70" t="str">
        <f xml:space="preserve"> Inp_2019TR!I$36</f>
        <v>XXII</v>
      </c>
      <c r="J38" s="70">
        <f xml:space="preserve"> Inp_2019TR!J$36</f>
        <v>30.37</v>
      </c>
      <c r="K38" s="70">
        <f xml:space="preserve"> Inp_2019TR!K$36</f>
        <v>0</v>
      </c>
      <c r="L38" s="70">
        <f xml:space="preserve"> Inp_2019TR!L$36</f>
        <v>0</v>
      </c>
      <c r="M38" s="70">
        <f xml:space="preserve"> Inp_2019TR!M$36</f>
        <v>0</v>
      </c>
      <c r="N38" s="70">
        <f xml:space="preserve"> Inp_2019TR!N$36</f>
        <v>0.75</v>
      </c>
      <c r="O38" s="70">
        <f xml:space="preserve"> Inp_2019TR!O$36</f>
        <v>2.5299999999999998</v>
      </c>
      <c r="P38" s="70">
        <f xml:space="preserve"> Inp_2019TR!P$36</f>
        <v>3.44</v>
      </c>
      <c r="Q38" s="70">
        <f xml:space="preserve"> Inp_2019TR!Q$36</f>
        <v>2.4300000000000002</v>
      </c>
      <c r="R38" s="70">
        <f xml:space="preserve"> Inp_2019TR!R$36</f>
        <v>2.13</v>
      </c>
      <c r="S38" s="70">
        <f xml:space="preserve"> Inp_2019TR!S$36</f>
        <v>2.2999999999999998</v>
      </c>
      <c r="T38" s="70">
        <f xml:space="preserve"> Inp_2019TR!T$36</f>
        <v>2.78</v>
      </c>
      <c r="U38" s="70">
        <f xml:space="preserve"> Inp_2019TR!U$36</f>
        <v>2.9</v>
      </c>
      <c r="V38" s="70">
        <f xml:space="preserve"> Inp_2019TR!V$36</f>
        <v>0</v>
      </c>
      <c r="W38" s="70">
        <f xml:space="preserve"> Inp_2019TR!W$36</f>
        <v>0</v>
      </c>
      <c r="X38" s="70">
        <f xml:space="preserve"> Inp_2019TR!X$36</f>
        <v>11.11</v>
      </c>
      <c r="Y38" s="70">
        <f xml:space="preserve"> Inp_2019TR!Y$36</f>
        <v>0</v>
      </c>
      <c r="Z38" s="70">
        <f xml:space="preserve"> Inp_2019TR!Z$36</f>
        <v>0</v>
      </c>
      <c r="AA38" s="70">
        <f xml:space="preserve"> Inp_2019TR!AA$36</f>
        <v>0</v>
      </c>
      <c r="AB38" s="70">
        <f xml:space="preserve"> Inp_2019TR!AB$36</f>
        <v>0</v>
      </c>
      <c r="AC38" s="70">
        <f xml:space="preserve"> Inp_2019TR!AC$36</f>
        <v>0</v>
      </c>
      <c r="AD38" s="70">
        <f xml:space="preserve"> Inp_2019TR!AD$36</f>
        <v>0</v>
      </c>
      <c r="AE38" s="70">
        <f xml:space="preserve"> Inp_2019TR!AE$36</f>
        <v>0</v>
      </c>
      <c r="AF38" s="70">
        <f xml:space="preserve"> Inp_2019TR!AF$36</f>
        <v>0</v>
      </c>
      <c r="AG38" s="70">
        <f xml:space="preserve"> Inp_2019TR!AG$36</f>
        <v>0</v>
      </c>
      <c r="AH38" s="70">
        <f xml:space="preserve"> Inp_2019TR!AH$36</f>
        <v>0</v>
      </c>
      <c r="AI38" s="70">
        <f xml:space="preserve"> Inp_2019TR!AI$36</f>
        <v>0</v>
      </c>
      <c r="AJ38" s="70">
        <f xml:space="preserve"> Inp_2019TR!AJ$36</f>
        <v>0</v>
      </c>
      <c r="AK38" s="70">
        <f xml:space="preserve"> Inp_2019TR!AK$36</f>
        <v>0</v>
      </c>
      <c r="AL38" s="70">
        <f xml:space="preserve"> Inp_2019TR!AL$36</f>
        <v>0</v>
      </c>
      <c r="AM38" s="70">
        <f xml:space="preserve"> Inp_2019TR!AM$36</f>
        <v>0</v>
      </c>
      <c r="AN38" s="70">
        <f xml:space="preserve"> Inp_2019TR!AN$36</f>
        <v>0</v>
      </c>
      <c r="AO38" s="70">
        <f xml:space="preserve"> Inp_2019TR!AO$36</f>
        <v>0</v>
      </c>
      <c r="AP38" s="70">
        <f xml:space="preserve"> Inp_2019TR!AP$36</f>
        <v>0</v>
      </c>
      <c r="AQ38" s="70">
        <f xml:space="preserve"> Inp_2019TR!AQ$36</f>
        <v>0</v>
      </c>
      <c r="AR38" s="70">
        <f xml:space="preserve"> Inp_2019TR!AR$36</f>
        <v>0</v>
      </c>
      <c r="AS38" s="70">
        <f xml:space="preserve"> Inp_2019TR!AS$36</f>
        <v>0</v>
      </c>
      <c r="AT38" s="70">
        <f xml:space="preserve"> Inp_2019TR!AT$36</f>
        <v>0</v>
      </c>
      <c r="AU38" s="70">
        <f xml:space="preserve"> Inp_2019TR!AU$36</f>
        <v>0</v>
      </c>
      <c r="AV38" s="70">
        <f xml:space="preserve"> Inp_2019TR!AV$36</f>
        <v>0</v>
      </c>
    </row>
    <row r="39" spans="1:48" ht="15" customHeight="1">
      <c r="E39" s="70" t="str">
        <f xml:space="preserve"> Inp_2019TR!E$158</f>
        <v>Cobalt recovered (calculated) 2019TR</v>
      </c>
      <c r="F39" s="70">
        <f xml:space="preserve"> Inp_2019TR!F$158</f>
        <v>0</v>
      </c>
      <c r="G39" s="70" t="str">
        <f xml:space="preserve"> Inp_2019TR!G$158</f>
        <v>KT Co</v>
      </c>
      <c r="H39" s="70">
        <f xml:space="preserve"> Inp_2019TR!H$158</f>
        <v>0</v>
      </c>
      <c r="I39" s="70">
        <f xml:space="preserve"> Inp_2019TR!I$158</f>
        <v>0</v>
      </c>
      <c r="J39" s="70">
        <f xml:space="preserve"> Inp_2019TR!J$158</f>
        <v>444.9693677068816</v>
      </c>
      <c r="K39" s="70">
        <f xml:space="preserve"> Inp_2019TR!K$158</f>
        <v>0</v>
      </c>
      <c r="L39" s="70">
        <f xml:space="preserve"> Inp_2019TR!L$158</f>
        <v>0</v>
      </c>
      <c r="M39" s="70">
        <f xml:space="preserve"> Inp_2019TR!M$158</f>
        <v>0</v>
      </c>
      <c r="N39" s="70">
        <f xml:space="preserve"> Inp_2019TR!N$158</f>
        <v>0</v>
      </c>
      <c r="O39" s="70">
        <f xml:space="preserve"> Inp_2019TR!O$158</f>
        <v>0</v>
      </c>
      <c r="P39" s="70">
        <f xml:space="preserve"> Inp_2019TR!P$158</f>
        <v>0</v>
      </c>
      <c r="Q39" s="70">
        <f xml:space="preserve"> Inp_2019TR!Q$158</f>
        <v>0</v>
      </c>
      <c r="R39" s="70">
        <f xml:space="preserve"> Inp_2019TR!R$158</f>
        <v>0</v>
      </c>
      <c r="S39" s="70">
        <f xml:space="preserve"> Inp_2019TR!S$158</f>
        <v>0</v>
      </c>
      <c r="T39" s="70">
        <f xml:space="preserve"> Inp_2019TR!T$158</f>
        <v>0</v>
      </c>
      <c r="U39" s="70">
        <f xml:space="preserve"> Inp_2019TR!U$158</f>
        <v>0</v>
      </c>
      <c r="V39" s="70">
        <f xml:space="preserve"> Inp_2019TR!V$158</f>
        <v>0</v>
      </c>
      <c r="W39" s="70">
        <f xml:space="preserve"> Inp_2019TR!W$158</f>
        <v>0</v>
      </c>
      <c r="X39" s="70">
        <f xml:space="preserve"> Inp_2019TR!X$158</f>
        <v>0</v>
      </c>
      <c r="Y39" s="70">
        <f xml:space="preserve"> Inp_2019TR!Y$158</f>
        <v>27.767695099818503</v>
      </c>
      <c r="Z39" s="70">
        <f xml:space="preserve"> Inp_2019TR!Z$158</f>
        <v>32.424427650589024</v>
      </c>
      <c r="AA39" s="70">
        <f xml:space="preserve"> Inp_2019TR!AA$158</f>
        <v>39.336585365853651</v>
      </c>
      <c r="AB39" s="70">
        <f xml:space="preserve"> Inp_2019TR!AB$158</f>
        <v>40.208772770853301</v>
      </c>
      <c r="AC39" s="70">
        <f xml:space="preserve"> Inp_2019TR!AC$158</f>
        <v>41.7342182435561</v>
      </c>
      <c r="AD39" s="70">
        <f xml:space="preserve"> Inp_2019TR!AD$158</f>
        <v>45.154389505549943</v>
      </c>
      <c r="AE39" s="70">
        <f xml:space="preserve"> Inp_2019TR!AE$158</f>
        <v>42.111999999999995</v>
      </c>
      <c r="AF39" s="70">
        <f xml:space="preserve"> Inp_2019TR!AF$158</f>
        <v>37.698266296809997</v>
      </c>
      <c r="AG39" s="70">
        <f xml:space="preserve"> Inp_2019TR!AG$158</f>
        <v>36.16115879828326</v>
      </c>
      <c r="AH39" s="70">
        <f xml:space="preserve"> Inp_2019TR!AH$158</f>
        <v>30.074518201284789</v>
      </c>
      <c r="AI39" s="70">
        <f xml:space="preserve"> Inp_2019TR!AI$158</f>
        <v>19.132716683795824</v>
      </c>
      <c r="AJ39" s="70">
        <f xml:space="preserve"> Inp_2019TR!AJ$158</f>
        <v>12.767430025445293</v>
      </c>
      <c r="AK39" s="70">
        <f xml:space="preserve"> Inp_2019TR!AK$158</f>
        <v>15.367234042553195</v>
      </c>
      <c r="AL39" s="70">
        <f xml:space="preserve"> Inp_2019TR!AL$158</f>
        <v>14.700000000000001</v>
      </c>
      <c r="AM39" s="70">
        <f xml:space="preserve"> Inp_2019TR!AM$158</f>
        <v>8.0347826086956502</v>
      </c>
      <c r="AN39" s="70">
        <f xml:space="preserve"> Inp_2019TR!AN$158</f>
        <v>2.2951724137931033</v>
      </c>
      <c r="AO39" s="70">
        <f xml:space="preserve"> Inp_2019TR!AO$158</f>
        <v>0</v>
      </c>
      <c r="AP39" s="70">
        <f xml:space="preserve"> Inp_2019TR!AP$158</f>
        <v>0</v>
      </c>
      <c r="AQ39" s="70">
        <f xml:space="preserve"> Inp_2019TR!AQ$158</f>
        <v>0</v>
      </c>
      <c r="AR39" s="70">
        <f xml:space="preserve"> Inp_2019TR!AR$158</f>
        <v>0</v>
      </c>
      <c r="AS39" s="70">
        <f xml:space="preserve"> Inp_2019TR!AS$158</f>
        <v>0</v>
      </c>
      <c r="AT39" s="70">
        <f xml:space="preserve"> Inp_2019TR!AT$158</f>
        <v>0</v>
      </c>
      <c r="AU39" s="70">
        <f xml:space="preserve"> Inp_2019TR!AU$158</f>
        <v>0</v>
      </c>
      <c r="AV39" s="70">
        <f xml:space="preserve"> Inp_2019TR!AV$158</f>
        <v>0</v>
      </c>
    </row>
    <row r="40" spans="1:48" s="62" customFormat="1" ht="15" customHeight="1">
      <c r="A40" s="203"/>
      <c r="B40" s="203"/>
      <c r="C40" s="201"/>
      <c r="E40" s="202" t="s">
        <v>32</v>
      </c>
      <c r="F40" s="202"/>
      <c r="G40" s="202" t="s">
        <v>33</v>
      </c>
      <c r="H40" s="202"/>
      <c r="I40" s="202"/>
      <c r="J40" s="202">
        <f xml:space="preserve"> SUM(L40:AV40)</f>
        <v>475.3393677068816</v>
      </c>
      <c r="K40" s="202"/>
      <c r="L40" s="202">
        <f t="shared" ref="L40:AV40" si="5" xml:space="preserve"> L38 + L39</f>
        <v>0</v>
      </c>
      <c r="M40" s="202">
        <f t="shared" si="5"/>
        <v>0</v>
      </c>
      <c r="N40" s="202">
        <f t="shared" si="5"/>
        <v>0.75</v>
      </c>
      <c r="O40" s="202">
        <f t="shared" si="5"/>
        <v>2.5299999999999998</v>
      </c>
      <c r="P40" s="202">
        <f t="shared" si="5"/>
        <v>3.44</v>
      </c>
      <c r="Q40" s="202">
        <f t="shared" si="5"/>
        <v>2.4300000000000002</v>
      </c>
      <c r="R40" s="202">
        <f t="shared" si="5"/>
        <v>2.13</v>
      </c>
      <c r="S40" s="202">
        <f t="shared" si="5"/>
        <v>2.2999999999999998</v>
      </c>
      <c r="T40" s="202">
        <f t="shared" si="5"/>
        <v>2.78</v>
      </c>
      <c r="U40" s="202">
        <f t="shared" si="5"/>
        <v>2.9</v>
      </c>
      <c r="V40" s="202">
        <f t="shared" si="5"/>
        <v>0</v>
      </c>
      <c r="W40" s="202">
        <f t="shared" si="5"/>
        <v>0</v>
      </c>
      <c r="X40" s="202">
        <f t="shared" si="5"/>
        <v>11.11</v>
      </c>
      <c r="Y40" s="202">
        <f t="shared" si="5"/>
        <v>27.767695099818503</v>
      </c>
      <c r="Z40" s="202">
        <f t="shared" si="5"/>
        <v>32.424427650589024</v>
      </c>
      <c r="AA40" s="202">
        <f t="shared" si="5"/>
        <v>39.336585365853651</v>
      </c>
      <c r="AB40" s="202">
        <f t="shared" si="5"/>
        <v>40.208772770853301</v>
      </c>
      <c r="AC40" s="202">
        <f t="shared" si="5"/>
        <v>41.7342182435561</v>
      </c>
      <c r="AD40" s="202">
        <f t="shared" si="5"/>
        <v>45.154389505549943</v>
      </c>
      <c r="AE40" s="202">
        <f t="shared" si="5"/>
        <v>42.111999999999995</v>
      </c>
      <c r="AF40" s="202">
        <f t="shared" si="5"/>
        <v>37.698266296809997</v>
      </c>
      <c r="AG40" s="202">
        <f t="shared" si="5"/>
        <v>36.16115879828326</v>
      </c>
      <c r="AH40" s="202">
        <f t="shared" si="5"/>
        <v>30.074518201284789</v>
      </c>
      <c r="AI40" s="202">
        <f t="shared" si="5"/>
        <v>19.132716683795824</v>
      </c>
      <c r="AJ40" s="202">
        <f t="shared" si="5"/>
        <v>12.767430025445293</v>
      </c>
      <c r="AK40" s="202">
        <f t="shared" si="5"/>
        <v>15.367234042553195</v>
      </c>
      <c r="AL40" s="202">
        <f t="shared" si="5"/>
        <v>14.700000000000001</v>
      </c>
      <c r="AM40" s="202">
        <f t="shared" si="5"/>
        <v>8.0347826086956502</v>
      </c>
      <c r="AN40" s="202">
        <f t="shared" si="5"/>
        <v>2.2951724137931033</v>
      </c>
      <c r="AO40" s="202">
        <f t="shared" si="5"/>
        <v>0</v>
      </c>
      <c r="AP40" s="202">
        <f t="shared" si="5"/>
        <v>0</v>
      </c>
      <c r="AQ40" s="202">
        <f t="shared" si="5"/>
        <v>0</v>
      </c>
      <c r="AR40" s="202">
        <f t="shared" si="5"/>
        <v>0</v>
      </c>
      <c r="AS40" s="202">
        <f t="shared" si="5"/>
        <v>0</v>
      </c>
      <c r="AT40" s="202">
        <f t="shared" si="5"/>
        <v>0</v>
      </c>
      <c r="AU40" s="202">
        <f t="shared" si="5"/>
        <v>0</v>
      </c>
      <c r="AV40" s="202">
        <f t="shared" si="5"/>
        <v>0</v>
      </c>
    </row>
    <row r="41" spans="1:48" s="62" customFormat="1" ht="15" customHeight="1">
      <c r="A41" s="203"/>
      <c r="B41" s="203"/>
      <c r="C41" s="201"/>
      <c r="E41" s="202" t="str">
        <f xml:space="preserve"> E40</f>
        <v>Cobalt produced: history + forecast 2019TR</v>
      </c>
      <c r="F41" s="202">
        <f xml:space="preserve"> SUM(L40:AV40)</f>
        <v>475.3393677068816</v>
      </c>
      <c r="G41" s="202" t="str">
        <f xml:space="preserve"> G40</f>
        <v>Kt Co</v>
      </c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2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2"/>
      <c r="AT41" s="202"/>
      <c r="AU41" s="202"/>
      <c r="AV41" s="202"/>
    </row>
    <row r="42" spans="1:48" s="62" customFormat="1" ht="15" customHeight="1">
      <c r="A42" s="203"/>
      <c r="B42" s="203"/>
      <c r="C42" s="201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  <c r="AR42" s="202"/>
      <c r="AS42" s="202"/>
      <c r="AT42" s="202"/>
      <c r="AU42" s="202"/>
      <c r="AV42" s="202"/>
    </row>
    <row r="43" spans="1:48" s="123" customFormat="1" ht="15" customHeight="1">
      <c r="A43" s="134"/>
      <c r="B43" s="134"/>
      <c r="C43" s="151"/>
      <c r="E43" s="110" t="s">
        <v>34</v>
      </c>
      <c r="F43" s="205">
        <v>0.75</v>
      </c>
      <c r="G43" s="110" t="s">
        <v>26</v>
      </c>
      <c r="H43" s="110"/>
      <c r="I43" s="136" t="s">
        <v>27</v>
      </c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</row>
    <row r="44" spans="1:48" s="123" customFormat="1" ht="15" customHeight="1">
      <c r="A44" s="134"/>
      <c r="B44" s="134"/>
      <c r="C44" s="151"/>
      <c r="E44" s="123" t="s">
        <v>35</v>
      </c>
      <c r="G44" s="123" t="s">
        <v>29</v>
      </c>
      <c r="I44" s="159"/>
      <c r="J44" s="123">
        <f xml:space="preserve"> SUM(L44:AV44)</f>
        <v>19792.201612891862</v>
      </c>
      <c r="L44" s="123">
        <f t="shared" ref="L44:AV44" si="6" xml:space="preserve"> L40 * L21 * $F43 / 10^3</f>
        <v>0</v>
      </c>
      <c r="M44" s="123">
        <f t="shared" si="6"/>
        <v>0</v>
      </c>
      <c r="N44" s="123">
        <f t="shared" si="6"/>
        <v>0</v>
      </c>
      <c r="O44" s="123">
        <f t="shared" si="6"/>
        <v>66.471322499999999</v>
      </c>
      <c r="P44" s="123">
        <f t="shared" si="6"/>
        <v>106.64945999999999</v>
      </c>
      <c r="Q44" s="123">
        <f t="shared" si="6"/>
        <v>54.684112500000005</v>
      </c>
      <c r="R44" s="123">
        <f t="shared" si="6"/>
        <v>45.980842500000001</v>
      </c>
      <c r="S44" s="123">
        <f t="shared" si="6"/>
        <v>46.625024999999994</v>
      </c>
      <c r="T44" s="123">
        <f t="shared" si="6"/>
        <v>64.355609999999999</v>
      </c>
      <c r="U44" s="123">
        <f t="shared" si="6"/>
        <v>63.581774999999993</v>
      </c>
      <c r="V44" s="123">
        <f t="shared" si="6"/>
        <v>0</v>
      </c>
      <c r="W44" s="123">
        <f t="shared" si="6"/>
        <v>0</v>
      </c>
      <c r="X44" s="123">
        <f t="shared" si="6"/>
        <v>510.68225999999993</v>
      </c>
      <c r="Y44" s="123">
        <f t="shared" si="6"/>
        <v>583.09398212341171</v>
      </c>
      <c r="Z44" s="123">
        <f t="shared" si="6"/>
        <v>1072.2531253056236</v>
      </c>
      <c r="AA44" s="123">
        <f t="shared" si="6"/>
        <v>1756.1250122926826</v>
      </c>
      <c r="AB44" s="123">
        <f t="shared" si="6"/>
        <v>1795.0625586780918</v>
      </c>
      <c r="AC44" s="123">
        <f t="shared" si="6"/>
        <v>1863.1638675382001</v>
      </c>
      <c r="AD44" s="123">
        <f t="shared" si="6"/>
        <v>2015.8524713824418</v>
      </c>
      <c r="AE44" s="123">
        <f t="shared" si="6"/>
        <v>1880.0293881599998</v>
      </c>
      <c r="AF44" s="123">
        <f t="shared" si="6"/>
        <v>1682.9846248262832</v>
      </c>
      <c r="AG44" s="123">
        <f t="shared" si="6"/>
        <v>1614.3626816748927</v>
      </c>
      <c r="AH44" s="123">
        <f t="shared" si="6"/>
        <v>1342.6334074175584</v>
      </c>
      <c r="AI44" s="123">
        <f t="shared" si="6"/>
        <v>854.1524895724566</v>
      </c>
      <c r="AJ44" s="123">
        <f t="shared" si="6"/>
        <v>569.98346454961836</v>
      </c>
      <c r="AK44" s="123">
        <f t="shared" si="6"/>
        <v>686.0479581765959</v>
      </c>
      <c r="AL44" s="123">
        <f t="shared" si="6"/>
        <v>656.26025849999996</v>
      </c>
      <c r="AM44" s="123">
        <f t="shared" si="6"/>
        <v>358.70125930434767</v>
      </c>
      <c r="AN44" s="123">
        <f t="shared" si="6"/>
        <v>102.46465588965518</v>
      </c>
      <c r="AO44" s="123">
        <f t="shared" si="6"/>
        <v>0</v>
      </c>
      <c r="AP44" s="123">
        <f t="shared" si="6"/>
        <v>0</v>
      </c>
      <c r="AQ44" s="123">
        <f t="shared" si="6"/>
        <v>0</v>
      </c>
      <c r="AR44" s="123">
        <f t="shared" si="6"/>
        <v>0</v>
      </c>
      <c r="AS44" s="123">
        <f t="shared" si="6"/>
        <v>0</v>
      </c>
      <c r="AT44" s="123">
        <f t="shared" si="6"/>
        <v>0</v>
      </c>
      <c r="AU44" s="123">
        <f t="shared" si="6"/>
        <v>0</v>
      </c>
      <c r="AV44" s="123">
        <f t="shared" si="6"/>
        <v>0</v>
      </c>
    </row>
    <row r="46" spans="1:48" ht="15" customHeight="1">
      <c r="C46" s="191" t="s">
        <v>36</v>
      </c>
    </row>
    <row r="47" spans="1:48" ht="15" customHeight="1">
      <c r="E47" s="123" t="str">
        <f xml:space="preserve"> E$33</f>
        <v>Copper gross revenue</v>
      </c>
      <c r="F47" s="123">
        <f t="shared" ref="F47:AV47" si="7" xml:space="preserve"> F$33</f>
        <v>0</v>
      </c>
      <c r="G47" s="123" t="str">
        <f t="shared" si="7"/>
        <v>$ mn</v>
      </c>
      <c r="H47" s="123">
        <f t="shared" si="7"/>
        <v>0</v>
      </c>
      <c r="I47" s="123">
        <f t="shared" si="7"/>
        <v>0</v>
      </c>
      <c r="J47" s="123">
        <f t="shared" si="7"/>
        <v>26181.829210699601</v>
      </c>
      <c r="K47" s="123">
        <f t="shared" si="7"/>
        <v>0</v>
      </c>
      <c r="L47" s="123">
        <f t="shared" si="7"/>
        <v>0</v>
      </c>
      <c r="M47" s="123">
        <f t="shared" si="7"/>
        <v>0</v>
      </c>
      <c r="N47" s="123">
        <f t="shared" si="7"/>
        <v>0</v>
      </c>
      <c r="O47" s="123">
        <f t="shared" si="7"/>
        <v>207.242538</v>
      </c>
      <c r="P47" s="123">
        <f t="shared" si="7"/>
        <v>374.65761799999996</v>
      </c>
      <c r="Q47" s="123">
        <f t="shared" si="7"/>
        <v>483.04256699999996</v>
      </c>
      <c r="R47" s="123">
        <f t="shared" si="7"/>
        <v>464.20070399999997</v>
      </c>
      <c r="S47" s="123">
        <f t="shared" si="7"/>
        <v>610.745994</v>
      </c>
      <c r="T47" s="123">
        <f t="shared" si="7"/>
        <v>1018.82427</v>
      </c>
      <c r="U47" s="123">
        <f t="shared" si="7"/>
        <v>557.31978000000004</v>
      </c>
      <c r="V47" s="123">
        <f t="shared" si="7"/>
        <v>0</v>
      </c>
      <c r="W47" s="123">
        <f t="shared" si="7"/>
        <v>12.958000000000002</v>
      </c>
      <c r="X47" s="123">
        <f t="shared" si="7"/>
        <v>962.06309999999996</v>
      </c>
      <c r="Y47" s="123">
        <f t="shared" si="7"/>
        <v>1409.435524278525</v>
      </c>
      <c r="Z47" s="123">
        <f t="shared" si="7"/>
        <v>1761.2375673652693</v>
      </c>
      <c r="AA47" s="123">
        <f t="shared" si="7"/>
        <v>1851.3715776867632</v>
      </c>
      <c r="AB47" s="123">
        <f t="shared" si="7"/>
        <v>1829.1452214594171</v>
      </c>
      <c r="AC47" s="123">
        <f t="shared" si="7"/>
        <v>1833.6207537709263</v>
      </c>
      <c r="AD47" s="123">
        <f t="shared" si="7"/>
        <v>1850.3925433982115</v>
      </c>
      <c r="AE47" s="123">
        <f t="shared" si="7"/>
        <v>1850.4093148724157</v>
      </c>
      <c r="AF47" s="123">
        <f t="shared" si="7"/>
        <v>1851.265822510823</v>
      </c>
      <c r="AG47" s="123">
        <f t="shared" si="7"/>
        <v>1848.3934162695334</v>
      </c>
      <c r="AH47" s="123">
        <f t="shared" si="7"/>
        <v>1863.2058998337484</v>
      </c>
      <c r="AI47" s="123">
        <f t="shared" si="7"/>
        <v>1113.1158377501597</v>
      </c>
      <c r="AJ47" s="123">
        <f t="shared" si="7"/>
        <v>600.94875825082511</v>
      </c>
      <c r="AK47" s="123">
        <f t="shared" si="7"/>
        <v>614.89884069720301</v>
      </c>
      <c r="AL47" s="123">
        <f t="shared" si="7"/>
        <v>637.25999999999976</v>
      </c>
      <c r="AM47" s="123">
        <f t="shared" si="7"/>
        <v>434.8822605965463</v>
      </c>
      <c r="AN47" s="123">
        <f t="shared" si="7"/>
        <v>141.19130095923265</v>
      </c>
      <c r="AO47" s="123">
        <f t="shared" si="7"/>
        <v>0</v>
      </c>
      <c r="AP47" s="123">
        <f t="shared" si="7"/>
        <v>0</v>
      </c>
      <c r="AQ47" s="123">
        <f t="shared" si="7"/>
        <v>0</v>
      </c>
      <c r="AR47" s="123">
        <f t="shared" si="7"/>
        <v>0</v>
      </c>
      <c r="AS47" s="123">
        <f t="shared" si="7"/>
        <v>0</v>
      </c>
      <c r="AT47" s="123">
        <f t="shared" si="7"/>
        <v>0</v>
      </c>
      <c r="AU47" s="123">
        <f t="shared" si="7"/>
        <v>0</v>
      </c>
      <c r="AV47" s="123">
        <f t="shared" si="7"/>
        <v>0</v>
      </c>
    </row>
    <row r="48" spans="1:48" s="123" customFormat="1" ht="15" customHeight="1">
      <c r="A48" s="134"/>
      <c r="B48" s="134"/>
      <c r="C48" s="151"/>
      <c r="E48" s="123" t="str">
        <f xml:space="preserve"> E$44</f>
        <v>Cobalt gross revenue</v>
      </c>
      <c r="F48" s="123">
        <f t="shared" ref="F48:AV48" si="8" xml:space="preserve"> F$44</f>
        <v>0</v>
      </c>
      <c r="G48" s="123" t="str">
        <f t="shared" si="8"/>
        <v>$ mn</v>
      </c>
      <c r="H48" s="123">
        <f t="shared" si="8"/>
        <v>0</v>
      </c>
      <c r="I48" s="123">
        <f t="shared" si="8"/>
        <v>0</v>
      </c>
      <c r="J48" s="123">
        <f t="shared" si="8"/>
        <v>19792.201612891862</v>
      </c>
      <c r="K48" s="123">
        <f t="shared" si="8"/>
        <v>0</v>
      </c>
      <c r="L48" s="123">
        <f t="shared" si="8"/>
        <v>0</v>
      </c>
      <c r="M48" s="123">
        <f t="shared" si="8"/>
        <v>0</v>
      </c>
      <c r="N48" s="123">
        <f t="shared" si="8"/>
        <v>0</v>
      </c>
      <c r="O48" s="123">
        <f t="shared" si="8"/>
        <v>66.471322499999999</v>
      </c>
      <c r="P48" s="123">
        <f t="shared" si="8"/>
        <v>106.64945999999999</v>
      </c>
      <c r="Q48" s="123">
        <f t="shared" si="8"/>
        <v>54.684112500000005</v>
      </c>
      <c r="R48" s="123">
        <f t="shared" si="8"/>
        <v>45.980842500000001</v>
      </c>
      <c r="S48" s="123">
        <f t="shared" si="8"/>
        <v>46.625024999999994</v>
      </c>
      <c r="T48" s="123">
        <f t="shared" si="8"/>
        <v>64.355609999999999</v>
      </c>
      <c r="U48" s="123">
        <f t="shared" si="8"/>
        <v>63.581774999999993</v>
      </c>
      <c r="V48" s="123">
        <f t="shared" si="8"/>
        <v>0</v>
      </c>
      <c r="W48" s="123">
        <f t="shared" si="8"/>
        <v>0</v>
      </c>
      <c r="X48" s="123">
        <f t="shared" si="8"/>
        <v>510.68225999999993</v>
      </c>
      <c r="Y48" s="123">
        <f t="shared" si="8"/>
        <v>583.09398212341171</v>
      </c>
      <c r="Z48" s="123">
        <f t="shared" si="8"/>
        <v>1072.2531253056236</v>
      </c>
      <c r="AA48" s="123">
        <f t="shared" si="8"/>
        <v>1756.1250122926826</v>
      </c>
      <c r="AB48" s="123">
        <f t="shared" si="8"/>
        <v>1795.0625586780918</v>
      </c>
      <c r="AC48" s="123">
        <f t="shared" si="8"/>
        <v>1863.1638675382001</v>
      </c>
      <c r="AD48" s="123">
        <f t="shared" si="8"/>
        <v>2015.8524713824418</v>
      </c>
      <c r="AE48" s="123">
        <f t="shared" si="8"/>
        <v>1880.0293881599998</v>
      </c>
      <c r="AF48" s="123">
        <f t="shared" si="8"/>
        <v>1682.9846248262832</v>
      </c>
      <c r="AG48" s="123">
        <f t="shared" si="8"/>
        <v>1614.3626816748927</v>
      </c>
      <c r="AH48" s="123">
        <f t="shared" si="8"/>
        <v>1342.6334074175584</v>
      </c>
      <c r="AI48" s="123">
        <f t="shared" si="8"/>
        <v>854.1524895724566</v>
      </c>
      <c r="AJ48" s="123">
        <f t="shared" si="8"/>
        <v>569.98346454961836</v>
      </c>
      <c r="AK48" s="123">
        <f t="shared" si="8"/>
        <v>686.0479581765959</v>
      </c>
      <c r="AL48" s="123">
        <f t="shared" si="8"/>
        <v>656.26025849999996</v>
      </c>
      <c r="AM48" s="123">
        <f t="shared" si="8"/>
        <v>358.70125930434767</v>
      </c>
      <c r="AN48" s="123">
        <f t="shared" si="8"/>
        <v>102.46465588965518</v>
      </c>
      <c r="AO48" s="123">
        <f t="shared" si="8"/>
        <v>0</v>
      </c>
      <c r="AP48" s="123">
        <f t="shared" si="8"/>
        <v>0</v>
      </c>
      <c r="AQ48" s="123">
        <f t="shared" si="8"/>
        <v>0</v>
      </c>
      <c r="AR48" s="123">
        <f t="shared" si="8"/>
        <v>0</v>
      </c>
      <c r="AS48" s="123">
        <f t="shared" si="8"/>
        <v>0</v>
      </c>
      <c r="AT48" s="123">
        <f t="shared" si="8"/>
        <v>0</v>
      </c>
      <c r="AU48" s="123">
        <f t="shared" si="8"/>
        <v>0</v>
      </c>
      <c r="AV48" s="123">
        <f t="shared" si="8"/>
        <v>0</v>
      </c>
    </row>
    <row r="49" spans="1:48" ht="15" customHeight="1">
      <c r="E49" s="157" t="s">
        <v>37</v>
      </c>
      <c r="F49" s="157"/>
      <c r="G49" s="157" t="s">
        <v>29</v>
      </c>
      <c r="H49" s="156"/>
      <c r="I49" s="158"/>
      <c r="J49" s="157">
        <f xml:space="preserve"> SUM(L49:AV49)</f>
        <v>45974.030823591449</v>
      </c>
      <c r="K49" s="156"/>
      <c r="L49" s="156">
        <f t="shared" ref="L49:AV49" si="9">SUM(L47:L48)</f>
        <v>0</v>
      </c>
      <c r="M49" s="156">
        <f t="shared" si="9"/>
        <v>0</v>
      </c>
      <c r="N49" s="156">
        <f t="shared" si="9"/>
        <v>0</v>
      </c>
      <c r="O49" s="156">
        <f t="shared" si="9"/>
        <v>273.71386050000001</v>
      </c>
      <c r="P49" s="156">
        <f t="shared" si="9"/>
        <v>481.30707799999993</v>
      </c>
      <c r="Q49" s="156">
        <f t="shared" si="9"/>
        <v>537.72667949999993</v>
      </c>
      <c r="R49" s="156">
        <f t="shared" si="9"/>
        <v>510.18154649999997</v>
      </c>
      <c r="S49" s="156">
        <f t="shared" si="9"/>
        <v>657.37101899999993</v>
      </c>
      <c r="T49" s="156">
        <f t="shared" si="9"/>
        <v>1083.1798799999999</v>
      </c>
      <c r="U49" s="156">
        <f t="shared" si="9"/>
        <v>620.90155500000003</v>
      </c>
      <c r="V49" s="156">
        <f t="shared" si="9"/>
        <v>0</v>
      </c>
      <c r="W49" s="156">
        <f t="shared" si="9"/>
        <v>12.958000000000002</v>
      </c>
      <c r="X49" s="156">
        <f t="shared" si="9"/>
        <v>1472.7453599999999</v>
      </c>
      <c r="Y49" s="156">
        <f t="shared" si="9"/>
        <v>1992.5295064019367</v>
      </c>
      <c r="Z49" s="156">
        <f t="shared" si="9"/>
        <v>2833.4906926708927</v>
      </c>
      <c r="AA49" s="156">
        <f t="shared" si="9"/>
        <v>3607.4965899794461</v>
      </c>
      <c r="AB49" s="156">
        <f t="shared" si="9"/>
        <v>3624.207780137509</v>
      </c>
      <c r="AC49" s="156">
        <f t="shared" si="9"/>
        <v>3696.7846213091261</v>
      </c>
      <c r="AD49" s="156">
        <f t="shared" si="9"/>
        <v>3866.245014780653</v>
      </c>
      <c r="AE49" s="156">
        <f t="shared" si="9"/>
        <v>3730.4387030324156</v>
      </c>
      <c r="AF49" s="156">
        <f t="shared" si="9"/>
        <v>3534.2504473371064</v>
      </c>
      <c r="AG49" s="156">
        <f t="shared" si="9"/>
        <v>3462.7560979444261</v>
      </c>
      <c r="AH49" s="156">
        <f t="shared" si="9"/>
        <v>3205.8393072513068</v>
      </c>
      <c r="AI49" s="156">
        <f t="shared" si="9"/>
        <v>1967.2683273226162</v>
      </c>
      <c r="AJ49" s="156">
        <f t="shared" si="9"/>
        <v>1170.9322228004435</v>
      </c>
      <c r="AK49" s="156">
        <f t="shared" si="9"/>
        <v>1300.9467988737988</v>
      </c>
      <c r="AL49" s="156">
        <f t="shared" si="9"/>
        <v>1293.5202584999997</v>
      </c>
      <c r="AM49" s="156">
        <f t="shared" si="9"/>
        <v>793.58351990089398</v>
      </c>
      <c r="AN49" s="156">
        <f t="shared" si="9"/>
        <v>243.65595684888783</v>
      </c>
      <c r="AO49" s="156">
        <f t="shared" si="9"/>
        <v>0</v>
      </c>
      <c r="AP49" s="156">
        <f t="shared" si="9"/>
        <v>0</v>
      </c>
      <c r="AQ49" s="156">
        <f t="shared" si="9"/>
        <v>0</v>
      </c>
      <c r="AR49" s="156">
        <f t="shared" si="9"/>
        <v>0</v>
      </c>
      <c r="AS49" s="156">
        <f t="shared" si="9"/>
        <v>0</v>
      </c>
      <c r="AT49" s="156">
        <f t="shared" si="9"/>
        <v>0</v>
      </c>
      <c r="AU49" s="156">
        <f t="shared" si="9"/>
        <v>0</v>
      </c>
      <c r="AV49" s="156">
        <f t="shared" si="9"/>
        <v>0</v>
      </c>
    </row>
    <row r="50" spans="1:48" s="3" customFormat="1" ht="15" customHeight="1"/>
    <row r="51" spans="1:48" s="160" customFormat="1" ht="15" customHeight="1">
      <c r="A51" s="164" t="s">
        <v>38</v>
      </c>
      <c r="B51" s="162"/>
      <c r="C51" s="192"/>
      <c r="D51" s="163"/>
      <c r="E51" s="162"/>
      <c r="F51" s="162"/>
      <c r="G51" s="162"/>
      <c r="H51" s="162"/>
    </row>
    <row r="52" spans="1:48" s="229" customFormat="1" ht="15" customHeight="1">
      <c r="A52" s="225"/>
      <c r="B52" s="226"/>
      <c r="C52" s="227"/>
      <c r="D52" s="228"/>
      <c r="E52" s="226"/>
      <c r="F52" s="226"/>
      <c r="G52" s="226"/>
      <c r="H52" s="226"/>
    </row>
    <row r="53" spans="1:48" ht="15" customHeight="1">
      <c r="C53" s="191" t="s">
        <v>39</v>
      </c>
      <c r="Q53" s="78"/>
      <c r="R53" s="78"/>
      <c r="S53" s="78"/>
      <c r="T53" s="78"/>
      <c r="U53" s="78"/>
      <c r="V53" s="78"/>
      <c r="W53" s="78"/>
      <c r="X53" s="78"/>
    </row>
    <row r="54" spans="1:48" ht="15" customHeight="1">
      <c r="E54" s="235" t="s">
        <v>40</v>
      </c>
      <c r="Q54" s="78"/>
      <c r="R54" s="78"/>
      <c r="S54" s="78"/>
      <c r="T54" s="78"/>
      <c r="U54" s="78"/>
      <c r="V54" s="78"/>
      <c r="W54" s="78"/>
      <c r="X54" s="78"/>
    </row>
    <row r="55" spans="1:48" ht="15" customHeight="1">
      <c r="E55" s="112" t="str">
        <f xml:space="preserve"> Kamoto_2011TR!E$57</f>
        <v>Freight, Insurance &amp; Sales 2011TR</v>
      </c>
      <c r="F55" s="112">
        <f xml:space="preserve"> Kamoto_2011TR!F$57</f>
        <v>775.09834364919732</v>
      </c>
      <c r="G55" s="112" t="str">
        <f xml:space="preserve"> Kamoto_2011TR!G$57</f>
        <v>$ / t Cu/Co</v>
      </c>
      <c r="I55" s="210" t="s">
        <v>41</v>
      </c>
      <c r="Q55" s="78"/>
      <c r="R55" s="78"/>
      <c r="S55" s="78"/>
      <c r="T55" s="78"/>
      <c r="U55" s="78"/>
      <c r="V55" s="78"/>
      <c r="W55" s="78"/>
      <c r="X55" s="78"/>
    </row>
    <row r="56" spans="1:48" ht="15" customHeight="1">
      <c r="E56" s="3" t="str">
        <f t="shared" ref="E56:AV56" si="10" xml:space="preserve"> E$27</f>
        <v>Copper produced: history + forecast 2019TR</v>
      </c>
      <c r="F56" s="3">
        <f t="shared" si="10"/>
        <v>0</v>
      </c>
      <c r="G56" s="3" t="str">
        <f t="shared" si="10"/>
        <v>KT Cu</v>
      </c>
      <c r="H56" s="3">
        <f t="shared" si="10"/>
        <v>0</v>
      </c>
      <c r="I56" s="3">
        <f t="shared" si="10"/>
        <v>0</v>
      </c>
      <c r="J56" s="3">
        <f t="shared" si="10"/>
        <v>4238.596224607958</v>
      </c>
      <c r="K56" s="3">
        <f t="shared" si="10"/>
        <v>0</v>
      </c>
      <c r="L56" s="3">
        <f t="shared" si="10"/>
        <v>0</v>
      </c>
      <c r="M56" s="3">
        <f t="shared" si="10"/>
        <v>0</v>
      </c>
      <c r="N56" s="3">
        <f t="shared" si="10"/>
        <v>22.12</v>
      </c>
      <c r="O56" s="3">
        <f t="shared" si="10"/>
        <v>41.96</v>
      </c>
      <c r="P56" s="3">
        <f t="shared" si="10"/>
        <v>52.18</v>
      </c>
      <c r="Q56" s="3">
        <f t="shared" si="10"/>
        <v>57.61</v>
      </c>
      <c r="R56" s="3">
        <f t="shared" si="10"/>
        <v>61.44</v>
      </c>
      <c r="S56" s="3">
        <f t="shared" si="10"/>
        <v>87.48</v>
      </c>
      <c r="T56" s="3">
        <f t="shared" si="10"/>
        <v>157.02000000000001</v>
      </c>
      <c r="U56" s="3">
        <f t="shared" si="10"/>
        <v>106.8</v>
      </c>
      <c r="V56" s="3">
        <f t="shared" si="10"/>
        <v>0</v>
      </c>
      <c r="W56" s="3">
        <f t="shared" si="10"/>
        <v>2.2000000000000002</v>
      </c>
      <c r="X56" s="3">
        <f t="shared" si="10"/>
        <v>152.4</v>
      </c>
      <c r="Y56" s="3">
        <f t="shared" si="10"/>
        <v>245.34750146284372</v>
      </c>
      <c r="Z56" s="3">
        <f t="shared" si="10"/>
        <v>285.22065868263473</v>
      </c>
      <c r="AA56" s="3">
        <f t="shared" si="10"/>
        <v>299.81725954441509</v>
      </c>
      <c r="AB56" s="3">
        <f t="shared" si="10"/>
        <v>296.21784962905542</v>
      </c>
      <c r="AC56" s="3">
        <f t="shared" si="10"/>
        <v>296.94263218962374</v>
      </c>
      <c r="AD56" s="3">
        <f t="shared" si="10"/>
        <v>299.65871148149176</v>
      </c>
      <c r="AE56" s="3">
        <f t="shared" si="10"/>
        <v>299.661427509703</v>
      </c>
      <c r="AF56" s="3">
        <f t="shared" si="10"/>
        <v>299.8001332001333</v>
      </c>
      <c r="AG56" s="3">
        <f t="shared" si="10"/>
        <v>299.33496619749531</v>
      </c>
      <c r="AH56" s="3">
        <f t="shared" si="10"/>
        <v>301.73374896093094</v>
      </c>
      <c r="AI56" s="3">
        <f t="shared" si="10"/>
        <v>180.26167412958054</v>
      </c>
      <c r="AJ56" s="3">
        <f t="shared" si="10"/>
        <v>97.319636963696368</v>
      </c>
      <c r="AK56" s="3">
        <f t="shared" si="10"/>
        <v>99.578759627077432</v>
      </c>
      <c r="AL56" s="3">
        <f t="shared" si="10"/>
        <v>103.19999999999999</v>
      </c>
      <c r="AM56" s="3">
        <f t="shared" si="10"/>
        <v>70.426277019683624</v>
      </c>
      <c r="AN56" s="3">
        <f t="shared" si="10"/>
        <v>22.864988009592331</v>
      </c>
      <c r="AO56" s="3">
        <f t="shared" si="10"/>
        <v>0</v>
      </c>
      <c r="AP56" s="3">
        <f t="shared" si="10"/>
        <v>0</v>
      </c>
      <c r="AQ56" s="3">
        <f t="shared" si="10"/>
        <v>0</v>
      </c>
      <c r="AR56" s="3">
        <f t="shared" si="10"/>
        <v>0</v>
      </c>
      <c r="AS56" s="3">
        <f t="shared" si="10"/>
        <v>0</v>
      </c>
      <c r="AT56" s="3">
        <f t="shared" si="10"/>
        <v>0</v>
      </c>
      <c r="AU56" s="3">
        <f t="shared" si="10"/>
        <v>0</v>
      </c>
      <c r="AV56" s="3">
        <f t="shared" si="10"/>
        <v>0</v>
      </c>
    </row>
    <row r="57" spans="1:48" s="150" customFormat="1" ht="15" customHeight="1">
      <c r="A57" s="189"/>
      <c r="B57" s="189"/>
      <c r="C57" s="151"/>
      <c r="E57" s="200" t="s">
        <v>42</v>
      </c>
      <c r="F57" s="200"/>
      <c r="G57" s="200" t="s">
        <v>29</v>
      </c>
      <c r="H57" s="200"/>
      <c r="I57" s="200"/>
      <c r="J57" s="200">
        <f xml:space="preserve"> SUM(L57:AV57)</f>
        <v>3285.328913091369</v>
      </c>
      <c r="K57" s="200">
        <f xml:space="preserve"> InputsTS!K$412</f>
        <v>0</v>
      </c>
      <c r="L57" s="200">
        <f t="shared" ref="L57:AV57" si="11" xml:space="preserve"> L56 * $F55 / 10^3</f>
        <v>0</v>
      </c>
      <c r="M57" s="200">
        <f t="shared" si="11"/>
        <v>0</v>
      </c>
      <c r="N57" s="200">
        <f t="shared" si="11"/>
        <v>17.145175361520248</v>
      </c>
      <c r="O57" s="200">
        <f t="shared" si="11"/>
        <v>32.523126499520323</v>
      </c>
      <c r="P57" s="200">
        <f t="shared" si="11"/>
        <v>40.444631571615112</v>
      </c>
      <c r="Q57" s="200">
        <f t="shared" si="11"/>
        <v>44.653415577630255</v>
      </c>
      <c r="R57" s="200">
        <f t="shared" si="11"/>
        <v>47.622042233806681</v>
      </c>
      <c r="S57" s="200">
        <f t="shared" si="11"/>
        <v>67.805603102431775</v>
      </c>
      <c r="T57" s="200">
        <f t="shared" si="11"/>
        <v>121.70594191979697</v>
      </c>
      <c r="U57" s="200">
        <f t="shared" si="11"/>
        <v>82.780503101734269</v>
      </c>
      <c r="V57" s="200">
        <f t="shared" si="11"/>
        <v>0</v>
      </c>
      <c r="W57" s="200">
        <f t="shared" si="11"/>
        <v>1.7052163560282343</v>
      </c>
      <c r="X57" s="200">
        <f t="shared" si="11"/>
        <v>118.12498757213767</v>
      </c>
      <c r="Y57" s="200">
        <f t="shared" si="11"/>
        <v>190.16844200231918</v>
      </c>
      <c r="Z57" s="200">
        <f t="shared" si="11"/>
        <v>221.07406011944323</v>
      </c>
      <c r="AA57" s="200">
        <f t="shared" si="11"/>
        <v>232.38786127031764</v>
      </c>
      <c r="AB57" s="200">
        <f t="shared" si="11"/>
        <v>229.59796460680786</v>
      </c>
      <c r="AC57" s="200">
        <f t="shared" si="11"/>
        <v>230.15974236901016</v>
      </c>
      <c r="AD57" s="200">
        <f t="shared" si="11"/>
        <v>232.26497092935696</v>
      </c>
      <c r="AE57" s="200">
        <f t="shared" si="11"/>
        <v>232.26707611832481</v>
      </c>
      <c r="AF57" s="200">
        <f t="shared" si="11"/>
        <v>232.37458666923206</v>
      </c>
      <c r="AG57" s="200">
        <f t="shared" si="11"/>
        <v>232.01403649596708</v>
      </c>
      <c r="AH57" s="200">
        <f t="shared" si="11"/>
        <v>233.87332904268027</v>
      </c>
      <c r="AI57" s="200">
        <f t="shared" si="11"/>
        <v>139.72052504126921</v>
      </c>
      <c r="AJ57" s="200">
        <f t="shared" si="11"/>
        <v>75.432289415102247</v>
      </c>
      <c r="AK57" s="200">
        <f t="shared" si="11"/>
        <v>77.183331649589277</v>
      </c>
      <c r="AL57" s="200">
        <f t="shared" si="11"/>
        <v>79.990149064597148</v>
      </c>
      <c r="AM57" s="200">
        <f t="shared" si="11"/>
        <v>54.587290667336305</v>
      </c>
      <c r="AN57" s="200">
        <f t="shared" si="11"/>
        <v>17.722614333793771</v>
      </c>
      <c r="AO57" s="200">
        <f t="shared" si="11"/>
        <v>0</v>
      </c>
      <c r="AP57" s="200">
        <f t="shared" si="11"/>
        <v>0</v>
      </c>
      <c r="AQ57" s="200">
        <f t="shared" si="11"/>
        <v>0</v>
      </c>
      <c r="AR57" s="200">
        <f t="shared" si="11"/>
        <v>0</v>
      </c>
      <c r="AS57" s="200">
        <f t="shared" si="11"/>
        <v>0</v>
      </c>
      <c r="AT57" s="200">
        <f t="shared" si="11"/>
        <v>0</v>
      </c>
      <c r="AU57" s="200">
        <f t="shared" si="11"/>
        <v>0</v>
      </c>
      <c r="AV57" s="200">
        <f t="shared" si="11"/>
        <v>0</v>
      </c>
    </row>
    <row r="58" spans="1:48" s="150" customFormat="1" ht="15" customHeight="1">
      <c r="A58" s="189"/>
      <c r="B58" s="189"/>
      <c r="C58" s="151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200"/>
      <c r="AF58" s="200"/>
      <c r="AG58" s="200"/>
      <c r="AH58" s="200"/>
      <c r="AI58" s="200"/>
      <c r="AJ58" s="200"/>
      <c r="AK58" s="200"/>
      <c r="AL58" s="200"/>
      <c r="AM58" s="200"/>
      <c r="AN58" s="200"/>
      <c r="AO58" s="200"/>
      <c r="AP58" s="200"/>
      <c r="AQ58" s="200"/>
      <c r="AR58" s="200"/>
      <c r="AS58" s="200"/>
      <c r="AT58" s="200"/>
      <c r="AU58" s="200"/>
      <c r="AV58" s="200"/>
    </row>
    <row r="59" spans="1:48" s="150" customFormat="1" ht="15" customHeight="1">
      <c r="A59" s="189"/>
      <c r="B59" s="189"/>
      <c r="C59" s="151"/>
      <c r="E59" s="200" t="str">
        <f t="shared" ref="E59:AV59" si="12" xml:space="preserve"> E$40</f>
        <v>Cobalt produced: history + forecast 2019TR</v>
      </c>
      <c r="F59" s="200">
        <f t="shared" si="12"/>
        <v>0</v>
      </c>
      <c r="G59" s="200" t="str">
        <f t="shared" si="12"/>
        <v>Kt Co</v>
      </c>
      <c r="H59" s="200">
        <f t="shared" si="12"/>
        <v>0</v>
      </c>
      <c r="I59" s="200">
        <f t="shared" si="12"/>
        <v>0</v>
      </c>
      <c r="J59" s="200">
        <f t="shared" si="12"/>
        <v>475.3393677068816</v>
      </c>
      <c r="K59" s="200">
        <f t="shared" si="12"/>
        <v>0</v>
      </c>
      <c r="L59" s="200">
        <f t="shared" si="12"/>
        <v>0</v>
      </c>
      <c r="M59" s="200">
        <f t="shared" si="12"/>
        <v>0</v>
      </c>
      <c r="N59" s="200">
        <f t="shared" si="12"/>
        <v>0.75</v>
      </c>
      <c r="O59" s="200">
        <f t="shared" si="12"/>
        <v>2.5299999999999998</v>
      </c>
      <c r="P59" s="200">
        <f t="shared" si="12"/>
        <v>3.44</v>
      </c>
      <c r="Q59" s="200">
        <f t="shared" si="12"/>
        <v>2.4300000000000002</v>
      </c>
      <c r="R59" s="200">
        <f t="shared" si="12"/>
        <v>2.13</v>
      </c>
      <c r="S59" s="200">
        <f t="shared" si="12"/>
        <v>2.2999999999999998</v>
      </c>
      <c r="T59" s="200">
        <f t="shared" si="12"/>
        <v>2.78</v>
      </c>
      <c r="U59" s="200">
        <f t="shared" si="12"/>
        <v>2.9</v>
      </c>
      <c r="V59" s="200">
        <f t="shared" si="12"/>
        <v>0</v>
      </c>
      <c r="W59" s="200">
        <f t="shared" si="12"/>
        <v>0</v>
      </c>
      <c r="X59" s="200">
        <f t="shared" si="12"/>
        <v>11.11</v>
      </c>
      <c r="Y59" s="200">
        <f t="shared" si="12"/>
        <v>27.767695099818503</v>
      </c>
      <c r="Z59" s="200">
        <f t="shared" si="12"/>
        <v>32.424427650589024</v>
      </c>
      <c r="AA59" s="200">
        <f t="shared" si="12"/>
        <v>39.336585365853651</v>
      </c>
      <c r="AB59" s="200">
        <f t="shared" si="12"/>
        <v>40.208772770853301</v>
      </c>
      <c r="AC59" s="200">
        <f t="shared" si="12"/>
        <v>41.7342182435561</v>
      </c>
      <c r="AD59" s="200">
        <f t="shared" si="12"/>
        <v>45.154389505549943</v>
      </c>
      <c r="AE59" s="200">
        <f t="shared" si="12"/>
        <v>42.111999999999995</v>
      </c>
      <c r="AF59" s="200">
        <f t="shared" si="12"/>
        <v>37.698266296809997</v>
      </c>
      <c r="AG59" s="200">
        <f t="shared" si="12"/>
        <v>36.16115879828326</v>
      </c>
      <c r="AH59" s="200">
        <f t="shared" si="12"/>
        <v>30.074518201284789</v>
      </c>
      <c r="AI59" s="200">
        <f t="shared" si="12"/>
        <v>19.132716683795824</v>
      </c>
      <c r="AJ59" s="200">
        <f t="shared" si="12"/>
        <v>12.767430025445293</v>
      </c>
      <c r="AK59" s="200">
        <f t="shared" si="12"/>
        <v>15.367234042553195</v>
      </c>
      <c r="AL59" s="200">
        <f t="shared" si="12"/>
        <v>14.700000000000001</v>
      </c>
      <c r="AM59" s="200">
        <f t="shared" si="12"/>
        <v>8.0347826086956502</v>
      </c>
      <c r="AN59" s="200">
        <f t="shared" si="12"/>
        <v>2.2951724137931033</v>
      </c>
      <c r="AO59" s="200">
        <f t="shared" si="12"/>
        <v>0</v>
      </c>
      <c r="AP59" s="200">
        <f t="shared" si="12"/>
        <v>0</v>
      </c>
      <c r="AQ59" s="200">
        <f t="shared" si="12"/>
        <v>0</v>
      </c>
      <c r="AR59" s="200">
        <f t="shared" si="12"/>
        <v>0</v>
      </c>
      <c r="AS59" s="200">
        <f t="shared" si="12"/>
        <v>0</v>
      </c>
      <c r="AT59" s="200">
        <f t="shared" si="12"/>
        <v>0</v>
      </c>
      <c r="AU59" s="200">
        <f t="shared" si="12"/>
        <v>0</v>
      </c>
      <c r="AV59" s="200">
        <f t="shared" si="12"/>
        <v>0</v>
      </c>
    </row>
    <row r="60" spans="1:48" s="150" customFormat="1" ht="15" customHeight="1">
      <c r="A60" s="189"/>
      <c r="B60" s="189"/>
      <c r="C60" s="151"/>
      <c r="E60" s="200" t="s">
        <v>43</v>
      </c>
      <c r="F60" s="200"/>
      <c r="G60" s="200" t="s">
        <v>29</v>
      </c>
      <c r="H60" s="200"/>
      <c r="I60" s="200"/>
      <c r="J60" s="200">
        <f xml:space="preserve"> SUM(L60:AV60)</f>
        <v>368.43475658086072</v>
      </c>
      <c r="K60" s="200"/>
      <c r="L60" s="200">
        <f t="shared" ref="L60:AV60" si="13" xml:space="preserve"> L59 * $F55 / 10^3</f>
        <v>0</v>
      </c>
      <c r="M60" s="200">
        <f t="shared" si="13"/>
        <v>0</v>
      </c>
      <c r="N60" s="200">
        <f t="shared" si="13"/>
        <v>0.58132375773689793</v>
      </c>
      <c r="O60" s="200">
        <f t="shared" si="13"/>
        <v>1.9609988094324691</v>
      </c>
      <c r="P60" s="200">
        <f t="shared" si="13"/>
        <v>2.6663383021532385</v>
      </c>
      <c r="Q60" s="200">
        <f t="shared" si="13"/>
        <v>1.8834889750675494</v>
      </c>
      <c r="R60" s="200">
        <f t="shared" si="13"/>
        <v>1.6509594719727902</v>
      </c>
      <c r="S60" s="200">
        <f t="shared" si="13"/>
        <v>1.7827261903931537</v>
      </c>
      <c r="T60" s="200">
        <f t="shared" si="13"/>
        <v>2.1547733953447681</v>
      </c>
      <c r="U60" s="200">
        <f t="shared" si="13"/>
        <v>2.2477851965826723</v>
      </c>
      <c r="V60" s="200">
        <f t="shared" si="13"/>
        <v>0</v>
      </c>
      <c r="W60" s="200">
        <f t="shared" si="13"/>
        <v>0</v>
      </c>
      <c r="X60" s="200">
        <f t="shared" si="13"/>
        <v>8.6113425979425813</v>
      </c>
      <c r="Y60" s="200">
        <f t="shared" si="13"/>
        <v>21.522694478825255</v>
      </c>
      <c r="Z60" s="200">
        <f t="shared" si="13"/>
        <v>25.132120165744787</v>
      </c>
      <c r="AA60" s="200">
        <f t="shared" si="13"/>
        <v>30.489722161888416</v>
      </c>
      <c r="AB60" s="200">
        <f t="shared" si="13"/>
        <v>31.16575317485534</v>
      </c>
      <c r="AC60" s="200">
        <f t="shared" si="13"/>
        <v>32.348123434074445</v>
      </c>
      <c r="AD60" s="200">
        <f t="shared" si="13"/>
        <v>34.999092514242463</v>
      </c>
      <c r="AE60" s="200">
        <f t="shared" si="13"/>
        <v>32.640941447754997</v>
      </c>
      <c r="AF60" s="200">
        <f t="shared" si="13"/>
        <v>29.219863765103788</v>
      </c>
      <c r="AG60" s="200">
        <f t="shared" si="13"/>
        <v>28.028454288984953</v>
      </c>
      <c r="AH60" s="200">
        <f t="shared" si="13"/>
        <v>23.310709243863474</v>
      </c>
      <c r="AI60" s="200">
        <f t="shared" si="13"/>
        <v>14.829737011119507</v>
      </c>
      <c r="AJ60" s="200">
        <f t="shared" si="13"/>
        <v>9.8960138653796772</v>
      </c>
      <c r="AK60" s="200">
        <f t="shared" si="13"/>
        <v>11.911117652852539</v>
      </c>
      <c r="AL60" s="200">
        <f t="shared" si="13"/>
        <v>11.393945651643202</v>
      </c>
      <c r="AM60" s="200">
        <f t="shared" si="13"/>
        <v>6.2277466915813751</v>
      </c>
      <c r="AN60" s="200">
        <f t="shared" si="13"/>
        <v>1.7789843363203646</v>
      </c>
      <c r="AO60" s="200">
        <f t="shared" si="13"/>
        <v>0</v>
      </c>
      <c r="AP60" s="200">
        <f t="shared" si="13"/>
        <v>0</v>
      </c>
      <c r="AQ60" s="200">
        <f t="shared" si="13"/>
        <v>0</v>
      </c>
      <c r="AR60" s="200">
        <f t="shared" si="13"/>
        <v>0</v>
      </c>
      <c r="AS60" s="200">
        <f t="shared" si="13"/>
        <v>0</v>
      </c>
      <c r="AT60" s="200">
        <f t="shared" si="13"/>
        <v>0</v>
      </c>
      <c r="AU60" s="200">
        <f t="shared" si="13"/>
        <v>0</v>
      </c>
      <c r="AV60" s="200">
        <f t="shared" si="13"/>
        <v>0</v>
      </c>
    </row>
    <row r="61" spans="1:48" s="150" customFormat="1" ht="15" customHeight="1">
      <c r="A61" s="189"/>
      <c r="B61" s="189"/>
      <c r="C61" s="151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</row>
    <row r="62" spans="1:48" s="150" customFormat="1" ht="15" customHeight="1">
      <c r="A62" s="189"/>
      <c r="B62" s="189"/>
      <c r="C62" s="151" t="s">
        <v>44</v>
      </c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</row>
    <row r="63" spans="1:48" s="150" customFormat="1" ht="15" customHeight="1">
      <c r="A63" s="189"/>
      <c r="B63" s="189"/>
      <c r="C63" s="151"/>
      <c r="E63" s="200" t="s">
        <v>45</v>
      </c>
      <c r="F63" s="200"/>
      <c r="G63" s="200" t="s">
        <v>29</v>
      </c>
      <c r="H63" s="200"/>
      <c r="I63" s="200"/>
      <c r="J63" s="200">
        <f xml:space="preserve"> SUM(L63:AV63)</f>
        <v>22896.500297608229</v>
      </c>
      <c r="K63" s="200"/>
      <c r="L63" s="200">
        <f t="shared" ref="L63:AV63" si="14" xml:space="preserve"> L33 - L57</f>
        <v>0</v>
      </c>
      <c r="M63" s="200">
        <f t="shared" si="14"/>
        <v>0</v>
      </c>
      <c r="N63" s="200">
        <f t="shared" si="14"/>
        <v>-17.145175361520248</v>
      </c>
      <c r="O63" s="200">
        <f t="shared" si="14"/>
        <v>174.71941150047968</v>
      </c>
      <c r="P63" s="200">
        <f t="shared" si="14"/>
        <v>334.21298642838485</v>
      </c>
      <c r="Q63" s="200">
        <f t="shared" si="14"/>
        <v>438.38915142236971</v>
      </c>
      <c r="R63" s="200">
        <f t="shared" si="14"/>
        <v>416.57866176619331</v>
      </c>
      <c r="S63" s="200">
        <f t="shared" si="14"/>
        <v>542.94039089756825</v>
      </c>
      <c r="T63" s="200">
        <f t="shared" si="14"/>
        <v>897.11832808020301</v>
      </c>
      <c r="U63" s="200">
        <f t="shared" si="14"/>
        <v>474.53927689826577</v>
      </c>
      <c r="V63" s="200">
        <f t="shared" si="14"/>
        <v>0</v>
      </c>
      <c r="W63" s="200">
        <f t="shared" si="14"/>
        <v>11.252783643971767</v>
      </c>
      <c r="X63" s="200">
        <f t="shared" si="14"/>
        <v>843.93811242786228</v>
      </c>
      <c r="Y63" s="200">
        <f t="shared" si="14"/>
        <v>1219.2670822762059</v>
      </c>
      <c r="Z63" s="200">
        <f t="shared" si="14"/>
        <v>1540.1635072458262</v>
      </c>
      <c r="AA63" s="200">
        <f t="shared" si="14"/>
        <v>1618.9837164164455</v>
      </c>
      <c r="AB63" s="200">
        <f t="shared" si="14"/>
        <v>1599.5472568526093</v>
      </c>
      <c r="AC63" s="200">
        <f t="shared" si="14"/>
        <v>1603.461011401916</v>
      </c>
      <c r="AD63" s="200">
        <f t="shared" si="14"/>
        <v>1618.1275724688546</v>
      </c>
      <c r="AE63" s="200">
        <f t="shared" si="14"/>
        <v>1618.1422387540908</v>
      </c>
      <c r="AF63" s="200">
        <f t="shared" si="14"/>
        <v>1618.891235841591</v>
      </c>
      <c r="AG63" s="200">
        <f t="shared" si="14"/>
        <v>1616.3793797735664</v>
      </c>
      <c r="AH63" s="200">
        <f t="shared" si="14"/>
        <v>1629.3325707910681</v>
      </c>
      <c r="AI63" s="200">
        <f t="shared" si="14"/>
        <v>973.39531270889051</v>
      </c>
      <c r="AJ63" s="200">
        <f t="shared" si="14"/>
        <v>525.51646883572289</v>
      </c>
      <c r="AK63" s="200">
        <f t="shared" si="14"/>
        <v>537.71550904761375</v>
      </c>
      <c r="AL63" s="200">
        <f t="shared" si="14"/>
        <v>557.26985093540259</v>
      </c>
      <c r="AM63" s="200">
        <f t="shared" si="14"/>
        <v>380.29496992920997</v>
      </c>
      <c r="AN63" s="200">
        <f t="shared" si="14"/>
        <v>123.46868662543888</v>
      </c>
      <c r="AO63" s="200">
        <f t="shared" si="14"/>
        <v>0</v>
      </c>
      <c r="AP63" s="200">
        <f t="shared" si="14"/>
        <v>0</v>
      </c>
      <c r="AQ63" s="200">
        <f t="shared" si="14"/>
        <v>0</v>
      </c>
      <c r="AR63" s="200">
        <f t="shared" si="14"/>
        <v>0</v>
      </c>
      <c r="AS63" s="200">
        <f t="shared" si="14"/>
        <v>0</v>
      </c>
      <c r="AT63" s="200">
        <f t="shared" si="14"/>
        <v>0</v>
      </c>
      <c r="AU63" s="200">
        <f t="shared" si="14"/>
        <v>0</v>
      </c>
      <c r="AV63" s="200">
        <f t="shared" si="14"/>
        <v>0</v>
      </c>
    </row>
    <row r="64" spans="1:48" s="150" customFormat="1" ht="15" customHeight="1">
      <c r="A64" s="189"/>
      <c r="B64" s="189"/>
      <c r="C64" s="151"/>
      <c r="E64" s="200" t="s">
        <v>46</v>
      </c>
      <c r="F64" s="200"/>
      <c r="G64" s="200" t="s">
        <v>29</v>
      </c>
      <c r="H64" s="200"/>
      <c r="I64" s="200"/>
      <c r="J64" s="200">
        <f xml:space="preserve"> SUM(L64:AV64)</f>
        <v>19423.766856311002</v>
      </c>
      <c r="K64" s="200"/>
      <c r="L64" s="200">
        <f t="shared" ref="L64:AV64" si="15" xml:space="preserve"> L44 - L60</f>
        <v>0</v>
      </c>
      <c r="M64" s="200">
        <f t="shared" si="15"/>
        <v>0</v>
      </c>
      <c r="N64" s="200">
        <f t="shared" si="15"/>
        <v>-0.58132375773689793</v>
      </c>
      <c r="O64" s="200">
        <f t="shared" si="15"/>
        <v>64.510323690567532</v>
      </c>
      <c r="P64" s="200">
        <f t="shared" si="15"/>
        <v>103.98312169784676</v>
      </c>
      <c r="Q64" s="200">
        <f t="shared" si="15"/>
        <v>52.800623524932455</v>
      </c>
      <c r="R64" s="200">
        <f t="shared" si="15"/>
        <v>44.329883028027211</v>
      </c>
      <c r="S64" s="200">
        <f t="shared" si="15"/>
        <v>44.842298809606838</v>
      </c>
      <c r="T64" s="200">
        <f t="shared" si="15"/>
        <v>62.20083660465523</v>
      </c>
      <c r="U64" s="200">
        <f t="shared" si="15"/>
        <v>61.333989803417325</v>
      </c>
      <c r="V64" s="200">
        <f t="shared" si="15"/>
        <v>0</v>
      </c>
      <c r="W64" s="200">
        <f t="shared" si="15"/>
        <v>0</v>
      </c>
      <c r="X64" s="200">
        <f t="shared" si="15"/>
        <v>502.07091740205738</v>
      </c>
      <c r="Y64" s="200">
        <f t="shared" si="15"/>
        <v>561.5712876445865</v>
      </c>
      <c r="Z64" s="200">
        <f t="shared" si="15"/>
        <v>1047.1210051398789</v>
      </c>
      <c r="AA64" s="200">
        <f t="shared" si="15"/>
        <v>1725.6352901307941</v>
      </c>
      <c r="AB64" s="200">
        <f t="shared" si="15"/>
        <v>1763.8968055032365</v>
      </c>
      <c r="AC64" s="200">
        <f t="shared" si="15"/>
        <v>1830.8157441041255</v>
      </c>
      <c r="AD64" s="200">
        <f t="shared" si="15"/>
        <v>1980.8533788681993</v>
      </c>
      <c r="AE64" s="200">
        <f t="shared" si="15"/>
        <v>1847.3884467122448</v>
      </c>
      <c r="AF64" s="200">
        <f t="shared" si="15"/>
        <v>1653.7647610611793</v>
      </c>
      <c r="AG64" s="200">
        <f t="shared" si="15"/>
        <v>1586.3342273859078</v>
      </c>
      <c r="AH64" s="200">
        <f t="shared" si="15"/>
        <v>1319.3226981736948</v>
      </c>
      <c r="AI64" s="200">
        <f t="shared" si="15"/>
        <v>839.3227525613371</v>
      </c>
      <c r="AJ64" s="200">
        <f t="shared" si="15"/>
        <v>560.08745068423866</v>
      </c>
      <c r="AK64" s="200">
        <f t="shared" si="15"/>
        <v>674.13684052374333</v>
      </c>
      <c r="AL64" s="200">
        <f t="shared" si="15"/>
        <v>644.86631284835676</v>
      </c>
      <c r="AM64" s="200">
        <f t="shared" si="15"/>
        <v>352.47351261276629</v>
      </c>
      <c r="AN64" s="200">
        <f t="shared" si="15"/>
        <v>100.68567155333481</v>
      </c>
      <c r="AO64" s="200">
        <f t="shared" si="15"/>
        <v>0</v>
      </c>
      <c r="AP64" s="200">
        <f t="shared" si="15"/>
        <v>0</v>
      </c>
      <c r="AQ64" s="200">
        <f t="shared" si="15"/>
        <v>0</v>
      </c>
      <c r="AR64" s="200">
        <f t="shared" si="15"/>
        <v>0</v>
      </c>
      <c r="AS64" s="200">
        <f t="shared" si="15"/>
        <v>0</v>
      </c>
      <c r="AT64" s="200">
        <f t="shared" si="15"/>
        <v>0</v>
      </c>
      <c r="AU64" s="200">
        <f t="shared" si="15"/>
        <v>0</v>
      </c>
      <c r="AV64" s="200">
        <f t="shared" si="15"/>
        <v>0</v>
      </c>
    </row>
    <row r="65" spans="1:48" s="150" customFormat="1" ht="15" customHeight="1">
      <c r="A65" s="189"/>
      <c r="B65" s="189"/>
      <c r="C65" s="151"/>
      <c r="E65" s="200" t="s">
        <v>47</v>
      </c>
      <c r="F65" s="200"/>
      <c r="G65" s="200" t="s">
        <v>29</v>
      </c>
      <c r="H65" s="200"/>
      <c r="I65" s="200"/>
      <c r="J65" s="200">
        <f xml:space="preserve"> SUM(L65:AV65)</f>
        <v>42320.267153919238</v>
      </c>
      <c r="K65" s="200"/>
      <c r="L65" s="200">
        <f t="shared" ref="L65:AV65" si="16">SUM(L63:L64)</f>
        <v>0</v>
      </c>
      <c r="M65" s="200">
        <f t="shared" si="16"/>
        <v>0</v>
      </c>
      <c r="N65" s="200">
        <f t="shared" si="16"/>
        <v>-17.726499119257145</v>
      </c>
      <c r="O65" s="200">
        <f t="shared" si="16"/>
        <v>239.22973519104721</v>
      </c>
      <c r="P65" s="200">
        <f t="shared" si="16"/>
        <v>438.19610812623159</v>
      </c>
      <c r="Q65" s="200">
        <f t="shared" si="16"/>
        <v>491.18977494730217</v>
      </c>
      <c r="R65" s="200">
        <f t="shared" si="16"/>
        <v>460.90854479422052</v>
      </c>
      <c r="S65" s="200">
        <f t="shared" si="16"/>
        <v>587.78268970717511</v>
      </c>
      <c r="T65" s="200">
        <f t="shared" si="16"/>
        <v>959.31916468485826</v>
      </c>
      <c r="U65" s="200">
        <f t="shared" si="16"/>
        <v>535.87326670168306</v>
      </c>
      <c r="V65" s="200">
        <f t="shared" si="16"/>
        <v>0</v>
      </c>
      <c r="W65" s="200">
        <f t="shared" si="16"/>
        <v>11.252783643971767</v>
      </c>
      <c r="X65" s="200">
        <f t="shared" si="16"/>
        <v>1346.0090298299197</v>
      </c>
      <c r="Y65" s="200">
        <f t="shared" si="16"/>
        <v>1780.8383699207925</v>
      </c>
      <c r="Z65" s="200">
        <f t="shared" si="16"/>
        <v>2587.2845123857051</v>
      </c>
      <c r="AA65" s="200">
        <f t="shared" si="16"/>
        <v>3344.6190065472397</v>
      </c>
      <c r="AB65" s="200">
        <f t="shared" si="16"/>
        <v>3363.4440623558457</v>
      </c>
      <c r="AC65" s="200">
        <f t="shared" si="16"/>
        <v>3434.2767555060418</v>
      </c>
      <c r="AD65" s="200">
        <f t="shared" si="16"/>
        <v>3598.9809513370537</v>
      </c>
      <c r="AE65" s="200">
        <f t="shared" si="16"/>
        <v>3465.5306854663359</v>
      </c>
      <c r="AF65" s="200">
        <f t="shared" si="16"/>
        <v>3272.6559969027703</v>
      </c>
      <c r="AG65" s="200">
        <f t="shared" si="16"/>
        <v>3202.7136071594741</v>
      </c>
      <c r="AH65" s="200">
        <f t="shared" si="16"/>
        <v>2948.6552689647629</v>
      </c>
      <c r="AI65" s="200">
        <f t="shared" si="16"/>
        <v>1812.7180652702277</v>
      </c>
      <c r="AJ65" s="200">
        <f t="shared" si="16"/>
        <v>1085.6039195199614</v>
      </c>
      <c r="AK65" s="200">
        <f t="shared" si="16"/>
        <v>1211.8523495713571</v>
      </c>
      <c r="AL65" s="200">
        <f t="shared" si="16"/>
        <v>1202.1361637837595</v>
      </c>
      <c r="AM65" s="200">
        <f t="shared" si="16"/>
        <v>732.76848254197625</v>
      </c>
      <c r="AN65" s="200">
        <f t="shared" si="16"/>
        <v>224.15435817877369</v>
      </c>
      <c r="AO65" s="200">
        <f t="shared" si="16"/>
        <v>0</v>
      </c>
      <c r="AP65" s="200">
        <f t="shared" si="16"/>
        <v>0</v>
      </c>
      <c r="AQ65" s="200">
        <f t="shared" si="16"/>
        <v>0</v>
      </c>
      <c r="AR65" s="200">
        <f t="shared" si="16"/>
        <v>0</v>
      </c>
      <c r="AS65" s="200">
        <f t="shared" si="16"/>
        <v>0</v>
      </c>
      <c r="AT65" s="200">
        <f t="shared" si="16"/>
        <v>0</v>
      </c>
      <c r="AU65" s="200">
        <f t="shared" si="16"/>
        <v>0</v>
      </c>
      <c r="AV65" s="200">
        <f t="shared" si="16"/>
        <v>0</v>
      </c>
    </row>
    <row r="66" spans="1:48" s="150" customFormat="1" ht="15" customHeight="1">
      <c r="A66" s="189"/>
      <c r="B66" s="189"/>
      <c r="C66" s="151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0"/>
      <c r="AT66" s="200"/>
      <c r="AU66" s="200"/>
      <c r="AV66" s="200"/>
    </row>
    <row r="67" spans="1:48" s="160" customFormat="1" ht="15" customHeight="1">
      <c r="A67" s="164" t="s">
        <v>48</v>
      </c>
      <c r="B67" s="162"/>
      <c r="C67" s="192"/>
      <c r="D67" s="163"/>
      <c r="E67" s="162"/>
      <c r="F67" s="162"/>
      <c r="G67" s="162"/>
      <c r="H67" s="162"/>
    </row>
    <row r="68" spans="1:48" s="150" customFormat="1" ht="15" customHeight="1">
      <c r="A68" s="189"/>
      <c r="B68" s="189"/>
      <c r="C68" s="191"/>
      <c r="E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0"/>
      <c r="AA68" s="20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/>
      <c r="AL68" s="200"/>
      <c r="AM68" s="200"/>
      <c r="AN68" s="200"/>
      <c r="AO68" s="200"/>
      <c r="AP68" s="200"/>
      <c r="AQ68" s="200"/>
      <c r="AR68" s="200"/>
      <c r="AS68" s="200"/>
      <c r="AT68" s="200"/>
      <c r="AU68" s="200"/>
      <c r="AV68" s="200"/>
    </row>
    <row r="69" spans="1:48" s="150" customFormat="1" ht="15" customHeight="1">
      <c r="A69" s="189"/>
      <c r="B69" s="189"/>
      <c r="C69" s="191" t="s">
        <v>49</v>
      </c>
      <c r="E69" s="200"/>
      <c r="F69" s="200" t="s">
        <v>50</v>
      </c>
      <c r="G69" s="200" t="s">
        <v>51</v>
      </c>
      <c r="H69" s="200"/>
      <c r="I69" s="200"/>
      <c r="J69" s="200"/>
      <c r="K69" s="200"/>
      <c r="L69" s="200"/>
      <c r="M69" s="200"/>
      <c r="N69" s="200"/>
      <c r="O69" s="200"/>
      <c r="P69" s="200"/>
      <c r="Q69" s="200"/>
      <c r="R69" s="200"/>
      <c r="S69" s="200"/>
      <c r="T69" s="200"/>
      <c r="U69" s="200"/>
      <c r="V69" s="200"/>
      <c r="W69" s="200"/>
      <c r="X69" s="200"/>
      <c r="Y69" s="200"/>
      <c r="Z69" s="200"/>
      <c r="AA69" s="200"/>
      <c r="AB69" s="200"/>
      <c r="AC69" s="200"/>
      <c r="AD69" s="200"/>
      <c r="AE69" s="200"/>
      <c r="AF69" s="200"/>
      <c r="AG69" s="200"/>
      <c r="AH69" s="200"/>
      <c r="AI69" s="200"/>
      <c r="AJ69" s="200"/>
      <c r="AK69" s="200"/>
      <c r="AL69" s="200"/>
      <c r="AM69" s="200"/>
      <c r="AN69" s="200"/>
      <c r="AO69" s="200"/>
      <c r="AP69" s="200"/>
      <c r="AQ69" s="200"/>
      <c r="AR69" s="200"/>
      <c r="AS69" s="200"/>
      <c r="AT69" s="200"/>
      <c r="AU69" s="200"/>
      <c r="AV69" s="200"/>
    </row>
    <row r="70" spans="1:48" s="150" customFormat="1" ht="15" customHeight="1">
      <c r="A70" s="189"/>
      <c r="B70" s="189"/>
      <c r="C70" s="191"/>
      <c r="E70" s="200" t="s">
        <v>52</v>
      </c>
      <c r="F70" s="126">
        <v>0.02</v>
      </c>
      <c r="G70" s="207" t="s">
        <v>53</v>
      </c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0"/>
      <c r="AA70" s="200"/>
      <c r="AB70" s="200"/>
      <c r="AC70" s="200"/>
      <c r="AD70" s="200"/>
      <c r="AE70" s="200"/>
      <c r="AF70" s="200"/>
      <c r="AG70" s="200"/>
      <c r="AH70" s="200"/>
      <c r="AI70" s="200"/>
      <c r="AJ70" s="200"/>
      <c r="AK70" s="200"/>
      <c r="AL70" s="200"/>
      <c r="AM70" s="200"/>
      <c r="AN70" s="200"/>
      <c r="AO70" s="200"/>
      <c r="AP70" s="200"/>
      <c r="AQ70" s="200"/>
      <c r="AR70" s="200"/>
      <c r="AS70" s="200"/>
      <c r="AT70" s="200"/>
      <c r="AU70" s="200"/>
      <c r="AV70" s="200"/>
    </row>
    <row r="71" spans="1:48" s="150" customFormat="1" ht="15" customHeight="1">
      <c r="A71" s="189"/>
      <c r="B71" s="189"/>
      <c r="C71" s="191"/>
      <c r="E71" s="200" t="s">
        <v>54</v>
      </c>
      <c r="F71" s="126">
        <v>3.5000000000000003E-2</v>
      </c>
      <c r="G71" s="207" t="s">
        <v>55</v>
      </c>
      <c r="H71" s="200"/>
      <c r="I71" s="200"/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/>
      <c r="AD71" s="200"/>
      <c r="AE71" s="200"/>
      <c r="AF71" s="200"/>
      <c r="AG71" s="200"/>
      <c r="AH71" s="200"/>
      <c r="AI71" s="200"/>
      <c r="AJ71" s="200"/>
      <c r="AK71" s="200"/>
      <c r="AL71" s="200"/>
      <c r="AM71" s="200"/>
      <c r="AN71" s="200"/>
      <c r="AO71" s="200"/>
      <c r="AP71" s="200"/>
      <c r="AQ71" s="200"/>
      <c r="AR71" s="200"/>
      <c r="AS71" s="200"/>
      <c r="AT71" s="200"/>
      <c r="AU71" s="200"/>
      <c r="AV71" s="200"/>
    </row>
    <row r="72" spans="1:48" s="150" customFormat="1" ht="15" customHeight="1">
      <c r="A72" s="189"/>
      <c r="B72" s="189"/>
      <c r="C72" s="191"/>
      <c r="E72" s="200" t="s">
        <v>56</v>
      </c>
      <c r="F72" s="126">
        <v>0.02</v>
      </c>
      <c r="G72" s="200" t="s">
        <v>57</v>
      </c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0"/>
      <c r="AT72" s="200"/>
      <c r="AU72" s="200"/>
      <c r="AV72" s="200"/>
    </row>
    <row r="73" spans="1:48" s="150" customFormat="1" ht="15" customHeight="1">
      <c r="A73" s="189"/>
      <c r="B73" s="189"/>
      <c r="C73" s="191"/>
      <c r="E73" s="200" t="s">
        <v>58</v>
      </c>
      <c r="F73" s="126">
        <v>0.1</v>
      </c>
      <c r="G73" s="200" t="s">
        <v>57</v>
      </c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/>
      <c r="AL73" s="200"/>
      <c r="AM73" s="200"/>
      <c r="AN73" s="200"/>
      <c r="AO73" s="200"/>
      <c r="AP73" s="200"/>
      <c r="AQ73" s="200"/>
      <c r="AR73" s="200"/>
      <c r="AS73" s="200"/>
      <c r="AT73" s="200"/>
      <c r="AU73" s="200"/>
      <c r="AV73" s="200"/>
    </row>
    <row r="74" spans="1:48" s="150" customFormat="1" ht="15" customHeight="1">
      <c r="A74" s="189"/>
      <c r="B74" s="189"/>
      <c r="C74" s="191"/>
      <c r="E74" s="150" t="s">
        <v>59</v>
      </c>
      <c r="F74" s="208" t="s">
        <v>53</v>
      </c>
      <c r="G74" s="150" t="s">
        <v>60</v>
      </c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/>
      <c r="AL74" s="200"/>
      <c r="AM74" s="200"/>
      <c r="AN74" s="200"/>
      <c r="AO74" s="200"/>
      <c r="AP74" s="200"/>
      <c r="AQ74" s="200"/>
      <c r="AR74" s="200"/>
      <c r="AS74" s="200"/>
      <c r="AT74" s="200"/>
      <c r="AU74" s="200"/>
      <c r="AV74" s="200"/>
    </row>
    <row r="75" spans="1:48" s="150" customFormat="1" ht="15" customHeight="1">
      <c r="A75" s="189"/>
      <c r="B75" s="189"/>
      <c r="C75" s="191"/>
      <c r="E75" s="150" t="s">
        <v>59</v>
      </c>
      <c r="F75" s="208" t="s">
        <v>55</v>
      </c>
      <c r="G75" s="150" t="s">
        <v>60</v>
      </c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Q75" s="200"/>
      <c r="AR75" s="200"/>
      <c r="AS75" s="200"/>
      <c r="AT75" s="200"/>
      <c r="AU75" s="200"/>
      <c r="AV75" s="200"/>
    </row>
    <row r="76" spans="1:48" s="150" customFormat="1" ht="15" customHeight="1">
      <c r="A76" s="189"/>
      <c r="B76" s="189"/>
      <c r="C76" s="191"/>
      <c r="E76" s="200" t="s">
        <v>61</v>
      </c>
      <c r="F76" s="125">
        <v>2018</v>
      </c>
      <c r="G76" s="200" t="s">
        <v>62</v>
      </c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200"/>
      <c r="AI76" s="200"/>
      <c r="AJ76" s="200"/>
      <c r="AK76" s="200"/>
      <c r="AL76" s="200"/>
      <c r="AM76" s="200"/>
      <c r="AN76" s="200"/>
      <c r="AO76" s="200"/>
      <c r="AP76" s="200"/>
      <c r="AQ76" s="200"/>
      <c r="AR76" s="200"/>
      <c r="AS76" s="200"/>
      <c r="AT76" s="200"/>
      <c r="AU76" s="200"/>
      <c r="AV76" s="200"/>
    </row>
    <row r="77" spans="1:48" s="150" customFormat="1" ht="15" customHeight="1">
      <c r="A77" s="189"/>
      <c r="B77" s="189"/>
      <c r="C77" s="191"/>
      <c r="E77" s="200" t="s">
        <v>63</v>
      </c>
      <c r="F77" s="126">
        <v>2.5000000000000001E-2</v>
      </c>
      <c r="G77" s="207" t="s">
        <v>53</v>
      </c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Q77" s="200"/>
      <c r="AR77" s="200"/>
      <c r="AS77" s="200"/>
      <c r="AT77" s="200"/>
      <c r="AU77" s="200"/>
      <c r="AV77" s="200"/>
    </row>
    <row r="78" spans="1:48" s="150" customFormat="1" ht="15" customHeight="1">
      <c r="A78" s="189"/>
      <c r="B78" s="189"/>
      <c r="C78" s="191"/>
      <c r="E78" s="200" t="s">
        <v>535</v>
      </c>
      <c r="F78" s="280"/>
      <c r="G78" s="281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  <c r="AI78" s="200"/>
      <c r="AJ78" s="200"/>
      <c r="AK78" s="200"/>
      <c r="AL78" s="200"/>
      <c r="AM78" s="200"/>
      <c r="AN78" s="200"/>
      <c r="AO78" s="200"/>
      <c r="AP78" s="200"/>
      <c r="AQ78" s="200"/>
      <c r="AR78" s="200"/>
      <c r="AS78" s="200"/>
      <c r="AT78" s="200"/>
      <c r="AU78" s="200"/>
      <c r="AV78" s="200"/>
    </row>
    <row r="79" spans="1:48" s="150" customFormat="1" ht="15" customHeight="1">
      <c r="A79" s="189"/>
      <c r="B79" s="189"/>
      <c r="C79" s="191"/>
      <c r="E79" s="200"/>
      <c r="F79" s="3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0"/>
      <c r="AQ79" s="200"/>
      <c r="AR79" s="200"/>
      <c r="AS79" s="200"/>
      <c r="AT79" s="200"/>
      <c r="AU79" s="200"/>
      <c r="AV79" s="200"/>
    </row>
    <row r="80" spans="1:48" s="150" customFormat="1" ht="15" customHeight="1">
      <c r="A80" s="189"/>
      <c r="B80" s="189"/>
      <c r="C80" s="191"/>
      <c r="E80" s="176" t="str">
        <f xml:space="preserve"> 'T&amp;E'!E$9</f>
        <v>Model calendar year</v>
      </c>
      <c r="F80" s="176">
        <f xml:space="preserve"> 'T&amp;E'!F$9</f>
        <v>0</v>
      </c>
      <c r="G80" s="176" t="str">
        <f xml:space="preserve"> 'T&amp;E'!G$9</f>
        <v>year</v>
      </c>
      <c r="H80" s="176">
        <f xml:space="preserve"> 'T&amp;E'!H$9</f>
        <v>0</v>
      </c>
      <c r="I80" s="176">
        <f xml:space="preserve"> 'T&amp;E'!I$9</f>
        <v>0</v>
      </c>
      <c r="J80" s="176">
        <f xml:space="preserve"> 'T&amp;E'!J$9</f>
        <v>0</v>
      </c>
      <c r="K80" s="176">
        <f xml:space="preserve"> 'T&amp;E'!K$9</f>
        <v>0</v>
      </c>
      <c r="L80" s="176">
        <f xml:space="preserve"> 'T&amp;E'!L$9</f>
        <v>2014</v>
      </c>
      <c r="M80" s="176">
        <f xml:space="preserve"> 'T&amp;E'!M$9</f>
        <v>2015</v>
      </c>
      <c r="N80" s="176">
        <f xml:space="preserve"> 'T&amp;E'!N$9</f>
        <v>2016</v>
      </c>
      <c r="O80" s="176">
        <f xml:space="preserve"> 'T&amp;E'!O$9</f>
        <v>2017</v>
      </c>
      <c r="P80" s="176">
        <f xml:space="preserve"> 'T&amp;E'!P$9</f>
        <v>2018</v>
      </c>
      <c r="Q80" s="176">
        <f xml:space="preserve"> 'T&amp;E'!Q$9</f>
        <v>2019</v>
      </c>
      <c r="R80" s="176">
        <f xml:space="preserve"> 'T&amp;E'!R$9</f>
        <v>2020</v>
      </c>
      <c r="S80" s="176">
        <f xml:space="preserve"> 'T&amp;E'!S$9</f>
        <v>2021</v>
      </c>
      <c r="T80" s="176">
        <f xml:space="preserve"> 'T&amp;E'!T$9</f>
        <v>2022</v>
      </c>
      <c r="U80" s="176">
        <f xml:space="preserve"> 'T&amp;E'!U$9</f>
        <v>2023</v>
      </c>
      <c r="V80" s="176">
        <f xml:space="preserve"> 'T&amp;E'!V$9</f>
        <v>2024</v>
      </c>
      <c r="W80" s="176">
        <f xml:space="preserve"> 'T&amp;E'!W$9</f>
        <v>2025</v>
      </c>
      <c r="X80" s="176">
        <f xml:space="preserve"> 'T&amp;E'!X$9</f>
        <v>2026</v>
      </c>
      <c r="Y80" s="176">
        <f xml:space="preserve"> 'T&amp;E'!Y$9</f>
        <v>2027</v>
      </c>
      <c r="Z80" s="176">
        <f xml:space="preserve"> 'T&amp;E'!Z$9</f>
        <v>2028</v>
      </c>
      <c r="AA80" s="176">
        <f xml:space="preserve"> 'T&amp;E'!AA$9</f>
        <v>2029</v>
      </c>
      <c r="AB80" s="176">
        <f xml:space="preserve"> 'T&amp;E'!AB$9</f>
        <v>2030</v>
      </c>
      <c r="AC80" s="176">
        <f xml:space="preserve"> 'T&amp;E'!AC$9</f>
        <v>2031</v>
      </c>
      <c r="AD80" s="176">
        <f xml:space="preserve"> 'T&amp;E'!AD$9</f>
        <v>2032</v>
      </c>
      <c r="AE80" s="176">
        <f xml:space="preserve"> 'T&amp;E'!AE$9</f>
        <v>2033</v>
      </c>
      <c r="AF80" s="176">
        <f xml:space="preserve"> 'T&amp;E'!AF$9</f>
        <v>2034</v>
      </c>
      <c r="AG80" s="176">
        <f xml:space="preserve"> 'T&amp;E'!AG$9</f>
        <v>2035</v>
      </c>
      <c r="AH80" s="176">
        <f xml:space="preserve"> 'T&amp;E'!AH$9</f>
        <v>2036</v>
      </c>
      <c r="AI80" s="176">
        <f xml:space="preserve"> 'T&amp;E'!AI$9</f>
        <v>2037</v>
      </c>
      <c r="AJ80" s="176">
        <f xml:space="preserve"> 'T&amp;E'!AJ$9</f>
        <v>2038</v>
      </c>
      <c r="AK80" s="176">
        <f xml:space="preserve"> 'T&amp;E'!AK$9</f>
        <v>2039</v>
      </c>
      <c r="AL80" s="176">
        <f xml:space="preserve"> 'T&amp;E'!AL$9</f>
        <v>2040</v>
      </c>
      <c r="AM80" s="176">
        <f xml:space="preserve"> 'T&amp;E'!AM$9</f>
        <v>2041</v>
      </c>
      <c r="AN80" s="176">
        <f xml:space="preserve"> 'T&amp;E'!AN$9</f>
        <v>2042</v>
      </c>
      <c r="AO80" s="176">
        <f xml:space="preserve"> 'T&amp;E'!AO$9</f>
        <v>2043</v>
      </c>
      <c r="AP80" s="176">
        <f xml:space="preserve"> 'T&amp;E'!AP$9</f>
        <v>2044</v>
      </c>
      <c r="AQ80" s="176">
        <f xml:space="preserve"> 'T&amp;E'!AQ$9</f>
        <v>2045</v>
      </c>
      <c r="AR80" s="176">
        <f xml:space="preserve"> 'T&amp;E'!AR$9</f>
        <v>2046</v>
      </c>
      <c r="AS80" s="176">
        <f xml:space="preserve"> 'T&amp;E'!AS$9</f>
        <v>2047</v>
      </c>
      <c r="AT80" s="176">
        <f xml:space="preserve"> 'T&amp;E'!AT$9</f>
        <v>2048</v>
      </c>
      <c r="AU80" s="176">
        <f xml:space="preserve"> 'T&amp;E'!AU$9</f>
        <v>2049</v>
      </c>
      <c r="AV80" s="176">
        <f xml:space="preserve"> 'T&amp;E'!AV$9</f>
        <v>2050</v>
      </c>
    </row>
    <row r="81" spans="1:48" s="150" customFormat="1" ht="15" customHeight="1">
      <c r="A81" s="189"/>
      <c r="B81" s="189"/>
      <c r="C81" s="191"/>
      <c r="E81" s="200" t="s">
        <v>64</v>
      </c>
      <c r="F81" s="3"/>
      <c r="G81" s="200" t="s">
        <v>26</v>
      </c>
      <c r="H81" s="200"/>
      <c r="I81" s="200"/>
      <c r="J81" s="200"/>
      <c r="K81" s="200"/>
      <c r="L81" s="206">
        <f t="shared" ref="L81:AV81" si="17" xml:space="preserve"> IF(L80 &lt; $F76, $F70, $F71)</f>
        <v>0.02</v>
      </c>
      <c r="M81" s="206">
        <f t="shared" si="17"/>
        <v>0.02</v>
      </c>
      <c r="N81" s="206">
        <f t="shared" si="17"/>
        <v>0.02</v>
      </c>
      <c r="O81" s="206">
        <f t="shared" si="17"/>
        <v>0.02</v>
      </c>
      <c r="P81" s="206">
        <f t="shared" si="17"/>
        <v>3.5000000000000003E-2</v>
      </c>
      <c r="Q81" s="206">
        <f t="shared" si="17"/>
        <v>3.5000000000000003E-2</v>
      </c>
      <c r="R81" s="206">
        <f t="shared" si="17"/>
        <v>3.5000000000000003E-2</v>
      </c>
      <c r="S81" s="206">
        <f t="shared" si="17"/>
        <v>3.5000000000000003E-2</v>
      </c>
      <c r="T81" s="206">
        <f t="shared" si="17"/>
        <v>3.5000000000000003E-2</v>
      </c>
      <c r="U81" s="206">
        <f t="shared" si="17"/>
        <v>3.5000000000000003E-2</v>
      </c>
      <c r="V81" s="206">
        <f t="shared" si="17"/>
        <v>3.5000000000000003E-2</v>
      </c>
      <c r="W81" s="206">
        <f t="shared" si="17"/>
        <v>3.5000000000000003E-2</v>
      </c>
      <c r="X81" s="206">
        <f t="shared" si="17"/>
        <v>3.5000000000000003E-2</v>
      </c>
      <c r="Y81" s="206">
        <f t="shared" si="17"/>
        <v>3.5000000000000003E-2</v>
      </c>
      <c r="Z81" s="206">
        <f t="shared" si="17"/>
        <v>3.5000000000000003E-2</v>
      </c>
      <c r="AA81" s="206">
        <f t="shared" si="17"/>
        <v>3.5000000000000003E-2</v>
      </c>
      <c r="AB81" s="206">
        <f t="shared" si="17"/>
        <v>3.5000000000000003E-2</v>
      </c>
      <c r="AC81" s="206">
        <f t="shared" si="17"/>
        <v>3.5000000000000003E-2</v>
      </c>
      <c r="AD81" s="206">
        <f t="shared" si="17"/>
        <v>3.5000000000000003E-2</v>
      </c>
      <c r="AE81" s="206">
        <f t="shared" si="17"/>
        <v>3.5000000000000003E-2</v>
      </c>
      <c r="AF81" s="206">
        <f t="shared" si="17"/>
        <v>3.5000000000000003E-2</v>
      </c>
      <c r="AG81" s="206">
        <f t="shared" si="17"/>
        <v>3.5000000000000003E-2</v>
      </c>
      <c r="AH81" s="206">
        <f t="shared" si="17"/>
        <v>3.5000000000000003E-2</v>
      </c>
      <c r="AI81" s="206">
        <f t="shared" si="17"/>
        <v>3.5000000000000003E-2</v>
      </c>
      <c r="AJ81" s="206">
        <f t="shared" si="17"/>
        <v>3.5000000000000003E-2</v>
      </c>
      <c r="AK81" s="206">
        <f t="shared" si="17"/>
        <v>3.5000000000000003E-2</v>
      </c>
      <c r="AL81" s="206">
        <f t="shared" si="17"/>
        <v>3.5000000000000003E-2</v>
      </c>
      <c r="AM81" s="206">
        <f t="shared" si="17"/>
        <v>3.5000000000000003E-2</v>
      </c>
      <c r="AN81" s="206">
        <f t="shared" si="17"/>
        <v>3.5000000000000003E-2</v>
      </c>
      <c r="AO81" s="206">
        <f t="shared" si="17"/>
        <v>3.5000000000000003E-2</v>
      </c>
      <c r="AP81" s="206">
        <f t="shared" si="17"/>
        <v>3.5000000000000003E-2</v>
      </c>
      <c r="AQ81" s="206">
        <f t="shared" si="17"/>
        <v>3.5000000000000003E-2</v>
      </c>
      <c r="AR81" s="206">
        <f t="shared" si="17"/>
        <v>3.5000000000000003E-2</v>
      </c>
      <c r="AS81" s="206">
        <f t="shared" si="17"/>
        <v>3.5000000000000003E-2</v>
      </c>
      <c r="AT81" s="206">
        <f t="shared" si="17"/>
        <v>3.5000000000000003E-2</v>
      </c>
      <c r="AU81" s="206">
        <f t="shared" si="17"/>
        <v>3.5000000000000003E-2</v>
      </c>
      <c r="AV81" s="206">
        <f t="shared" si="17"/>
        <v>3.5000000000000003E-2</v>
      </c>
    </row>
    <row r="82" spans="1:48" s="150" customFormat="1" ht="15" customHeight="1">
      <c r="A82" s="189"/>
      <c r="B82" s="189"/>
      <c r="C82" s="191"/>
      <c r="E82" s="200" t="s">
        <v>65</v>
      </c>
      <c r="F82" s="3"/>
      <c r="G82" s="200" t="s">
        <v>26</v>
      </c>
      <c r="H82" s="200"/>
      <c r="I82" s="200"/>
      <c r="J82" s="200"/>
      <c r="K82" s="200"/>
      <c r="L82" s="206">
        <f t="shared" ref="L82:AV82" si="18" xml:space="preserve"> IF(L80 &lt; $F76, $F72, $F73)</f>
        <v>0.02</v>
      </c>
      <c r="M82" s="206">
        <f t="shared" si="18"/>
        <v>0.02</v>
      </c>
      <c r="N82" s="206">
        <f t="shared" si="18"/>
        <v>0.02</v>
      </c>
      <c r="O82" s="206">
        <f t="shared" si="18"/>
        <v>0.02</v>
      </c>
      <c r="P82" s="206">
        <f t="shared" si="18"/>
        <v>0.1</v>
      </c>
      <c r="Q82" s="206">
        <f t="shared" si="18"/>
        <v>0.1</v>
      </c>
      <c r="R82" s="206">
        <f t="shared" si="18"/>
        <v>0.1</v>
      </c>
      <c r="S82" s="206">
        <f t="shared" si="18"/>
        <v>0.1</v>
      </c>
      <c r="T82" s="206">
        <f t="shared" si="18"/>
        <v>0.1</v>
      </c>
      <c r="U82" s="206">
        <f t="shared" si="18"/>
        <v>0.1</v>
      </c>
      <c r="V82" s="206">
        <f t="shared" si="18"/>
        <v>0.1</v>
      </c>
      <c r="W82" s="206">
        <f t="shared" si="18"/>
        <v>0.1</v>
      </c>
      <c r="X82" s="206">
        <f t="shared" si="18"/>
        <v>0.1</v>
      </c>
      <c r="Y82" s="206">
        <f t="shared" si="18"/>
        <v>0.1</v>
      </c>
      <c r="Z82" s="206">
        <f t="shared" si="18"/>
        <v>0.1</v>
      </c>
      <c r="AA82" s="206">
        <f t="shared" si="18"/>
        <v>0.1</v>
      </c>
      <c r="AB82" s="206">
        <f t="shared" si="18"/>
        <v>0.1</v>
      </c>
      <c r="AC82" s="206">
        <f t="shared" si="18"/>
        <v>0.1</v>
      </c>
      <c r="AD82" s="206">
        <f t="shared" si="18"/>
        <v>0.1</v>
      </c>
      <c r="AE82" s="206">
        <f t="shared" si="18"/>
        <v>0.1</v>
      </c>
      <c r="AF82" s="206">
        <f t="shared" si="18"/>
        <v>0.1</v>
      </c>
      <c r="AG82" s="206">
        <f t="shared" si="18"/>
        <v>0.1</v>
      </c>
      <c r="AH82" s="206">
        <f t="shared" si="18"/>
        <v>0.1</v>
      </c>
      <c r="AI82" s="206">
        <f t="shared" si="18"/>
        <v>0.1</v>
      </c>
      <c r="AJ82" s="206">
        <f t="shared" si="18"/>
        <v>0.1</v>
      </c>
      <c r="AK82" s="206">
        <f t="shared" si="18"/>
        <v>0.1</v>
      </c>
      <c r="AL82" s="206">
        <f t="shared" si="18"/>
        <v>0.1</v>
      </c>
      <c r="AM82" s="206">
        <f t="shared" si="18"/>
        <v>0.1</v>
      </c>
      <c r="AN82" s="206">
        <f t="shared" si="18"/>
        <v>0.1</v>
      </c>
      <c r="AO82" s="206">
        <f t="shared" si="18"/>
        <v>0.1</v>
      </c>
      <c r="AP82" s="206">
        <f t="shared" si="18"/>
        <v>0.1</v>
      </c>
      <c r="AQ82" s="206">
        <f t="shared" si="18"/>
        <v>0.1</v>
      </c>
      <c r="AR82" s="206">
        <f t="shared" si="18"/>
        <v>0.1</v>
      </c>
      <c r="AS82" s="206">
        <f t="shared" si="18"/>
        <v>0.1</v>
      </c>
      <c r="AT82" s="206">
        <f t="shared" si="18"/>
        <v>0.1</v>
      </c>
      <c r="AU82" s="206">
        <f t="shared" si="18"/>
        <v>0.1</v>
      </c>
      <c r="AV82" s="206">
        <f t="shared" si="18"/>
        <v>0.1</v>
      </c>
    </row>
    <row r="83" spans="1:48" s="150" customFormat="1" ht="15" customHeight="1">
      <c r="A83" s="189"/>
      <c r="B83" s="189"/>
      <c r="C83" s="191"/>
      <c r="E83" s="200" t="s">
        <v>66</v>
      </c>
      <c r="F83" s="3"/>
      <c r="G83" s="200" t="s">
        <v>60</v>
      </c>
      <c r="H83" s="200"/>
      <c r="I83" s="200"/>
      <c r="J83" s="200"/>
      <c r="K83" s="200"/>
      <c r="L83" s="209" t="str">
        <f t="shared" ref="L83:AV83" si="19" xml:space="preserve"> IF(L80 &lt; $F76, $G70, $G71)</f>
        <v>Net</v>
      </c>
      <c r="M83" s="209" t="str">
        <f t="shared" si="19"/>
        <v>Net</v>
      </c>
      <c r="N83" s="209" t="str">
        <f t="shared" si="19"/>
        <v>Net</v>
      </c>
      <c r="O83" s="209" t="str">
        <f t="shared" si="19"/>
        <v>Net</v>
      </c>
      <c r="P83" s="209" t="str">
        <f t="shared" si="19"/>
        <v>Gross</v>
      </c>
      <c r="Q83" s="209" t="str">
        <f t="shared" si="19"/>
        <v>Gross</v>
      </c>
      <c r="R83" s="209" t="str">
        <f t="shared" si="19"/>
        <v>Gross</v>
      </c>
      <c r="S83" s="209" t="str">
        <f t="shared" si="19"/>
        <v>Gross</v>
      </c>
      <c r="T83" s="209" t="str">
        <f t="shared" si="19"/>
        <v>Gross</v>
      </c>
      <c r="U83" s="209" t="str">
        <f t="shared" si="19"/>
        <v>Gross</v>
      </c>
      <c r="V83" s="209" t="str">
        <f t="shared" si="19"/>
        <v>Gross</v>
      </c>
      <c r="W83" s="209" t="str">
        <f t="shared" si="19"/>
        <v>Gross</v>
      </c>
      <c r="X83" s="209" t="str">
        <f t="shared" si="19"/>
        <v>Gross</v>
      </c>
      <c r="Y83" s="209" t="str">
        <f t="shared" si="19"/>
        <v>Gross</v>
      </c>
      <c r="Z83" s="209" t="str">
        <f t="shared" si="19"/>
        <v>Gross</v>
      </c>
      <c r="AA83" s="209" t="str">
        <f t="shared" si="19"/>
        <v>Gross</v>
      </c>
      <c r="AB83" s="209" t="str">
        <f t="shared" si="19"/>
        <v>Gross</v>
      </c>
      <c r="AC83" s="209" t="str">
        <f t="shared" si="19"/>
        <v>Gross</v>
      </c>
      <c r="AD83" s="209" t="str">
        <f t="shared" si="19"/>
        <v>Gross</v>
      </c>
      <c r="AE83" s="209" t="str">
        <f t="shared" si="19"/>
        <v>Gross</v>
      </c>
      <c r="AF83" s="209" t="str">
        <f t="shared" si="19"/>
        <v>Gross</v>
      </c>
      <c r="AG83" s="209" t="str">
        <f t="shared" si="19"/>
        <v>Gross</v>
      </c>
      <c r="AH83" s="209" t="str">
        <f t="shared" si="19"/>
        <v>Gross</v>
      </c>
      <c r="AI83" s="209" t="str">
        <f t="shared" si="19"/>
        <v>Gross</v>
      </c>
      <c r="AJ83" s="209" t="str">
        <f t="shared" si="19"/>
        <v>Gross</v>
      </c>
      <c r="AK83" s="209" t="str">
        <f t="shared" si="19"/>
        <v>Gross</v>
      </c>
      <c r="AL83" s="209" t="str">
        <f t="shared" si="19"/>
        <v>Gross</v>
      </c>
      <c r="AM83" s="209" t="str">
        <f t="shared" si="19"/>
        <v>Gross</v>
      </c>
      <c r="AN83" s="209" t="str">
        <f t="shared" si="19"/>
        <v>Gross</v>
      </c>
      <c r="AO83" s="209" t="str">
        <f t="shared" si="19"/>
        <v>Gross</v>
      </c>
      <c r="AP83" s="209" t="str">
        <f t="shared" si="19"/>
        <v>Gross</v>
      </c>
      <c r="AQ83" s="209" t="str">
        <f t="shared" si="19"/>
        <v>Gross</v>
      </c>
      <c r="AR83" s="209" t="str">
        <f t="shared" si="19"/>
        <v>Gross</v>
      </c>
      <c r="AS83" s="209" t="str">
        <f t="shared" si="19"/>
        <v>Gross</v>
      </c>
      <c r="AT83" s="209" t="str">
        <f t="shared" si="19"/>
        <v>Gross</v>
      </c>
      <c r="AU83" s="209" t="str">
        <f t="shared" si="19"/>
        <v>Gross</v>
      </c>
      <c r="AV83" s="209" t="str">
        <f t="shared" si="19"/>
        <v>Gross</v>
      </c>
    </row>
    <row r="84" spans="1:48" s="150" customFormat="1" ht="15" customHeight="1">
      <c r="A84" s="189"/>
      <c r="B84" s="189"/>
      <c r="C84" s="191"/>
      <c r="E84" s="200"/>
      <c r="F84" s="3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  <c r="AI84" s="200"/>
      <c r="AJ84" s="200"/>
      <c r="AK84" s="200"/>
      <c r="AL84" s="200"/>
      <c r="AM84" s="200"/>
      <c r="AN84" s="200"/>
      <c r="AO84" s="200"/>
      <c r="AP84" s="200"/>
      <c r="AQ84" s="200"/>
      <c r="AR84" s="200"/>
      <c r="AS84" s="200"/>
      <c r="AT84" s="200"/>
      <c r="AU84" s="200"/>
      <c r="AV84" s="200"/>
    </row>
    <row r="85" spans="1:48" s="150" customFormat="1" ht="15" customHeight="1">
      <c r="A85" s="189"/>
      <c r="B85" s="189"/>
      <c r="C85" s="191" t="s">
        <v>67</v>
      </c>
      <c r="E85" s="200"/>
      <c r="F85" s="3"/>
      <c r="G85" s="200"/>
      <c r="H85" s="200"/>
      <c r="I85" s="200"/>
      <c r="J85" s="200"/>
      <c r="K85" s="200"/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P85" s="200"/>
      <c r="AQ85" s="200"/>
      <c r="AR85" s="200"/>
      <c r="AS85" s="200"/>
      <c r="AT85" s="200"/>
      <c r="AU85" s="200"/>
      <c r="AV85" s="200"/>
    </row>
    <row r="86" spans="1:48" s="150" customFormat="1" ht="15" customHeight="1">
      <c r="A86" s="189"/>
      <c r="B86" s="189"/>
      <c r="C86" s="191"/>
      <c r="E86" s="200" t="s">
        <v>68</v>
      </c>
      <c r="F86" s="3"/>
      <c r="G86" s="200" t="s">
        <v>29</v>
      </c>
      <c r="H86" s="200"/>
      <c r="I86" s="200"/>
      <c r="J86" s="200">
        <f xml:space="preserve"> SUM(L86:AV86)</f>
        <v>26132.160908838559</v>
      </c>
      <c r="K86" s="200"/>
      <c r="L86" s="200">
        <f t="shared" ref="L86:AV86" si="20" xml:space="preserve"> IF(L83 = $F74, L63, L47)</f>
        <v>0</v>
      </c>
      <c r="M86" s="200">
        <f t="shared" si="20"/>
        <v>0</v>
      </c>
      <c r="N86" s="200">
        <f xml:space="preserve"> IF(N83 = $F74, N63, N47)</f>
        <v>-17.145175361520248</v>
      </c>
      <c r="O86" s="200">
        <f t="shared" si="20"/>
        <v>174.71941150047968</v>
      </c>
      <c r="P86" s="200">
        <f t="shared" si="20"/>
        <v>374.65761799999996</v>
      </c>
      <c r="Q86" s="200">
        <f t="shared" si="20"/>
        <v>483.04256699999996</v>
      </c>
      <c r="R86" s="200">
        <f t="shared" si="20"/>
        <v>464.20070399999997</v>
      </c>
      <c r="S86" s="200">
        <f t="shared" si="20"/>
        <v>610.745994</v>
      </c>
      <c r="T86" s="200">
        <f t="shared" si="20"/>
        <v>1018.82427</v>
      </c>
      <c r="U86" s="200">
        <f t="shared" si="20"/>
        <v>557.31978000000004</v>
      </c>
      <c r="V86" s="200">
        <f t="shared" si="20"/>
        <v>0</v>
      </c>
      <c r="W86" s="200">
        <f t="shared" si="20"/>
        <v>12.958000000000002</v>
      </c>
      <c r="X86" s="200">
        <f t="shared" si="20"/>
        <v>962.06309999999996</v>
      </c>
      <c r="Y86" s="200">
        <f t="shared" si="20"/>
        <v>1409.435524278525</v>
      </c>
      <c r="Z86" s="200">
        <f t="shared" si="20"/>
        <v>1761.2375673652693</v>
      </c>
      <c r="AA86" s="200">
        <f t="shared" si="20"/>
        <v>1851.3715776867632</v>
      </c>
      <c r="AB86" s="200">
        <f t="shared" si="20"/>
        <v>1829.1452214594171</v>
      </c>
      <c r="AC86" s="200">
        <f t="shared" si="20"/>
        <v>1833.6207537709263</v>
      </c>
      <c r="AD86" s="200">
        <f t="shared" si="20"/>
        <v>1850.3925433982115</v>
      </c>
      <c r="AE86" s="200">
        <f t="shared" si="20"/>
        <v>1850.4093148724157</v>
      </c>
      <c r="AF86" s="200">
        <f t="shared" si="20"/>
        <v>1851.265822510823</v>
      </c>
      <c r="AG86" s="200">
        <f t="shared" si="20"/>
        <v>1848.3934162695334</v>
      </c>
      <c r="AH86" s="200">
        <f t="shared" si="20"/>
        <v>1863.2058998337484</v>
      </c>
      <c r="AI86" s="200">
        <f t="shared" si="20"/>
        <v>1113.1158377501597</v>
      </c>
      <c r="AJ86" s="200">
        <f t="shared" si="20"/>
        <v>600.94875825082511</v>
      </c>
      <c r="AK86" s="200">
        <f t="shared" si="20"/>
        <v>614.89884069720301</v>
      </c>
      <c r="AL86" s="200">
        <f t="shared" si="20"/>
        <v>637.25999999999976</v>
      </c>
      <c r="AM86" s="200">
        <f t="shared" si="20"/>
        <v>434.8822605965463</v>
      </c>
      <c r="AN86" s="200">
        <f t="shared" si="20"/>
        <v>141.19130095923265</v>
      </c>
      <c r="AO86" s="200">
        <f t="shared" si="20"/>
        <v>0</v>
      </c>
      <c r="AP86" s="200">
        <f t="shared" si="20"/>
        <v>0</v>
      </c>
      <c r="AQ86" s="200">
        <f t="shared" si="20"/>
        <v>0</v>
      </c>
      <c r="AR86" s="200">
        <f t="shared" si="20"/>
        <v>0</v>
      </c>
      <c r="AS86" s="200">
        <f t="shared" si="20"/>
        <v>0</v>
      </c>
      <c r="AT86" s="200">
        <f t="shared" si="20"/>
        <v>0</v>
      </c>
      <c r="AU86" s="200">
        <f t="shared" si="20"/>
        <v>0</v>
      </c>
      <c r="AV86" s="200">
        <f t="shared" si="20"/>
        <v>0</v>
      </c>
    </row>
    <row r="87" spans="1:48" s="150" customFormat="1" ht="15" customHeight="1">
      <c r="A87" s="189"/>
      <c r="B87" s="189"/>
      <c r="C87" s="191"/>
      <c r="E87" s="200" t="s">
        <v>69</v>
      </c>
      <c r="F87" s="3"/>
      <c r="G87" s="200" t="s">
        <v>29</v>
      </c>
      <c r="H87" s="200"/>
      <c r="I87" s="200"/>
      <c r="J87" s="200">
        <f xml:space="preserve"> SUM(L87:AV87)</f>
        <v>19789.659290324693</v>
      </c>
      <c r="K87" s="200"/>
      <c r="L87" s="200">
        <f t="shared" ref="L87:AV87" si="21" xml:space="preserve"> IF(L83 = $F74, L64, L48)</f>
        <v>0</v>
      </c>
      <c r="M87" s="200">
        <f t="shared" si="21"/>
        <v>0</v>
      </c>
      <c r="N87" s="200">
        <f t="shared" si="21"/>
        <v>-0.58132375773689793</v>
      </c>
      <c r="O87" s="200">
        <f t="shared" si="21"/>
        <v>64.510323690567532</v>
      </c>
      <c r="P87" s="200">
        <f t="shared" si="21"/>
        <v>106.64945999999999</v>
      </c>
      <c r="Q87" s="200">
        <f t="shared" si="21"/>
        <v>54.684112500000005</v>
      </c>
      <c r="R87" s="200">
        <f t="shared" si="21"/>
        <v>45.980842500000001</v>
      </c>
      <c r="S87" s="200">
        <f t="shared" si="21"/>
        <v>46.625024999999994</v>
      </c>
      <c r="T87" s="200">
        <f t="shared" si="21"/>
        <v>64.355609999999999</v>
      </c>
      <c r="U87" s="200">
        <f t="shared" si="21"/>
        <v>63.581774999999993</v>
      </c>
      <c r="V87" s="200">
        <f t="shared" si="21"/>
        <v>0</v>
      </c>
      <c r="W87" s="200">
        <f t="shared" si="21"/>
        <v>0</v>
      </c>
      <c r="X87" s="200">
        <f t="shared" si="21"/>
        <v>510.68225999999993</v>
      </c>
      <c r="Y87" s="200">
        <f t="shared" si="21"/>
        <v>583.09398212341171</v>
      </c>
      <c r="Z87" s="200">
        <f t="shared" si="21"/>
        <v>1072.2531253056236</v>
      </c>
      <c r="AA87" s="200">
        <f t="shared" si="21"/>
        <v>1756.1250122926826</v>
      </c>
      <c r="AB87" s="200">
        <f t="shared" si="21"/>
        <v>1795.0625586780918</v>
      </c>
      <c r="AC87" s="200">
        <f t="shared" si="21"/>
        <v>1863.1638675382001</v>
      </c>
      <c r="AD87" s="200">
        <f t="shared" si="21"/>
        <v>2015.8524713824418</v>
      </c>
      <c r="AE87" s="200">
        <f t="shared" si="21"/>
        <v>1880.0293881599998</v>
      </c>
      <c r="AF87" s="200">
        <f t="shared" si="21"/>
        <v>1682.9846248262832</v>
      </c>
      <c r="AG87" s="200">
        <f t="shared" si="21"/>
        <v>1614.3626816748927</v>
      </c>
      <c r="AH87" s="200">
        <f t="shared" si="21"/>
        <v>1342.6334074175584</v>
      </c>
      <c r="AI87" s="200">
        <f t="shared" si="21"/>
        <v>854.1524895724566</v>
      </c>
      <c r="AJ87" s="200">
        <f t="shared" si="21"/>
        <v>569.98346454961836</v>
      </c>
      <c r="AK87" s="200">
        <f t="shared" si="21"/>
        <v>686.0479581765959</v>
      </c>
      <c r="AL87" s="200">
        <f t="shared" si="21"/>
        <v>656.26025849999996</v>
      </c>
      <c r="AM87" s="200">
        <f t="shared" si="21"/>
        <v>358.70125930434767</v>
      </c>
      <c r="AN87" s="200">
        <f t="shared" si="21"/>
        <v>102.46465588965518</v>
      </c>
      <c r="AO87" s="200">
        <f t="shared" si="21"/>
        <v>0</v>
      </c>
      <c r="AP87" s="200">
        <f t="shared" si="21"/>
        <v>0</v>
      </c>
      <c r="AQ87" s="200">
        <f t="shared" si="21"/>
        <v>0</v>
      </c>
      <c r="AR87" s="200">
        <f t="shared" si="21"/>
        <v>0</v>
      </c>
      <c r="AS87" s="200">
        <f t="shared" si="21"/>
        <v>0</v>
      </c>
      <c r="AT87" s="200">
        <f t="shared" si="21"/>
        <v>0</v>
      </c>
      <c r="AU87" s="200">
        <f t="shared" si="21"/>
        <v>0</v>
      </c>
      <c r="AV87" s="200">
        <f t="shared" si="21"/>
        <v>0</v>
      </c>
    </row>
    <row r="88" spans="1:48" s="150" customFormat="1" ht="15" customHeight="1">
      <c r="A88" s="189"/>
      <c r="B88" s="189"/>
      <c r="C88" s="191"/>
      <c r="E88" s="200"/>
      <c r="F88" s="3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200"/>
      <c r="AH88" s="200"/>
      <c r="AI88" s="200"/>
      <c r="AJ88" s="200"/>
      <c r="AK88" s="200"/>
      <c r="AL88" s="200"/>
      <c r="AM88" s="200"/>
      <c r="AN88" s="200"/>
      <c r="AO88" s="200"/>
      <c r="AP88" s="200"/>
      <c r="AQ88" s="200"/>
      <c r="AR88" s="200"/>
      <c r="AS88" s="200"/>
      <c r="AT88" s="200"/>
      <c r="AU88" s="200"/>
      <c r="AV88" s="200"/>
    </row>
    <row r="89" spans="1:48" s="150" customFormat="1" ht="15" customHeight="1">
      <c r="A89" s="189"/>
      <c r="B89" s="189"/>
      <c r="C89" s="191"/>
      <c r="E89" s="200" t="s">
        <v>70</v>
      </c>
      <c r="F89" s="3"/>
      <c r="G89" s="200" t="s">
        <v>29</v>
      </c>
      <c r="H89" s="200"/>
      <c r="I89" s="200"/>
      <c r="J89" s="200">
        <f xml:space="preserve"> SUM(L89:AV89)</f>
        <v>912.26201826726515</v>
      </c>
      <c r="K89" s="200"/>
      <c r="L89" s="200">
        <f t="shared" ref="L89:AV89" si="22" xml:space="preserve"> L86 * L81</f>
        <v>0</v>
      </c>
      <c r="M89" s="200">
        <f t="shared" si="22"/>
        <v>0</v>
      </c>
      <c r="N89" s="200">
        <f t="shared" si="22"/>
        <v>-0.34290350723040497</v>
      </c>
      <c r="O89" s="200">
        <f t="shared" si="22"/>
        <v>3.4943882300095939</v>
      </c>
      <c r="P89" s="200">
        <f t="shared" si="22"/>
        <v>13.113016630000001</v>
      </c>
      <c r="Q89" s="200">
        <f t="shared" si="22"/>
        <v>16.906489844999999</v>
      </c>
      <c r="R89" s="200">
        <f t="shared" si="22"/>
        <v>16.247024639999999</v>
      </c>
      <c r="S89" s="200">
        <f t="shared" si="22"/>
        <v>21.376109790000001</v>
      </c>
      <c r="T89" s="200">
        <f t="shared" si="22"/>
        <v>35.658849450000005</v>
      </c>
      <c r="U89" s="200">
        <f t="shared" si="22"/>
        <v>19.506192300000002</v>
      </c>
      <c r="V89" s="200">
        <f t="shared" si="22"/>
        <v>0</v>
      </c>
      <c r="W89" s="200">
        <f t="shared" si="22"/>
        <v>0.4535300000000001</v>
      </c>
      <c r="X89" s="200">
        <f t="shared" si="22"/>
        <v>33.672208500000004</v>
      </c>
      <c r="Y89" s="200">
        <f t="shared" si="22"/>
        <v>49.330243349748379</v>
      </c>
      <c r="Z89" s="200">
        <f t="shared" si="22"/>
        <v>61.643314857784432</v>
      </c>
      <c r="AA89" s="200">
        <f t="shared" si="22"/>
        <v>64.798005219036725</v>
      </c>
      <c r="AB89" s="200">
        <f t="shared" si="22"/>
        <v>64.020082751079613</v>
      </c>
      <c r="AC89" s="200">
        <f t="shared" si="22"/>
        <v>64.176726381982419</v>
      </c>
      <c r="AD89" s="200">
        <f t="shared" si="22"/>
        <v>64.763739018937414</v>
      </c>
      <c r="AE89" s="200">
        <f t="shared" si="22"/>
        <v>64.764326020534554</v>
      </c>
      <c r="AF89" s="200">
        <f t="shared" si="22"/>
        <v>64.794303787878818</v>
      </c>
      <c r="AG89" s="200">
        <f t="shared" si="22"/>
        <v>64.69376956943367</v>
      </c>
      <c r="AH89" s="200">
        <f t="shared" si="22"/>
        <v>65.212206494181203</v>
      </c>
      <c r="AI89" s="200">
        <f t="shared" si="22"/>
        <v>38.959054321255593</v>
      </c>
      <c r="AJ89" s="200">
        <f t="shared" si="22"/>
        <v>21.033206538778881</v>
      </c>
      <c r="AK89" s="200">
        <f t="shared" si="22"/>
        <v>21.521459424402106</v>
      </c>
      <c r="AL89" s="200">
        <f t="shared" si="22"/>
        <v>22.304099999999995</v>
      </c>
      <c r="AM89" s="200">
        <f t="shared" si="22"/>
        <v>15.220879120879122</v>
      </c>
      <c r="AN89" s="200">
        <f t="shared" si="22"/>
        <v>4.9416955335731432</v>
      </c>
      <c r="AO89" s="200">
        <f t="shared" si="22"/>
        <v>0</v>
      </c>
      <c r="AP89" s="200">
        <f t="shared" si="22"/>
        <v>0</v>
      </c>
      <c r="AQ89" s="200">
        <f t="shared" si="22"/>
        <v>0</v>
      </c>
      <c r="AR89" s="200">
        <f t="shared" si="22"/>
        <v>0</v>
      </c>
      <c r="AS89" s="200">
        <f t="shared" si="22"/>
        <v>0</v>
      </c>
      <c r="AT89" s="200">
        <f t="shared" si="22"/>
        <v>0</v>
      </c>
      <c r="AU89" s="200">
        <f t="shared" si="22"/>
        <v>0</v>
      </c>
      <c r="AV89" s="200">
        <f t="shared" si="22"/>
        <v>0</v>
      </c>
    </row>
    <row r="90" spans="1:48" s="150" customFormat="1" ht="15" customHeight="1">
      <c r="A90" s="189"/>
      <c r="B90" s="189"/>
      <c r="C90" s="191"/>
      <c r="E90" s="200" t="s">
        <v>71</v>
      </c>
      <c r="F90" s="3"/>
      <c r="G90" s="200" t="s">
        <v>29</v>
      </c>
      <c r="H90" s="200"/>
      <c r="I90" s="200"/>
      <c r="J90" s="200">
        <f xml:space="preserve"> SUM(L90:AV90)</f>
        <v>1973.8516090378425</v>
      </c>
      <c r="K90" s="200"/>
      <c r="L90" s="200">
        <f t="shared" ref="L90:AV90" si="23" xml:space="preserve"> L87 * L82</f>
        <v>0</v>
      </c>
      <c r="M90" s="200">
        <f t="shared" si="23"/>
        <v>0</v>
      </c>
      <c r="N90" s="200">
        <f t="shared" si="23"/>
        <v>-1.1626475154737959E-2</v>
      </c>
      <c r="O90" s="200">
        <f t="shared" si="23"/>
        <v>1.2902064738113506</v>
      </c>
      <c r="P90" s="200">
        <f t="shared" si="23"/>
        <v>10.664946</v>
      </c>
      <c r="Q90" s="200">
        <f t="shared" si="23"/>
        <v>5.4684112500000008</v>
      </c>
      <c r="R90" s="200">
        <f t="shared" si="23"/>
        <v>4.5980842500000003</v>
      </c>
      <c r="S90" s="200">
        <f t="shared" si="23"/>
        <v>4.6625024999999996</v>
      </c>
      <c r="T90" s="200">
        <f t="shared" si="23"/>
        <v>6.4355609999999999</v>
      </c>
      <c r="U90" s="200">
        <f t="shared" si="23"/>
        <v>6.3581775</v>
      </c>
      <c r="V90" s="200">
        <f t="shared" si="23"/>
        <v>0</v>
      </c>
      <c r="W90" s="200">
        <f t="shared" si="23"/>
        <v>0</v>
      </c>
      <c r="X90" s="200">
        <f t="shared" si="23"/>
        <v>51.068225999999996</v>
      </c>
      <c r="Y90" s="200">
        <f t="shared" si="23"/>
        <v>58.309398212341172</v>
      </c>
      <c r="Z90" s="200">
        <f t="shared" si="23"/>
        <v>107.22531253056236</v>
      </c>
      <c r="AA90" s="200">
        <f t="shared" si="23"/>
        <v>175.61250122926828</v>
      </c>
      <c r="AB90" s="200">
        <f t="shared" si="23"/>
        <v>179.50625586780919</v>
      </c>
      <c r="AC90" s="200">
        <f t="shared" si="23"/>
        <v>186.31638675382001</v>
      </c>
      <c r="AD90" s="200">
        <f t="shared" si="23"/>
        <v>201.5852471382442</v>
      </c>
      <c r="AE90" s="200">
        <f t="shared" si="23"/>
        <v>188.00293881599998</v>
      </c>
      <c r="AF90" s="200">
        <f t="shared" si="23"/>
        <v>168.29846248262834</v>
      </c>
      <c r="AG90" s="200">
        <f t="shared" si="23"/>
        <v>161.43626816748929</v>
      </c>
      <c r="AH90" s="200">
        <f t="shared" si="23"/>
        <v>134.26334074175585</v>
      </c>
      <c r="AI90" s="200">
        <f t="shared" si="23"/>
        <v>85.415248957245666</v>
      </c>
      <c r="AJ90" s="200">
        <f t="shared" si="23"/>
        <v>56.99834645496184</v>
      </c>
      <c r="AK90" s="200">
        <f t="shared" si="23"/>
        <v>68.604795817659593</v>
      </c>
      <c r="AL90" s="200">
        <f t="shared" si="23"/>
        <v>65.626025850000005</v>
      </c>
      <c r="AM90" s="200">
        <f t="shared" si="23"/>
        <v>35.870125930434767</v>
      </c>
      <c r="AN90" s="200">
        <f t="shared" si="23"/>
        <v>10.246465588965519</v>
      </c>
      <c r="AO90" s="200">
        <f t="shared" si="23"/>
        <v>0</v>
      </c>
      <c r="AP90" s="200">
        <f t="shared" si="23"/>
        <v>0</v>
      </c>
      <c r="AQ90" s="200">
        <f t="shared" si="23"/>
        <v>0</v>
      </c>
      <c r="AR90" s="200">
        <f t="shared" si="23"/>
        <v>0</v>
      </c>
      <c r="AS90" s="200">
        <f t="shared" si="23"/>
        <v>0</v>
      </c>
      <c r="AT90" s="200">
        <f t="shared" si="23"/>
        <v>0</v>
      </c>
      <c r="AU90" s="200">
        <f t="shared" si="23"/>
        <v>0</v>
      </c>
      <c r="AV90" s="200">
        <f t="shared" si="23"/>
        <v>0</v>
      </c>
    </row>
    <row r="91" spans="1:48" s="214" customFormat="1" ht="15" customHeight="1">
      <c r="A91" s="212"/>
      <c r="B91" s="212"/>
      <c r="C91" s="213"/>
      <c r="E91" s="215" t="s">
        <v>72</v>
      </c>
      <c r="F91" s="222"/>
      <c r="G91" s="215" t="s">
        <v>29</v>
      </c>
      <c r="H91" s="215"/>
      <c r="I91" s="215"/>
      <c r="J91" s="215">
        <f xml:space="preserve"> SUM(L91:AV91)</f>
        <v>2886.1136273051079</v>
      </c>
      <c r="K91" s="215"/>
      <c r="L91" s="215">
        <f t="shared" ref="L91:AV91" si="24">SUM(L89:L90)</f>
        <v>0</v>
      </c>
      <c r="M91" s="215">
        <f t="shared" si="24"/>
        <v>0</v>
      </c>
      <c r="N91" s="215">
        <f t="shared" si="24"/>
        <v>-0.35452998238514294</v>
      </c>
      <c r="O91" s="215">
        <f t="shared" si="24"/>
        <v>4.7845947038209449</v>
      </c>
      <c r="P91" s="215">
        <f t="shared" si="24"/>
        <v>23.777962630000001</v>
      </c>
      <c r="Q91" s="215">
        <f t="shared" si="24"/>
        <v>22.374901094999998</v>
      </c>
      <c r="R91" s="215">
        <f t="shared" si="24"/>
        <v>20.845108889999999</v>
      </c>
      <c r="S91" s="215">
        <f t="shared" si="24"/>
        <v>26.03861229</v>
      </c>
      <c r="T91" s="215">
        <f t="shared" si="24"/>
        <v>42.094410450000005</v>
      </c>
      <c r="U91" s="215">
        <f t="shared" si="24"/>
        <v>25.864369800000002</v>
      </c>
      <c r="V91" s="215">
        <f t="shared" si="24"/>
        <v>0</v>
      </c>
      <c r="W91" s="215">
        <f t="shared" si="24"/>
        <v>0.4535300000000001</v>
      </c>
      <c r="X91" s="215">
        <f t="shared" si="24"/>
        <v>84.740434499999992</v>
      </c>
      <c r="Y91" s="215">
        <f t="shared" si="24"/>
        <v>107.63964156208955</v>
      </c>
      <c r="Z91" s="215">
        <f t="shared" si="24"/>
        <v>168.86862738834679</v>
      </c>
      <c r="AA91" s="215">
        <f t="shared" si="24"/>
        <v>240.410506448305</v>
      </c>
      <c r="AB91" s="215">
        <f t="shared" si="24"/>
        <v>243.52633861888881</v>
      </c>
      <c r="AC91" s="215">
        <f t="shared" si="24"/>
        <v>250.49311313580245</v>
      </c>
      <c r="AD91" s="215">
        <f t="shared" si="24"/>
        <v>266.34898615718163</v>
      </c>
      <c r="AE91" s="215">
        <f t="shared" si="24"/>
        <v>252.76726483653454</v>
      </c>
      <c r="AF91" s="215">
        <f t="shared" si="24"/>
        <v>233.09276627050716</v>
      </c>
      <c r="AG91" s="215">
        <f t="shared" si="24"/>
        <v>226.13003773692296</v>
      </c>
      <c r="AH91" s="215">
        <f t="shared" si="24"/>
        <v>199.47554723593706</v>
      </c>
      <c r="AI91" s="215">
        <f t="shared" si="24"/>
        <v>124.37430327850126</v>
      </c>
      <c r="AJ91" s="215">
        <f t="shared" si="24"/>
        <v>78.031552993740718</v>
      </c>
      <c r="AK91" s="215">
        <f t="shared" si="24"/>
        <v>90.126255242061703</v>
      </c>
      <c r="AL91" s="215">
        <f t="shared" si="24"/>
        <v>87.930125849999996</v>
      </c>
      <c r="AM91" s="215">
        <f t="shared" si="24"/>
        <v>51.091005051313886</v>
      </c>
      <c r="AN91" s="215">
        <f t="shared" si="24"/>
        <v>15.188161122538663</v>
      </c>
      <c r="AO91" s="215">
        <f t="shared" si="24"/>
        <v>0</v>
      </c>
      <c r="AP91" s="215">
        <f t="shared" si="24"/>
        <v>0</v>
      </c>
      <c r="AQ91" s="215">
        <f t="shared" si="24"/>
        <v>0</v>
      </c>
      <c r="AR91" s="215">
        <f t="shared" si="24"/>
        <v>0</v>
      </c>
      <c r="AS91" s="215">
        <f t="shared" si="24"/>
        <v>0</v>
      </c>
      <c r="AT91" s="215">
        <f t="shared" si="24"/>
        <v>0</v>
      </c>
      <c r="AU91" s="215">
        <f t="shared" si="24"/>
        <v>0</v>
      </c>
      <c r="AV91" s="215">
        <f t="shared" si="24"/>
        <v>0</v>
      </c>
    </row>
    <row r="92" spans="1:48" s="150" customFormat="1" ht="15" customHeight="1">
      <c r="A92" s="189"/>
      <c r="B92" s="189"/>
      <c r="C92" s="191"/>
      <c r="E92" s="200"/>
      <c r="F92" s="3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</row>
    <row r="93" spans="1:48" s="150" customFormat="1" ht="15" customHeight="1">
      <c r="A93" s="189"/>
      <c r="B93" s="189"/>
      <c r="C93" s="191" t="s">
        <v>73</v>
      </c>
      <c r="E93" s="200"/>
      <c r="F93" s="3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0"/>
      <c r="AJ93" s="200"/>
      <c r="AK93" s="200"/>
      <c r="AL93" s="200"/>
      <c r="AM93" s="200"/>
      <c r="AN93" s="200"/>
      <c r="AO93" s="200"/>
      <c r="AP93" s="200"/>
      <c r="AQ93" s="200"/>
      <c r="AR93" s="200"/>
      <c r="AS93" s="200"/>
      <c r="AT93" s="200"/>
      <c r="AU93" s="200"/>
      <c r="AV93" s="200"/>
    </row>
    <row r="94" spans="1:48" s="150" customFormat="1" ht="15" customHeight="1">
      <c r="A94" s="189"/>
      <c r="B94" s="189"/>
      <c r="C94" s="191"/>
      <c r="E94" s="200" t="str">
        <f t="shared" ref="E94:AV94" si="25" xml:space="preserve"> E$63</f>
        <v>Copper net revenue</v>
      </c>
      <c r="F94" s="200">
        <f t="shared" si="25"/>
        <v>0</v>
      </c>
      <c r="G94" s="200" t="str">
        <f t="shared" si="25"/>
        <v>$ mn</v>
      </c>
      <c r="H94" s="200">
        <f t="shared" si="25"/>
        <v>0</v>
      </c>
      <c r="I94" s="200">
        <f t="shared" si="25"/>
        <v>0</v>
      </c>
      <c r="J94" s="200">
        <f t="shared" si="25"/>
        <v>22896.500297608229</v>
      </c>
      <c r="K94" s="200">
        <f t="shared" si="25"/>
        <v>0</v>
      </c>
      <c r="L94" s="200">
        <f t="shared" si="25"/>
        <v>0</v>
      </c>
      <c r="M94" s="200">
        <f t="shared" si="25"/>
        <v>0</v>
      </c>
      <c r="N94" s="200">
        <f t="shared" si="25"/>
        <v>-17.145175361520248</v>
      </c>
      <c r="O94" s="200">
        <f t="shared" si="25"/>
        <v>174.71941150047968</v>
      </c>
      <c r="P94" s="200">
        <f t="shared" si="25"/>
        <v>334.21298642838485</v>
      </c>
      <c r="Q94" s="200">
        <f t="shared" si="25"/>
        <v>438.38915142236971</v>
      </c>
      <c r="R94" s="200">
        <f t="shared" si="25"/>
        <v>416.57866176619331</v>
      </c>
      <c r="S94" s="200">
        <f t="shared" si="25"/>
        <v>542.94039089756825</v>
      </c>
      <c r="T94" s="200">
        <f t="shared" si="25"/>
        <v>897.11832808020301</v>
      </c>
      <c r="U94" s="200">
        <f t="shared" si="25"/>
        <v>474.53927689826577</v>
      </c>
      <c r="V94" s="200">
        <f t="shared" si="25"/>
        <v>0</v>
      </c>
      <c r="W94" s="200">
        <f t="shared" si="25"/>
        <v>11.252783643971767</v>
      </c>
      <c r="X94" s="200">
        <f t="shared" si="25"/>
        <v>843.93811242786228</v>
      </c>
      <c r="Y94" s="200">
        <f t="shared" si="25"/>
        <v>1219.2670822762059</v>
      </c>
      <c r="Z94" s="200">
        <f t="shared" si="25"/>
        <v>1540.1635072458262</v>
      </c>
      <c r="AA94" s="200">
        <f t="shared" si="25"/>
        <v>1618.9837164164455</v>
      </c>
      <c r="AB94" s="200">
        <f t="shared" si="25"/>
        <v>1599.5472568526093</v>
      </c>
      <c r="AC94" s="200">
        <f t="shared" si="25"/>
        <v>1603.461011401916</v>
      </c>
      <c r="AD94" s="200">
        <f t="shared" si="25"/>
        <v>1618.1275724688546</v>
      </c>
      <c r="AE94" s="200">
        <f t="shared" si="25"/>
        <v>1618.1422387540908</v>
      </c>
      <c r="AF94" s="200">
        <f t="shared" si="25"/>
        <v>1618.891235841591</v>
      </c>
      <c r="AG94" s="200">
        <f t="shared" si="25"/>
        <v>1616.3793797735664</v>
      </c>
      <c r="AH94" s="200">
        <f t="shared" si="25"/>
        <v>1629.3325707910681</v>
      </c>
      <c r="AI94" s="200">
        <f t="shared" si="25"/>
        <v>973.39531270889051</v>
      </c>
      <c r="AJ94" s="200">
        <f t="shared" si="25"/>
        <v>525.51646883572289</v>
      </c>
      <c r="AK94" s="200">
        <f t="shared" si="25"/>
        <v>537.71550904761375</v>
      </c>
      <c r="AL94" s="200">
        <f t="shared" si="25"/>
        <v>557.26985093540259</v>
      </c>
      <c r="AM94" s="200">
        <f t="shared" si="25"/>
        <v>380.29496992920997</v>
      </c>
      <c r="AN94" s="200">
        <f t="shared" si="25"/>
        <v>123.46868662543888</v>
      </c>
      <c r="AO94" s="200">
        <f t="shared" si="25"/>
        <v>0</v>
      </c>
      <c r="AP94" s="200">
        <f t="shared" si="25"/>
        <v>0</v>
      </c>
      <c r="AQ94" s="200">
        <f t="shared" si="25"/>
        <v>0</v>
      </c>
      <c r="AR94" s="200">
        <f t="shared" si="25"/>
        <v>0</v>
      </c>
      <c r="AS94" s="200">
        <f t="shared" si="25"/>
        <v>0</v>
      </c>
      <c r="AT94" s="200">
        <f t="shared" si="25"/>
        <v>0</v>
      </c>
      <c r="AU94" s="200">
        <f t="shared" si="25"/>
        <v>0</v>
      </c>
      <c r="AV94" s="200">
        <f t="shared" si="25"/>
        <v>0</v>
      </c>
    </row>
    <row r="95" spans="1:48" s="150" customFormat="1" ht="15" customHeight="1">
      <c r="A95" s="189"/>
      <c r="B95" s="189"/>
      <c r="C95" s="191"/>
      <c r="E95" s="200" t="str">
        <f t="shared" ref="E95:AV95" si="26" xml:space="preserve"> E$64</f>
        <v>Cobalt net revenue</v>
      </c>
      <c r="F95" s="200">
        <f t="shared" si="26"/>
        <v>0</v>
      </c>
      <c r="G95" s="200" t="str">
        <f t="shared" si="26"/>
        <v>$ mn</v>
      </c>
      <c r="H95" s="200">
        <f t="shared" si="26"/>
        <v>0</v>
      </c>
      <c r="I95" s="200">
        <f t="shared" si="26"/>
        <v>0</v>
      </c>
      <c r="J95" s="200">
        <f t="shared" si="26"/>
        <v>19423.766856311002</v>
      </c>
      <c r="K95" s="200">
        <f t="shared" si="26"/>
        <v>0</v>
      </c>
      <c r="L95" s="200">
        <f t="shared" si="26"/>
        <v>0</v>
      </c>
      <c r="M95" s="200">
        <f t="shared" si="26"/>
        <v>0</v>
      </c>
      <c r="N95" s="200">
        <f t="shared" si="26"/>
        <v>-0.58132375773689793</v>
      </c>
      <c r="O95" s="200">
        <f t="shared" si="26"/>
        <v>64.510323690567532</v>
      </c>
      <c r="P95" s="200">
        <f t="shared" si="26"/>
        <v>103.98312169784676</v>
      </c>
      <c r="Q95" s="200">
        <f t="shared" si="26"/>
        <v>52.800623524932455</v>
      </c>
      <c r="R95" s="200">
        <f t="shared" si="26"/>
        <v>44.329883028027211</v>
      </c>
      <c r="S95" s="200">
        <f t="shared" si="26"/>
        <v>44.842298809606838</v>
      </c>
      <c r="T95" s="200">
        <f t="shared" si="26"/>
        <v>62.20083660465523</v>
      </c>
      <c r="U95" s="200">
        <f t="shared" si="26"/>
        <v>61.333989803417325</v>
      </c>
      <c r="V95" s="200">
        <f t="shared" si="26"/>
        <v>0</v>
      </c>
      <c r="W95" s="200">
        <f t="shared" si="26"/>
        <v>0</v>
      </c>
      <c r="X95" s="200">
        <f t="shared" si="26"/>
        <v>502.07091740205738</v>
      </c>
      <c r="Y95" s="200">
        <f t="shared" si="26"/>
        <v>561.5712876445865</v>
      </c>
      <c r="Z95" s="200">
        <f t="shared" si="26"/>
        <v>1047.1210051398789</v>
      </c>
      <c r="AA95" s="200">
        <f t="shared" si="26"/>
        <v>1725.6352901307941</v>
      </c>
      <c r="AB95" s="200">
        <f t="shared" si="26"/>
        <v>1763.8968055032365</v>
      </c>
      <c r="AC95" s="200">
        <f t="shared" si="26"/>
        <v>1830.8157441041255</v>
      </c>
      <c r="AD95" s="200">
        <f t="shared" si="26"/>
        <v>1980.8533788681993</v>
      </c>
      <c r="AE95" s="200">
        <f t="shared" si="26"/>
        <v>1847.3884467122448</v>
      </c>
      <c r="AF95" s="200">
        <f t="shared" si="26"/>
        <v>1653.7647610611793</v>
      </c>
      <c r="AG95" s="200">
        <f t="shared" si="26"/>
        <v>1586.3342273859078</v>
      </c>
      <c r="AH95" s="200">
        <f t="shared" si="26"/>
        <v>1319.3226981736948</v>
      </c>
      <c r="AI95" s="200">
        <f t="shared" si="26"/>
        <v>839.3227525613371</v>
      </c>
      <c r="AJ95" s="200">
        <f t="shared" si="26"/>
        <v>560.08745068423866</v>
      </c>
      <c r="AK95" s="200">
        <f t="shared" si="26"/>
        <v>674.13684052374333</v>
      </c>
      <c r="AL95" s="200">
        <f t="shared" si="26"/>
        <v>644.86631284835676</v>
      </c>
      <c r="AM95" s="200">
        <f t="shared" si="26"/>
        <v>352.47351261276629</v>
      </c>
      <c r="AN95" s="200">
        <f t="shared" si="26"/>
        <v>100.68567155333481</v>
      </c>
      <c r="AO95" s="200">
        <f t="shared" si="26"/>
        <v>0</v>
      </c>
      <c r="AP95" s="200">
        <f t="shared" si="26"/>
        <v>0</v>
      </c>
      <c r="AQ95" s="200">
        <f t="shared" si="26"/>
        <v>0</v>
      </c>
      <c r="AR95" s="200">
        <f t="shared" si="26"/>
        <v>0</v>
      </c>
      <c r="AS95" s="200">
        <f t="shared" si="26"/>
        <v>0</v>
      </c>
      <c r="AT95" s="200">
        <f t="shared" si="26"/>
        <v>0</v>
      </c>
      <c r="AU95" s="200">
        <f t="shared" si="26"/>
        <v>0</v>
      </c>
      <c r="AV95" s="200">
        <f t="shared" si="26"/>
        <v>0</v>
      </c>
    </row>
    <row r="96" spans="1:48" s="150" customFormat="1" ht="15" customHeight="1">
      <c r="A96" s="189"/>
      <c r="B96" s="189"/>
      <c r="C96" s="191"/>
      <c r="E96" s="200"/>
      <c r="F96" s="3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200"/>
      <c r="AR96" s="200"/>
      <c r="AS96" s="200"/>
      <c r="AT96" s="200"/>
      <c r="AU96" s="200"/>
      <c r="AV96" s="200"/>
    </row>
    <row r="97" spans="1:48" s="150" customFormat="1" ht="15" customHeight="1">
      <c r="A97" s="189"/>
      <c r="B97" s="189"/>
      <c r="C97" s="191"/>
      <c r="E97" s="200" t="s">
        <v>74</v>
      </c>
      <c r="F97" s="3"/>
      <c r="G97" s="200" t="s">
        <v>29</v>
      </c>
      <c r="H97" s="200"/>
      <c r="I97" s="200"/>
      <c r="J97" s="200">
        <f xml:space="preserve"> SUM(L97:AV97)</f>
        <v>572.41250744020567</v>
      </c>
      <c r="K97" s="200"/>
      <c r="L97" s="200">
        <f t="shared" ref="L97:AV97" si="27" xml:space="preserve"> L94 * $F77</f>
        <v>0</v>
      </c>
      <c r="M97" s="200">
        <f t="shared" si="27"/>
        <v>0</v>
      </c>
      <c r="N97" s="200">
        <f t="shared" si="27"/>
        <v>-0.42862938403800621</v>
      </c>
      <c r="O97" s="200">
        <f t="shared" si="27"/>
        <v>4.367985287511992</v>
      </c>
      <c r="P97" s="200">
        <f t="shared" si="27"/>
        <v>8.3553246607096217</v>
      </c>
      <c r="Q97" s="200">
        <f t="shared" si="27"/>
        <v>10.959728785559243</v>
      </c>
      <c r="R97" s="200">
        <f t="shared" si="27"/>
        <v>10.414466544154834</v>
      </c>
      <c r="S97" s="200">
        <f t="shared" si="27"/>
        <v>13.573509772439207</v>
      </c>
      <c r="T97" s="200">
        <f t="shared" si="27"/>
        <v>22.427958202005076</v>
      </c>
      <c r="U97" s="200">
        <f t="shared" si="27"/>
        <v>11.863481922456645</v>
      </c>
      <c r="V97" s="200">
        <f t="shared" si="27"/>
        <v>0</v>
      </c>
      <c r="W97" s="200">
        <f t="shared" si="27"/>
        <v>0.28131959109929422</v>
      </c>
      <c r="X97" s="200">
        <f t="shared" si="27"/>
        <v>21.098452810696557</v>
      </c>
      <c r="Y97" s="200">
        <f t="shared" si="27"/>
        <v>30.481677056905149</v>
      </c>
      <c r="Z97" s="200">
        <f t="shared" si="27"/>
        <v>38.504087681145656</v>
      </c>
      <c r="AA97" s="200">
        <f t="shared" si="27"/>
        <v>40.47459291041114</v>
      </c>
      <c r="AB97" s="200">
        <f t="shared" si="27"/>
        <v>39.988681421315235</v>
      </c>
      <c r="AC97" s="200">
        <f t="shared" si="27"/>
        <v>40.086525285047905</v>
      </c>
      <c r="AD97" s="200">
        <f t="shared" si="27"/>
        <v>40.453189311721367</v>
      </c>
      <c r="AE97" s="200">
        <f t="shared" si="27"/>
        <v>40.453555968852271</v>
      </c>
      <c r="AF97" s="200">
        <f t="shared" si="27"/>
        <v>40.472280896039777</v>
      </c>
      <c r="AG97" s="200">
        <f t="shared" si="27"/>
        <v>40.409484494339161</v>
      </c>
      <c r="AH97" s="200">
        <f t="shared" si="27"/>
        <v>40.733314269776706</v>
      </c>
      <c r="AI97" s="200">
        <f t="shared" si="27"/>
        <v>24.334882817722264</v>
      </c>
      <c r="AJ97" s="200">
        <f t="shared" si="27"/>
        <v>13.137911720893072</v>
      </c>
      <c r="AK97" s="200">
        <f t="shared" si="27"/>
        <v>13.442887726190344</v>
      </c>
      <c r="AL97" s="200">
        <f t="shared" si="27"/>
        <v>13.931746273385066</v>
      </c>
      <c r="AM97" s="200">
        <f t="shared" si="27"/>
        <v>9.5073742482302492</v>
      </c>
      <c r="AN97" s="200">
        <f t="shared" si="27"/>
        <v>3.0867171656359722</v>
      </c>
      <c r="AO97" s="200">
        <f t="shared" si="27"/>
        <v>0</v>
      </c>
      <c r="AP97" s="200">
        <f t="shared" si="27"/>
        <v>0</v>
      </c>
      <c r="AQ97" s="200">
        <f t="shared" si="27"/>
        <v>0</v>
      </c>
      <c r="AR97" s="200">
        <f t="shared" si="27"/>
        <v>0</v>
      </c>
      <c r="AS97" s="200">
        <f t="shared" si="27"/>
        <v>0</v>
      </c>
      <c r="AT97" s="200">
        <f t="shared" si="27"/>
        <v>0</v>
      </c>
      <c r="AU97" s="200">
        <f t="shared" si="27"/>
        <v>0</v>
      </c>
      <c r="AV97" s="200">
        <f t="shared" si="27"/>
        <v>0</v>
      </c>
    </row>
    <row r="98" spans="1:48" s="150" customFormat="1" ht="15" customHeight="1">
      <c r="A98" s="189"/>
      <c r="B98" s="189"/>
      <c r="C98" s="191"/>
      <c r="E98" s="200" t="s">
        <v>75</v>
      </c>
      <c r="F98" s="3"/>
      <c r="G98" s="200" t="s">
        <v>29</v>
      </c>
      <c r="H98" s="200"/>
      <c r="I98" s="200"/>
      <c r="J98" s="200">
        <f xml:space="preserve"> SUM(L98:AV98)</f>
        <v>485.59417140777504</v>
      </c>
      <c r="K98" s="200"/>
      <c r="L98" s="200">
        <f t="shared" ref="L98:AV98" si="28" xml:space="preserve"> L95 * $F77</f>
        <v>0</v>
      </c>
      <c r="M98" s="200">
        <f t="shared" si="28"/>
        <v>0</v>
      </c>
      <c r="N98" s="200">
        <f t="shared" si="28"/>
        <v>-1.4533093943422448E-2</v>
      </c>
      <c r="O98" s="200">
        <f t="shared" si="28"/>
        <v>1.6127580922641884</v>
      </c>
      <c r="P98" s="200">
        <f t="shared" si="28"/>
        <v>2.599578042446169</v>
      </c>
      <c r="Q98" s="200">
        <f t="shared" si="28"/>
        <v>1.3200155881233115</v>
      </c>
      <c r="R98" s="200">
        <f t="shared" si="28"/>
        <v>1.1082470757006804</v>
      </c>
      <c r="S98" s="200">
        <f t="shared" si="28"/>
        <v>1.121057470240171</v>
      </c>
      <c r="T98" s="200">
        <f t="shared" si="28"/>
        <v>1.5550209151163807</v>
      </c>
      <c r="U98" s="200">
        <f t="shared" si="28"/>
        <v>1.5333497450854332</v>
      </c>
      <c r="V98" s="200">
        <f t="shared" si="28"/>
        <v>0</v>
      </c>
      <c r="W98" s="200">
        <f t="shared" si="28"/>
        <v>0</v>
      </c>
      <c r="X98" s="200">
        <f t="shared" si="28"/>
        <v>12.551772935051435</v>
      </c>
      <c r="Y98" s="200">
        <f t="shared" si="28"/>
        <v>14.039282191114664</v>
      </c>
      <c r="Z98" s="200">
        <f t="shared" si="28"/>
        <v>26.178025128496973</v>
      </c>
      <c r="AA98" s="200">
        <f t="shared" si="28"/>
        <v>43.140882253269858</v>
      </c>
      <c r="AB98" s="200">
        <f t="shared" si="28"/>
        <v>44.097420137580912</v>
      </c>
      <c r="AC98" s="200">
        <f t="shared" si="28"/>
        <v>45.770393602603143</v>
      </c>
      <c r="AD98" s="200">
        <f t="shared" si="28"/>
        <v>49.521334471704989</v>
      </c>
      <c r="AE98" s="200">
        <f t="shared" si="28"/>
        <v>46.184711167806121</v>
      </c>
      <c r="AF98" s="200">
        <f t="shared" si="28"/>
        <v>41.344119026529484</v>
      </c>
      <c r="AG98" s="200">
        <f t="shared" si="28"/>
        <v>39.658355684647695</v>
      </c>
      <c r="AH98" s="200">
        <f t="shared" si="28"/>
        <v>32.983067454342368</v>
      </c>
      <c r="AI98" s="200">
        <f t="shared" si="28"/>
        <v>20.98306881403343</v>
      </c>
      <c r="AJ98" s="200">
        <f t="shared" si="28"/>
        <v>14.002186267105968</v>
      </c>
      <c r="AK98" s="200">
        <f t="shared" si="28"/>
        <v>16.853421013093584</v>
      </c>
      <c r="AL98" s="200">
        <f t="shared" si="28"/>
        <v>16.12165782120892</v>
      </c>
      <c r="AM98" s="200">
        <f t="shared" si="28"/>
        <v>8.8118378153191568</v>
      </c>
      <c r="AN98" s="200">
        <f t="shared" si="28"/>
        <v>2.5171417888333707</v>
      </c>
      <c r="AO98" s="200">
        <f t="shared" si="28"/>
        <v>0</v>
      </c>
      <c r="AP98" s="200">
        <f t="shared" si="28"/>
        <v>0</v>
      </c>
      <c r="AQ98" s="200">
        <f t="shared" si="28"/>
        <v>0</v>
      </c>
      <c r="AR98" s="200">
        <f t="shared" si="28"/>
        <v>0</v>
      </c>
      <c r="AS98" s="200">
        <f t="shared" si="28"/>
        <v>0</v>
      </c>
      <c r="AT98" s="200">
        <f t="shared" si="28"/>
        <v>0</v>
      </c>
      <c r="AU98" s="200">
        <f t="shared" si="28"/>
        <v>0</v>
      </c>
      <c r="AV98" s="200">
        <f t="shared" si="28"/>
        <v>0</v>
      </c>
    </row>
    <row r="99" spans="1:48" s="214" customFormat="1" ht="15" customHeight="1">
      <c r="A99" s="212"/>
      <c r="B99" s="212"/>
      <c r="C99" s="213"/>
      <c r="E99" s="215" t="s">
        <v>76</v>
      </c>
      <c r="F99" s="222"/>
      <c r="G99" s="215" t="s">
        <v>29</v>
      </c>
      <c r="H99" s="215"/>
      <c r="I99" s="215"/>
      <c r="J99" s="215">
        <f xml:space="preserve"> SUM(L99:AV99)</f>
        <v>1058.006678847981</v>
      </c>
      <c r="K99" s="215"/>
      <c r="L99" s="215">
        <f t="shared" ref="L99" si="29">SUM(L97:L98)</f>
        <v>0</v>
      </c>
      <c r="M99" s="215">
        <f t="shared" ref="M99" si="30">SUM(M97:M98)</f>
        <v>0</v>
      </c>
      <c r="N99" s="215">
        <f t="shared" ref="N99" si="31">SUM(N97:N98)</f>
        <v>-0.44316247798142866</v>
      </c>
      <c r="O99" s="215">
        <f t="shared" ref="O99" si="32">SUM(O97:O98)</f>
        <v>5.9807433797761806</v>
      </c>
      <c r="P99" s="215">
        <f t="shared" ref="P99" si="33">SUM(P97:P98)</f>
        <v>10.95490270315579</v>
      </c>
      <c r="Q99" s="215">
        <f t="shared" ref="Q99" si="34">SUM(Q97:Q98)</f>
        <v>12.279744373682554</v>
      </c>
      <c r="R99" s="215">
        <f t="shared" ref="R99" si="35">SUM(R97:R98)</f>
        <v>11.522713619855514</v>
      </c>
      <c r="S99" s="215">
        <f t="shared" ref="S99" si="36">SUM(S97:S98)</f>
        <v>14.694567242679378</v>
      </c>
      <c r="T99" s="215">
        <f t="shared" ref="T99" si="37">SUM(T97:T98)</f>
        <v>23.982979117121456</v>
      </c>
      <c r="U99" s="215">
        <f t="shared" ref="U99" si="38">SUM(U97:U98)</f>
        <v>13.396831667542077</v>
      </c>
      <c r="V99" s="215">
        <f t="shared" ref="V99" si="39">SUM(V97:V98)</f>
        <v>0</v>
      </c>
      <c r="W99" s="215">
        <f t="shared" ref="W99" si="40">SUM(W97:W98)</f>
        <v>0.28131959109929422</v>
      </c>
      <c r="X99" s="215">
        <f t="shared" ref="X99" si="41">SUM(X97:X98)</f>
        <v>33.650225745747989</v>
      </c>
      <c r="Y99" s="215">
        <f t="shared" ref="Y99" si="42">SUM(Y97:Y98)</f>
        <v>44.520959248019814</v>
      </c>
      <c r="Z99" s="215">
        <f t="shared" ref="Z99" si="43">SUM(Z97:Z98)</f>
        <v>64.682112809642632</v>
      </c>
      <c r="AA99" s="215">
        <f t="shared" ref="AA99" si="44">SUM(AA97:AA98)</f>
        <v>83.615475163680998</v>
      </c>
      <c r="AB99" s="215">
        <f t="shared" ref="AB99" si="45">SUM(AB97:AB98)</f>
        <v>84.086101558896146</v>
      </c>
      <c r="AC99" s="215">
        <f t="shared" ref="AC99" si="46">SUM(AC97:AC98)</f>
        <v>85.856918887651048</v>
      </c>
      <c r="AD99" s="215">
        <f t="shared" ref="AD99" si="47">SUM(AD97:AD98)</f>
        <v>89.974523783426349</v>
      </c>
      <c r="AE99" s="215">
        <f t="shared" ref="AE99" si="48">SUM(AE97:AE98)</f>
        <v>86.638267136658385</v>
      </c>
      <c r="AF99" s="215">
        <f t="shared" ref="AF99" si="49">SUM(AF97:AF98)</f>
        <v>81.816399922569261</v>
      </c>
      <c r="AG99" s="215">
        <f t="shared" ref="AG99" si="50">SUM(AG97:AG98)</f>
        <v>80.067840178986856</v>
      </c>
      <c r="AH99" s="215">
        <f t="shared" ref="AH99" si="51">SUM(AH97:AH98)</f>
        <v>73.716381724119074</v>
      </c>
      <c r="AI99" s="215">
        <f t="shared" ref="AI99" si="52">SUM(AI97:AI98)</f>
        <v>45.31795163175569</v>
      </c>
      <c r="AJ99" s="215">
        <f t="shared" ref="AJ99" si="53">SUM(AJ97:AJ98)</f>
        <v>27.140097987999042</v>
      </c>
      <c r="AK99" s="215">
        <f t="shared" ref="AK99" si="54">SUM(AK97:AK98)</f>
        <v>30.29630873928393</v>
      </c>
      <c r="AL99" s="215">
        <f t="shared" ref="AL99" si="55">SUM(AL97:AL98)</f>
        <v>30.053404094593986</v>
      </c>
      <c r="AM99" s="215">
        <f t="shared" ref="AM99" si="56">SUM(AM97:AM98)</f>
        <v>18.319212063549408</v>
      </c>
      <c r="AN99" s="215">
        <f t="shared" ref="AN99" si="57">SUM(AN97:AN98)</f>
        <v>5.6038589544693433</v>
      </c>
      <c r="AO99" s="215">
        <f t="shared" ref="AO99" si="58">SUM(AO97:AO98)</f>
        <v>0</v>
      </c>
      <c r="AP99" s="215">
        <f t="shared" ref="AP99" si="59">SUM(AP97:AP98)</f>
        <v>0</v>
      </c>
      <c r="AQ99" s="215">
        <f t="shared" ref="AQ99" si="60">SUM(AQ97:AQ98)</f>
        <v>0</v>
      </c>
      <c r="AR99" s="215">
        <f t="shared" ref="AR99" si="61">SUM(AR97:AR98)</f>
        <v>0</v>
      </c>
      <c r="AS99" s="215">
        <f t="shared" ref="AS99" si="62">SUM(AS97:AS98)</f>
        <v>0</v>
      </c>
      <c r="AT99" s="215">
        <f t="shared" ref="AT99" si="63">SUM(AT97:AT98)</f>
        <v>0</v>
      </c>
      <c r="AU99" s="215">
        <f t="shared" ref="AU99" si="64">SUM(AU97:AU98)</f>
        <v>0</v>
      </c>
      <c r="AV99" s="215">
        <f t="shared" ref="AV99" si="65">SUM(AV97:AV98)</f>
        <v>0</v>
      </c>
    </row>
    <row r="100" spans="1:48" s="150" customFormat="1" ht="15" customHeight="1">
      <c r="A100" s="189"/>
      <c r="B100" s="189"/>
      <c r="C100" s="191"/>
      <c r="E100" s="200"/>
      <c r="F100" s="3"/>
      <c r="G100" s="200"/>
      <c r="H100" s="200"/>
      <c r="I100" s="200"/>
      <c r="J100" s="200"/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0"/>
      <c r="AC100" s="200"/>
      <c r="AD100" s="200"/>
      <c r="AE100" s="200"/>
      <c r="AF100" s="200"/>
      <c r="AG100" s="200"/>
      <c r="AH100" s="200"/>
      <c r="AI100" s="200"/>
      <c r="AJ100" s="200"/>
      <c r="AK100" s="200"/>
      <c r="AL100" s="200"/>
      <c r="AM100" s="200"/>
      <c r="AN100" s="200"/>
      <c r="AO100" s="200"/>
      <c r="AP100" s="200"/>
      <c r="AQ100" s="200"/>
      <c r="AR100" s="200"/>
      <c r="AS100" s="200"/>
      <c r="AT100" s="200"/>
      <c r="AU100" s="200"/>
      <c r="AV100" s="200"/>
    </row>
    <row r="101" spans="1:48" s="150" customFormat="1" ht="15" customHeight="1">
      <c r="A101" s="189"/>
      <c r="B101" s="189"/>
      <c r="C101" s="191" t="s">
        <v>77</v>
      </c>
      <c r="E101" s="200"/>
      <c r="F101" s="3"/>
      <c r="G101" s="200"/>
      <c r="H101" s="200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0"/>
      <c r="AC101" s="200"/>
      <c r="AD101" s="200"/>
      <c r="AE101" s="200"/>
      <c r="AF101" s="200"/>
      <c r="AG101" s="200"/>
      <c r="AH101" s="200"/>
      <c r="AI101" s="200"/>
      <c r="AJ101" s="200"/>
      <c r="AK101" s="200"/>
      <c r="AL101" s="200"/>
      <c r="AM101" s="200"/>
      <c r="AN101" s="200"/>
      <c r="AO101" s="200"/>
      <c r="AP101" s="200"/>
      <c r="AQ101" s="200"/>
      <c r="AR101" s="200"/>
      <c r="AS101" s="200"/>
      <c r="AT101" s="200"/>
      <c r="AU101" s="200"/>
      <c r="AV101" s="200"/>
    </row>
    <row r="102" spans="1:48" s="150" customFormat="1" ht="15" customHeight="1">
      <c r="A102" s="189"/>
      <c r="B102" s="189"/>
      <c r="C102" s="191"/>
      <c r="E102" s="200" t="str">
        <f t="shared" ref="E102:AV102" si="66" xml:space="preserve"> E$91</f>
        <v>Cu + Co government royalty</v>
      </c>
      <c r="F102" s="200">
        <f t="shared" si="66"/>
        <v>0</v>
      </c>
      <c r="G102" s="200" t="str">
        <f t="shared" si="66"/>
        <v>$ mn</v>
      </c>
      <c r="H102" s="200">
        <f t="shared" si="66"/>
        <v>0</v>
      </c>
      <c r="I102" s="200">
        <f t="shared" si="66"/>
        <v>0</v>
      </c>
      <c r="J102" s="200">
        <f t="shared" si="66"/>
        <v>2886.1136273051079</v>
      </c>
      <c r="K102" s="200">
        <f t="shared" si="66"/>
        <v>0</v>
      </c>
      <c r="L102" s="200">
        <f t="shared" si="66"/>
        <v>0</v>
      </c>
      <c r="M102" s="200">
        <f t="shared" si="66"/>
        <v>0</v>
      </c>
      <c r="N102" s="200">
        <f t="shared" si="66"/>
        <v>-0.35452998238514294</v>
      </c>
      <c r="O102" s="200">
        <f t="shared" si="66"/>
        <v>4.7845947038209449</v>
      </c>
      <c r="P102" s="200">
        <f t="shared" si="66"/>
        <v>23.777962630000001</v>
      </c>
      <c r="Q102" s="200">
        <f t="shared" si="66"/>
        <v>22.374901094999998</v>
      </c>
      <c r="R102" s="200">
        <f t="shared" si="66"/>
        <v>20.845108889999999</v>
      </c>
      <c r="S102" s="200">
        <f t="shared" si="66"/>
        <v>26.03861229</v>
      </c>
      <c r="T102" s="200">
        <f t="shared" si="66"/>
        <v>42.094410450000005</v>
      </c>
      <c r="U102" s="200">
        <f t="shared" si="66"/>
        <v>25.864369800000002</v>
      </c>
      <c r="V102" s="200">
        <f t="shared" si="66"/>
        <v>0</v>
      </c>
      <c r="W102" s="200">
        <f t="shared" si="66"/>
        <v>0.4535300000000001</v>
      </c>
      <c r="X102" s="200">
        <f t="shared" si="66"/>
        <v>84.740434499999992</v>
      </c>
      <c r="Y102" s="200">
        <f t="shared" si="66"/>
        <v>107.63964156208955</v>
      </c>
      <c r="Z102" s="200">
        <f t="shared" si="66"/>
        <v>168.86862738834679</v>
      </c>
      <c r="AA102" s="200">
        <f t="shared" si="66"/>
        <v>240.410506448305</v>
      </c>
      <c r="AB102" s="200">
        <f t="shared" si="66"/>
        <v>243.52633861888881</v>
      </c>
      <c r="AC102" s="200">
        <f t="shared" si="66"/>
        <v>250.49311313580245</v>
      </c>
      <c r="AD102" s="200">
        <f t="shared" si="66"/>
        <v>266.34898615718163</v>
      </c>
      <c r="AE102" s="200">
        <f t="shared" si="66"/>
        <v>252.76726483653454</v>
      </c>
      <c r="AF102" s="200">
        <f t="shared" si="66"/>
        <v>233.09276627050716</v>
      </c>
      <c r="AG102" s="200">
        <f t="shared" si="66"/>
        <v>226.13003773692296</v>
      </c>
      <c r="AH102" s="200">
        <f t="shared" si="66"/>
        <v>199.47554723593706</v>
      </c>
      <c r="AI102" s="200">
        <f t="shared" si="66"/>
        <v>124.37430327850126</v>
      </c>
      <c r="AJ102" s="200">
        <f t="shared" si="66"/>
        <v>78.031552993740718</v>
      </c>
      <c r="AK102" s="200">
        <f t="shared" si="66"/>
        <v>90.126255242061703</v>
      </c>
      <c r="AL102" s="200">
        <f t="shared" si="66"/>
        <v>87.930125849999996</v>
      </c>
      <c r="AM102" s="200">
        <f t="shared" si="66"/>
        <v>51.091005051313886</v>
      </c>
      <c r="AN102" s="200">
        <f t="shared" si="66"/>
        <v>15.188161122538663</v>
      </c>
      <c r="AO102" s="200">
        <f t="shared" si="66"/>
        <v>0</v>
      </c>
      <c r="AP102" s="200">
        <f t="shared" si="66"/>
        <v>0</v>
      </c>
      <c r="AQ102" s="200">
        <f t="shared" si="66"/>
        <v>0</v>
      </c>
      <c r="AR102" s="200">
        <f t="shared" si="66"/>
        <v>0</v>
      </c>
      <c r="AS102" s="200">
        <f t="shared" si="66"/>
        <v>0</v>
      </c>
      <c r="AT102" s="200">
        <f t="shared" si="66"/>
        <v>0</v>
      </c>
      <c r="AU102" s="200">
        <f t="shared" si="66"/>
        <v>0</v>
      </c>
      <c r="AV102" s="200">
        <f t="shared" si="66"/>
        <v>0</v>
      </c>
    </row>
    <row r="103" spans="1:48" s="150" customFormat="1" ht="15" customHeight="1">
      <c r="A103" s="189"/>
      <c r="B103" s="189"/>
      <c r="C103" s="191"/>
      <c r="E103" s="200" t="str">
        <f t="shared" ref="E103:AV103" si="67" xml:space="preserve"> E$99</f>
        <v>Cu + Co private royalty</v>
      </c>
      <c r="F103" s="200">
        <f t="shared" si="67"/>
        <v>0</v>
      </c>
      <c r="G103" s="200" t="str">
        <f t="shared" si="67"/>
        <v>$ mn</v>
      </c>
      <c r="H103" s="200">
        <f t="shared" si="67"/>
        <v>0</v>
      </c>
      <c r="I103" s="200">
        <f t="shared" si="67"/>
        <v>0</v>
      </c>
      <c r="J103" s="200">
        <f t="shared" si="67"/>
        <v>1058.006678847981</v>
      </c>
      <c r="K103" s="200">
        <f t="shared" si="67"/>
        <v>0</v>
      </c>
      <c r="L103" s="200">
        <f t="shared" si="67"/>
        <v>0</v>
      </c>
      <c r="M103" s="200">
        <f t="shared" si="67"/>
        <v>0</v>
      </c>
      <c r="N103" s="200">
        <f t="shared" si="67"/>
        <v>-0.44316247798142866</v>
      </c>
      <c r="O103" s="200">
        <f t="shared" si="67"/>
        <v>5.9807433797761806</v>
      </c>
      <c r="P103" s="200">
        <f t="shared" si="67"/>
        <v>10.95490270315579</v>
      </c>
      <c r="Q103" s="200">
        <f t="shared" si="67"/>
        <v>12.279744373682554</v>
      </c>
      <c r="R103" s="200">
        <f t="shared" si="67"/>
        <v>11.522713619855514</v>
      </c>
      <c r="S103" s="200">
        <f t="shared" si="67"/>
        <v>14.694567242679378</v>
      </c>
      <c r="T103" s="200">
        <f t="shared" si="67"/>
        <v>23.982979117121456</v>
      </c>
      <c r="U103" s="200">
        <f t="shared" si="67"/>
        <v>13.396831667542077</v>
      </c>
      <c r="V103" s="200">
        <f t="shared" si="67"/>
        <v>0</v>
      </c>
      <c r="W103" s="200">
        <f t="shared" si="67"/>
        <v>0.28131959109929422</v>
      </c>
      <c r="X103" s="200">
        <f t="shared" si="67"/>
        <v>33.650225745747989</v>
      </c>
      <c r="Y103" s="200">
        <f t="shared" si="67"/>
        <v>44.520959248019814</v>
      </c>
      <c r="Z103" s="200">
        <f t="shared" si="67"/>
        <v>64.682112809642632</v>
      </c>
      <c r="AA103" s="200">
        <f t="shared" si="67"/>
        <v>83.615475163680998</v>
      </c>
      <c r="AB103" s="200">
        <f t="shared" si="67"/>
        <v>84.086101558896146</v>
      </c>
      <c r="AC103" s="200">
        <f t="shared" si="67"/>
        <v>85.856918887651048</v>
      </c>
      <c r="AD103" s="200">
        <f t="shared" si="67"/>
        <v>89.974523783426349</v>
      </c>
      <c r="AE103" s="200">
        <f t="shared" si="67"/>
        <v>86.638267136658385</v>
      </c>
      <c r="AF103" s="200">
        <f t="shared" si="67"/>
        <v>81.816399922569261</v>
      </c>
      <c r="AG103" s="200">
        <f t="shared" si="67"/>
        <v>80.067840178986856</v>
      </c>
      <c r="AH103" s="200">
        <f t="shared" si="67"/>
        <v>73.716381724119074</v>
      </c>
      <c r="AI103" s="200">
        <f t="shared" si="67"/>
        <v>45.31795163175569</v>
      </c>
      <c r="AJ103" s="200">
        <f t="shared" si="67"/>
        <v>27.140097987999042</v>
      </c>
      <c r="AK103" s="200">
        <f t="shared" si="67"/>
        <v>30.29630873928393</v>
      </c>
      <c r="AL103" s="200">
        <f t="shared" si="67"/>
        <v>30.053404094593986</v>
      </c>
      <c r="AM103" s="200">
        <f t="shared" si="67"/>
        <v>18.319212063549408</v>
      </c>
      <c r="AN103" s="200">
        <f t="shared" si="67"/>
        <v>5.6038589544693433</v>
      </c>
      <c r="AO103" s="200">
        <f t="shared" si="67"/>
        <v>0</v>
      </c>
      <c r="AP103" s="200">
        <f t="shared" si="67"/>
        <v>0</v>
      </c>
      <c r="AQ103" s="200">
        <f t="shared" si="67"/>
        <v>0</v>
      </c>
      <c r="AR103" s="200">
        <f t="shared" si="67"/>
        <v>0</v>
      </c>
      <c r="AS103" s="200">
        <f t="shared" si="67"/>
        <v>0</v>
      </c>
      <c r="AT103" s="200">
        <f t="shared" si="67"/>
        <v>0</v>
      </c>
      <c r="AU103" s="200">
        <f t="shared" si="67"/>
        <v>0</v>
      </c>
      <c r="AV103" s="200">
        <f t="shared" si="67"/>
        <v>0</v>
      </c>
    </row>
    <row r="104" spans="1:48" s="214" customFormat="1" ht="15" customHeight="1">
      <c r="A104" s="212"/>
      <c r="B104" s="212"/>
      <c r="C104" s="213"/>
      <c r="E104" s="215" t="s">
        <v>78</v>
      </c>
      <c r="F104" s="222"/>
      <c r="G104" s="215" t="s">
        <v>29</v>
      </c>
      <c r="H104" s="215"/>
      <c r="I104" s="215"/>
      <c r="J104" s="215">
        <f xml:space="preserve"> SUM(L104:AV104)</f>
        <v>3944.1203061530891</v>
      </c>
      <c r="K104" s="215"/>
      <c r="L104" s="215">
        <f t="shared" ref="L104:AV104" si="68">SUM(L102:L103)</f>
        <v>0</v>
      </c>
      <c r="M104" s="215">
        <f t="shared" si="68"/>
        <v>0</v>
      </c>
      <c r="N104" s="215">
        <f t="shared" si="68"/>
        <v>-0.7976924603665716</v>
      </c>
      <c r="O104" s="215">
        <f t="shared" si="68"/>
        <v>10.765338083597126</v>
      </c>
      <c r="P104" s="215">
        <f t="shared" si="68"/>
        <v>34.732865333155793</v>
      </c>
      <c r="Q104" s="215">
        <f t="shared" si="68"/>
        <v>34.654645468682553</v>
      </c>
      <c r="R104" s="215">
        <f t="shared" si="68"/>
        <v>32.367822509855515</v>
      </c>
      <c r="S104" s="215">
        <f t="shared" si="68"/>
        <v>40.73317953267938</v>
      </c>
      <c r="T104" s="215">
        <f t="shared" si="68"/>
        <v>66.077389567121458</v>
      </c>
      <c r="U104" s="215">
        <f t="shared" si="68"/>
        <v>39.26120146754208</v>
      </c>
      <c r="V104" s="215">
        <f t="shared" si="68"/>
        <v>0</v>
      </c>
      <c r="W104" s="215">
        <f t="shared" si="68"/>
        <v>0.73484959109929426</v>
      </c>
      <c r="X104" s="215">
        <f t="shared" si="68"/>
        <v>118.39066024574798</v>
      </c>
      <c r="Y104" s="215">
        <f t="shared" si="68"/>
        <v>152.16060081010937</v>
      </c>
      <c r="Z104" s="215">
        <f t="shared" si="68"/>
        <v>233.55074019798943</v>
      </c>
      <c r="AA104" s="215">
        <f t="shared" si="68"/>
        <v>324.02598161198603</v>
      </c>
      <c r="AB104" s="215">
        <f t="shared" si="68"/>
        <v>327.61244017778495</v>
      </c>
      <c r="AC104" s="215">
        <f t="shared" si="68"/>
        <v>336.35003202345348</v>
      </c>
      <c r="AD104" s="215">
        <f t="shared" si="68"/>
        <v>356.32350994060801</v>
      </c>
      <c r="AE104" s="215">
        <f t="shared" si="68"/>
        <v>339.40553197319292</v>
      </c>
      <c r="AF104" s="215">
        <f t="shared" si="68"/>
        <v>314.90916619307643</v>
      </c>
      <c r="AG104" s="215">
        <f t="shared" si="68"/>
        <v>306.19787791590983</v>
      </c>
      <c r="AH104" s="215">
        <f t="shared" si="68"/>
        <v>273.19192896005615</v>
      </c>
      <c r="AI104" s="215">
        <f t="shared" si="68"/>
        <v>169.69225491025696</v>
      </c>
      <c r="AJ104" s="215">
        <f t="shared" si="68"/>
        <v>105.17165098173976</v>
      </c>
      <c r="AK104" s="215">
        <f t="shared" si="68"/>
        <v>120.42256398134563</v>
      </c>
      <c r="AL104" s="215">
        <f t="shared" si="68"/>
        <v>117.98352994459398</v>
      </c>
      <c r="AM104" s="215">
        <f t="shared" si="68"/>
        <v>69.410217114863286</v>
      </c>
      <c r="AN104" s="215">
        <f t="shared" si="68"/>
        <v>20.792020077008004</v>
      </c>
      <c r="AO104" s="215">
        <f t="shared" si="68"/>
        <v>0</v>
      </c>
      <c r="AP104" s="215">
        <f t="shared" si="68"/>
        <v>0</v>
      </c>
      <c r="AQ104" s="215">
        <f t="shared" si="68"/>
        <v>0</v>
      </c>
      <c r="AR104" s="215">
        <f t="shared" si="68"/>
        <v>0</v>
      </c>
      <c r="AS104" s="215">
        <f t="shared" si="68"/>
        <v>0</v>
      </c>
      <c r="AT104" s="215">
        <f t="shared" si="68"/>
        <v>0</v>
      </c>
      <c r="AU104" s="215">
        <f t="shared" si="68"/>
        <v>0</v>
      </c>
      <c r="AV104" s="215">
        <f t="shared" si="68"/>
        <v>0</v>
      </c>
    </row>
    <row r="105" spans="1:48" s="150" customFormat="1" ht="15" customHeight="1">
      <c r="A105" s="189"/>
      <c r="B105" s="189"/>
      <c r="C105" s="191"/>
      <c r="E105" s="200"/>
      <c r="F105" s="3"/>
      <c r="G105" s="200"/>
      <c r="H105" s="200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00"/>
      <c r="AH105" s="200"/>
      <c r="AI105" s="200"/>
      <c r="AJ105" s="200"/>
      <c r="AK105" s="200"/>
      <c r="AL105" s="200"/>
      <c r="AM105" s="200"/>
      <c r="AN105" s="200"/>
      <c r="AO105" s="200"/>
      <c r="AP105" s="200"/>
      <c r="AQ105" s="200"/>
      <c r="AR105" s="200"/>
      <c r="AS105" s="200"/>
      <c r="AT105" s="200"/>
      <c r="AU105" s="200"/>
      <c r="AV105" s="200"/>
    </row>
    <row r="106" spans="1:48" s="150" customFormat="1" ht="15" customHeight="1">
      <c r="A106" s="189"/>
      <c r="B106" s="189"/>
      <c r="C106" s="191"/>
      <c r="E106" s="200" t="s">
        <v>942</v>
      </c>
      <c r="F106" s="3"/>
      <c r="G106" s="200" t="s">
        <v>29</v>
      </c>
      <c r="H106" s="200"/>
      <c r="I106" s="200"/>
      <c r="J106" s="200">
        <f xml:space="preserve"> SUM(L106:AV106)</f>
        <v>38376.146847766147</v>
      </c>
      <c r="K106" s="200"/>
      <c r="L106" s="200">
        <f t="shared" ref="L106:AV106" si="69" xml:space="preserve"> L65 - L91 - L99</f>
        <v>0</v>
      </c>
      <c r="M106" s="200">
        <f t="shared" si="69"/>
        <v>0</v>
      </c>
      <c r="N106" s="200">
        <f t="shared" si="69"/>
        <v>-16.928806658890576</v>
      </c>
      <c r="O106" s="200">
        <f t="shared" si="69"/>
        <v>228.46439710745008</v>
      </c>
      <c r="P106" s="200">
        <f t="shared" si="69"/>
        <v>403.46324279307584</v>
      </c>
      <c r="Q106" s="200">
        <f t="shared" si="69"/>
        <v>456.53512947861964</v>
      </c>
      <c r="R106" s="200">
        <f t="shared" si="69"/>
        <v>428.54072228436502</v>
      </c>
      <c r="S106" s="200">
        <f t="shared" si="69"/>
        <v>547.04951017449582</v>
      </c>
      <c r="T106" s="200">
        <f t="shared" si="69"/>
        <v>893.24177511773678</v>
      </c>
      <c r="U106" s="200">
        <f t="shared" si="69"/>
        <v>496.61206523414097</v>
      </c>
      <c r="V106" s="200">
        <f t="shared" si="69"/>
        <v>0</v>
      </c>
      <c r="W106" s="200">
        <f t="shared" si="69"/>
        <v>10.517934052872473</v>
      </c>
      <c r="X106" s="200">
        <f t="shared" si="69"/>
        <v>1227.6183695841717</v>
      </c>
      <c r="Y106" s="200">
        <f t="shared" si="69"/>
        <v>1628.6777691106831</v>
      </c>
      <c r="Z106" s="200">
        <f t="shared" si="69"/>
        <v>2353.7337721877157</v>
      </c>
      <c r="AA106" s="200">
        <f t="shared" si="69"/>
        <v>3020.5930249352537</v>
      </c>
      <c r="AB106" s="200">
        <f t="shared" si="69"/>
        <v>3035.8316221780606</v>
      </c>
      <c r="AC106" s="200">
        <f t="shared" si="69"/>
        <v>3097.9267234825884</v>
      </c>
      <c r="AD106" s="200">
        <f t="shared" si="69"/>
        <v>3242.6574413964458</v>
      </c>
      <c r="AE106" s="200">
        <f t="shared" si="69"/>
        <v>3126.125153493143</v>
      </c>
      <c r="AF106" s="200">
        <f t="shared" si="69"/>
        <v>2957.7468307096938</v>
      </c>
      <c r="AG106" s="200">
        <f t="shared" si="69"/>
        <v>2896.5157292435642</v>
      </c>
      <c r="AH106" s="200">
        <f t="shared" si="69"/>
        <v>2675.4633400047069</v>
      </c>
      <c r="AI106" s="200">
        <f t="shared" si="69"/>
        <v>1643.0258103599708</v>
      </c>
      <c r="AJ106" s="200">
        <f t="shared" si="69"/>
        <v>980.43226853822171</v>
      </c>
      <c r="AK106" s="200">
        <f t="shared" si="69"/>
        <v>1091.4297855900115</v>
      </c>
      <c r="AL106" s="200">
        <f t="shared" si="69"/>
        <v>1084.1526338391654</v>
      </c>
      <c r="AM106" s="200">
        <f t="shared" si="69"/>
        <v>663.35826542711288</v>
      </c>
      <c r="AN106" s="200">
        <f t="shared" si="69"/>
        <v>203.36233810176569</v>
      </c>
      <c r="AO106" s="200">
        <f t="shared" si="69"/>
        <v>0</v>
      </c>
      <c r="AP106" s="200">
        <f t="shared" si="69"/>
        <v>0</v>
      </c>
      <c r="AQ106" s="200">
        <f t="shared" si="69"/>
        <v>0</v>
      </c>
      <c r="AR106" s="200">
        <f t="shared" si="69"/>
        <v>0</v>
      </c>
      <c r="AS106" s="200">
        <f t="shared" si="69"/>
        <v>0</v>
      </c>
      <c r="AT106" s="200">
        <f t="shared" si="69"/>
        <v>0</v>
      </c>
      <c r="AU106" s="200">
        <f t="shared" si="69"/>
        <v>0</v>
      </c>
      <c r="AV106" s="200">
        <f t="shared" si="69"/>
        <v>0</v>
      </c>
    </row>
    <row r="107" spans="1:48" s="150" customFormat="1" ht="15" customHeight="1">
      <c r="A107" s="189"/>
      <c r="B107" s="189"/>
      <c r="C107" s="191"/>
      <c r="E107" s="200" t="str">
        <f xml:space="preserve"> E106</f>
        <v>Net revenues after royalty</v>
      </c>
      <c r="F107" s="3">
        <f xml:space="preserve"> SUM(L106:AV106)</f>
        <v>38376.146847766147</v>
      </c>
      <c r="G107" s="200" t="str">
        <f xml:space="preserve"> G106</f>
        <v>$ mn</v>
      </c>
      <c r="H107" s="200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00"/>
      <c r="AH107" s="200"/>
      <c r="AI107" s="200"/>
      <c r="AJ107" s="200"/>
      <c r="AK107" s="200"/>
      <c r="AL107" s="200"/>
      <c r="AM107" s="200"/>
      <c r="AN107" s="200"/>
      <c r="AO107" s="200"/>
      <c r="AP107" s="200"/>
      <c r="AQ107" s="200"/>
      <c r="AR107" s="200"/>
      <c r="AS107" s="200"/>
      <c r="AT107" s="200"/>
      <c r="AU107" s="200"/>
      <c r="AV107" s="200"/>
    </row>
    <row r="108" spans="1:48" s="150" customFormat="1" ht="15" customHeight="1">
      <c r="A108" s="189"/>
      <c r="B108" s="189"/>
      <c r="C108" s="191"/>
      <c r="E108" s="200"/>
      <c r="F108" s="3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/>
      <c r="AL108" s="200"/>
      <c r="AM108" s="200"/>
      <c r="AN108" s="200"/>
      <c r="AO108" s="200"/>
      <c r="AP108" s="200"/>
      <c r="AQ108" s="200"/>
      <c r="AR108" s="200"/>
      <c r="AS108" s="200"/>
      <c r="AT108" s="200"/>
      <c r="AU108" s="200"/>
      <c r="AV108" s="200"/>
    </row>
    <row r="109" spans="1:48" s="123" customFormat="1" ht="15" customHeight="1">
      <c r="A109" s="134"/>
      <c r="B109" s="134" t="s">
        <v>536</v>
      </c>
      <c r="C109" s="151"/>
    </row>
    <row r="110" spans="1:48" s="123" customFormat="1" ht="15" customHeight="1">
      <c r="A110" s="134"/>
      <c r="B110" s="134"/>
      <c r="C110" s="151"/>
      <c r="E110" s="123" t="str">
        <f xml:space="preserve"> E$63</f>
        <v>Copper net revenue</v>
      </c>
      <c r="F110" s="123">
        <f t="shared" ref="F110:AV110" si="70" xml:space="preserve"> F$63</f>
        <v>0</v>
      </c>
      <c r="G110" s="123" t="str">
        <f t="shared" si="70"/>
        <v>$ mn</v>
      </c>
      <c r="H110" s="123">
        <f t="shared" si="70"/>
        <v>0</v>
      </c>
      <c r="I110" s="123">
        <f t="shared" si="70"/>
        <v>0</v>
      </c>
      <c r="J110" s="123">
        <f t="shared" si="70"/>
        <v>22896.500297608229</v>
      </c>
      <c r="K110" s="123">
        <f t="shared" si="70"/>
        <v>0</v>
      </c>
      <c r="L110" s="123">
        <f t="shared" si="70"/>
        <v>0</v>
      </c>
      <c r="M110" s="123">
        <f t="shared" si="70"/>
        <v>0</v>
      </c>
      <c r="N110" s="123">
        <f t="shared" si="70"/>
        <v>-17.145175361520248</v>
      </c>
      <c r="O110" s="123">
        <f t="shared" si="70"/>
        <v>174.71941150047968</v>
      </c>
      <c r="P110" s="123">
        <f t="shared" si="70"/>
        <v>334.21298642838485</v>
      </c>
      <c r="Q110" s="123">
        <f t="shared" si="70"/>
        <v>438.38915142236971</v>
      </c>
      <c r="R110" s="123">
        <f t="shared" si="70"/>
        <v>416.57866176619331</v>
      </c>
      <c r="S110" s="123">
        <f t="shared" si="70"/>
        <v>542.94039089756825</v>
      </c>
      <c r="T110" s="123">
        <f t="shared" si="70"/>
        <v>897.11832808020301</v>
      </c>
      <c r="U110" s="123">
        <f t="shared" si="70"/>
        <v>474.53927689826577</v>
      </c>
      <c r="V110" s="123">
        <f t="shared" si="70"/>
        <v>0</v>
      </c>
      <c r="W110" s="123">
        <f t="shared" si="70"/>
        <v>11.252783643971767</v>
      </c>
      <c r="X110" s="123">
        <f t="shared" si="70"/>
        <v>843.93811242786228</v>
      </c>
      <c r="Y110" s="123">
        <f t="shared" si="70"/>
        <v>1219.2670822762059</v>
      </c>
      <c r="Z110" s="123">
        <f t="shared" si="70"/>
        <v>1540.1635072458262</v>
      </c>
      <c r="AA110" s="123">
        <f t="shared" si="70"/>
        <v>1618.9837164164455</v>
      </c>
      <c r="AB110" s="123">
        <f t="shared" si="70"/>
        <v>1599.5472568526093</v>
      </c>
      <c r="AC110" s="123">
        <f t="shared" si="70"/>
        <v>1603.461011401916</v>
      </c>
      <c r="AD110" s="123">
        <f t="shared" si="70"/>
        <v>1618.1275724688546</v>
      </c>
      <c r="AE110" s="123">
        <f t="shared" si="70"/>
        <v>1618.1422387540908</v>
      </c>
      <c r="AF110" s="123">
        <f t="shared" si="70"/>
        <v>1618.891235841591</v>
      </c>
      <c r="AG110" s="123">
        <f t="shared" si="70"/>
        <v>1616.3793797735664</v>
      </c>
      <c r="AH110" s="123">
        <f t="shared" si="70"/>
        <v>1629.3325707910681</v>
      </c>
      <c r="AI110" s="123">
        <f t="shared" si="70"/>
        <v>973.39531270889051</v>
      </c>
      <c r="AJ110" s="123">
        <f t="shared" si="70"/>
        <v>525.51646883572289</v>
      </c>
      <c r="AK110" s="123">
        <f t="shared" si="70"/>
        <v>537.71550904761375</v>
      </c>
      <c r="AL110" s="123">
        <f t="shared" si="70"/>
        <v>557.26985093540259</v>
      </c>
      <c r="AM110" s="123">
        <f t="shared" si="70"/>
        <v>380.29496992920997</v>
      </c>
      <c r="AN110" s="123">
        <f t="shared" si="70"/>
        <v>123.46868662543888</v>
      </c>
      <c r="AO110" s="123">
        <f t="shared" si="70"/>
        <v>0</v>
      </c>
      <c r="AP110" s="123">
        <f t="shared" si="70"/>
        <v>0</v>
      </c>
      <c r="AQ110" s="123">
        <f t="shared" si="70"/>
        <v>0</v>
      </c>
      <c r="AR110" s="123">
        <f t="shared" si="70"/>
        <v>0</v>
      </c>
      <c r="AS110" s="123">
        <f t="shared" si="70"/>
        <v>0</v>
      </c>
      <c r="AT110" s="123">
        <f t="shared" si="70"/>
        <v>0</v>
      </c>
      <c r="AU110" s="123">
        <f t="shared" si="70"/>
        <v>0</v>
      </c>
      <c r="AV110" s="123">
        <f t="shared" si="70"/>
        <v>0</v>
      </c>
    </row>
    <row r="111" spans="1:48" s="123" customFormat="1" ht="15" customHeight="1">
      <c r="A111" s="134"/>
      <c r="B111" s="134"/>
      <c r="C111" s="151"/>
      <c r="E111" s="123" t="str">
        <f xml:space="preserve"> E$64</f>
        <v>Cobalt net revenue</v>
      </c>
      <c r="F111" s="123">
        <f t="shared" ref="F111:AV111" si="71" xml:space="preserve"> F$64</f>
        <v>0</v>
      </c>
      <c r="G111" s="123" t="str">
        <f t="shared" si="71"/>
        <v>$ mn</v>
      </c>
      <c r="H111" s="123">
        <f t="shared" si="71"/>
        <v>0</v>
      </c>
      <c r="I111" s="123">
        <f t="shared" si="71"/>
        <v>0</v>
      </c>
      <c r="J111" s="123">
        <f t="shared" si="71"/>
        <v>19423.766856311002</v>
      </c>
      <c r="K111" s="123">
        <f t="shared" si="71"/>
        <v>0</v>
      </c>
      <c r="L111" s="123">
        <f t="shared" si="71"/>
        <v>0</v>
      </c>
      <c r="M111" s="123">
        <f t="shared" si="71"/>
        <v>0</v>
      </c>
      <c r="N111" s="123">
        <f t="shared" si="71"/>
        <v>-0.58132375773689793</v>
      </c>
      <c r="O111" s="123">
        <f t="shared" si="71"/>
        <v>64.510323690567532</v>
      </c>
      <c r="P111" s="123">
        <f t="shared" si="71"/>
        <v>103.98312169784676</v>
      </c>
      <c r="Q111" s="123">
        <f t="shared" si="71"/>
        <v>52.800623524932455</v>
      </c>
      <c r="R111" s="123">
        <f t="shared" si="71"/>
        <v>44.329883028027211</v>
      </c>
      <c r="S111" s="123">
        <f t="shared" si="71"/>
        <v>44.842298809606838</v>
      </c>
      <c r="T111" s="123">
        <f t="shared" si="71"/>
        <v>62.20083660465523</v>
      </c>
      <c r="U111" s="123">
        <f t="shared" si="71"/>
        <v>61.333989803417325</v>
      </c>
      <c r="V111" s="123">
        <f t="shared" si="71"/>
        <v>0</v>
      </c>
      <c r="W111" s="123">
        <f t="shared" si="71"/>
        <v>0</v>
      </c>
      <c r="X111" s="123">
        <f t="shared" si="71"/>
        <v>502.07091740205738</v>
      </c>
      <c r="Y111" s="123">
        <f t="shared" si="71"/>
        <v>561.5712876445865</v>
      </c>
      <c r="Z111" s="123">
        <f t="shared" si="71"/>
        <v>1047.1210051398789</v>
      </c>
      <c r="AA111" s="123">
        <f t="shared" si="71"/>
        <v>1725.6352901307941</v>
      </c>
      <c r="AB111" s="123">
        <f t="shared" si="71"/>
        <v>1763.8968055032365</v>
      </c>
      <c r="AC111" s="123">
        <f t="shared" si="71"/>
        <v>1830.8157441041255</v>
      </c>
      <c r="AD111" s="123">
        <f t="shared" si="71"/>
        <v>1980.8533788681993</v>
      </c>
      <c r="AE111" s="123">
        <f t="shared" si="71"/>
        <v>1847.3884467122448</v>
      </c>
      <c r="AF111" s="123">
        <f t="shared" si="71"/>
        <v>1653.7647610611793</v>
      </c>
      <c r="AG111" s="123">
        <f t="shared" si="71"/>
        <v>1586.3342273859078</v>
      </c>
      <c r="AH111" s="123">
        <f t="shared" si="71"/>
        <v>1319.3226981736948</v>
      </c>
      <c r="AI111" s="123">
        <f t="shared" si="71"/>
        <v>839.3227525613371</v>
      </c>
      <c r="AJ111" s="123">
        <f t="shared" si="71"/>
        <v>560.08745068423866</v>
      </c>
      <c r="AK111" s="123">
        <f t="shared" si="71"/>
        <v>674.13684052374333</v>
      </c>
      <c r="AL111" s="123">
        <f t="shared" si="71"/>
        <v>644.86631284835676</v>
      </c>
      <c r="AM111" s="123">
        <f t="shared" si="71"/>
        <v>352.47351261276629</v>
      </c>
      <c r="AN111" s="123">
        <f t="shared" si="71"/>
        <v>100.68567155333481</v>
      </c>
      <c r="AO111" s="123">
        <f t="shared" si="71"/>
        <v>0</v>
      </c>
      <c r="AP111" s="123">
        <f t="shared" si="71"/>
        <v>0</v>
      </c>
      <c r="AQ111" s="123">
        <f t="shared" si="71"/>
        <v>0</v>
      </c>
      <c r="AR111" s="123">
        <f t="shared" si="71"/>
        <v>0</v>
      </c>
      <c r="AS111" s="123">
        <f t="shared" si="71"/>
        <v>0</v>
      </c>
      <c r="AT111" s="123">
        <f t="shared" si="71"/>
        <v>0</v>
      </c>
      <c r="AU111" s="123">
        <f t="shared" si="71"/>
        <v>0</v>
      </c>
      <c r="AV111" s="123">
        <f t="shared" si="71"/>
        <v>0</v>
      </c>
    </row>
    <row r="112" spans="1:48" s="123" customFormat="1" ht="15" customHeight="1">
      <c r="A112" s="134"/>
      <c r="B112" s="134"/>
      <c r="C112" s="151"/>
    </row>
    <row r="113" spans="1:48" s="123" customFormat="1" ht="15" customHeight="1">
      <c r="A113" s="134"/>
      <c r="B113" s="134"/>
      <c r="C113" s="151"/>
      <c r="E113" s="123" t="s">
        <v>940</v>
      </c>
      <c r="G113" s="123" t="s">
        <v>29</v>
      </c>
      <c r="J113" s="123">
        <f xml:space="preserve"> SUM(L113:AV113)</f>
        <v>21411.82577190076</v>
      </c>
      <c r="L113" s="123">
        <f t="shared" ref="L113:AV113" si="72" xml:space="preserve"> L110 - L89 - L97</f>
        <v>0</v>
      </c>
      <c r="M113" s="123">
        <f t="shared" si="72"/>
        <v>0</v>
      </c>
      <c r="N113" s="123">
        <f t="shared" si="72"/>
        <v>-16.373642470251834</v>
      </c>
      <c r="O113" s="123">
        <f t="shared" si="72"/>
        <v>166.85703798295808</v>
      </c>
      <c r="P113" s="123">
        <f t="shared" si="72"/>
        <v>312.74464513767521</v>
      </c>
      <c r="Q113" s="123">
        <f t="shared" si="72"/>
        <v>410.52293279181043</v>
      </c>
      <c r="R113" s="123">
        <f t="shared" si="72"/>
        <v>389.91717058203847</v>
      </c>
      <c r="S113" s="123">
        <f t="shared" si="72"/>
        <v>507.99077133512907</v>
      </c>
      <c r="T113" s="123">
        <f t="shared" si="72"/>
        <v>839.03152042819784</v>
      </c>
      <c r="U113" s="123">
        <f t="shared" si="72"/>
        <v>443.16960267580913</v>
      </c>
      <c r="V113" s="123">
        <f t="shared" si="72"/>
        <v>0</v>
      </c>
      <c r="W113" s="123">
        <f t="shared" si="72"/>
        <v>10.517934052872473</v>
      </c>
      <c r="X113" s="123">
        <f t="shared" si="72"/>
        <v>789.16745111716568</v>
      </c>
      <c r="Y113" s="123">
        <f t="shared" si="72"/>
        <v>1139.4551618695523</v>
      </c>
      <c r="Z113" s="123">
        <f t="shared" si="72"/>
        <v>1440.0161047068962</v>
      </c>
      <c r="AA113" s="123">
        <f t="shared" si="72"/>
        <v>1513.7111182869978</v>
      </c>
      <c r="AB113" s="123">
        <f t="shared" si="72"/>
        <v>1495.5384926802144</v>
      </c>
      <c r="AC113" s="123">
        <f t="shared" si="72"/>
        <v>1499.1977597348857</v>
      </c>
      <c r="AD113" s="123">
        <f t="shared" si="72"/>
        <v>1512.9106441381957</v>
      </c>
      <c r="AE113" s="123">
        <f t="shared" si="72"/>
        <v>1512.924356764704</v>
      </c>
      <c r="AF113" s="123">
        <f t="shared" si="72"/>
        <v>1513.6246511576724</v>
      </c>
      <c r="AG113" s="123">
        <f t="shared" si="72"/>
        <v>1511.2761257097934</v>
      </c>
      <c r="AH113" s="123">
        <f t="shared" si="72"/>
        <v>1523.3870500271103</v>
      </c>
      <c r="AI113" s="123">
        <f t="shared" si="72"/>
        <v>910.10137556991265</v>
      </c>
      <c r="AJ113" s="123">
        <f t="shared" si="72"/>
        <v>491.34535057605092</v>
      </c>
      <c r="AK113" s="123">
        <f t="shared" si="72"/>
        <v>502.75116189702129</v>
      </c>
      <c r="AL113" s="123">
        <f t="shared" si="72"/>
        <v>521.03400466201754</v>
      </c>
      <c r="AM113" s="123">
        <f t="shared" si="72"/>
        <v>355.56671656010059</v>
      </c>
      <c r="AN113" s="123">
        <f t="shared" si="72"/>
        <v>115.44027392622976</v>
      </c>
      <c r="AO113" s="123">
        <f t="shared" si="72"/>
        <v>0</v>
      </c>
      <c r="AP113" s="123">
        <f t="shared" si="72"/>
        <v>0</v>
      </c>
      <c r="AQ113" s="123">
        <f t="shared" si="72"/>
        <v>0</v>
      </c>
      <c r="AR113" s="123">
        <f t="shared" si="72"/>
        <v>0</v>
      </c>
      <c r="AS113" s="123">
        <f t="shared" si="72"/>
        <v>0</v>
      </c>
      <c r="AT113" s="123">
        <f t="shared" si="72"/>
        <v>0</v>
      </c>
      <c r="AU113" s="123">
        <f t="shared" si="72"/>
        <v>0</v>
      </c>
      <c r="AV113" s="123">
        <f t="shared" si="72"/>
        <v>0</v>
      </c>
    </row>
    <row r="114" spans="1:48" s="123" customFormat="1" ht="15" customHeight="1">
      <c r="A114" s="134"/>
      <c r="B114" s="134"/>
      <c r="C114" s="151"/>
      <c r="E114" s="123" t="s">
        <v>941</v>
      </c>
      <c r="G114" s="123" t="s">
        <v>29</v>
      </c>
      <c r="J114" s="123">
        <f t="shared" ref="J114:J115" si="73" xml:space="preserve"> SUM(L114:AV114)</f>
        <v>16964.32107586538</v>
      </c>
      <c r="L114" s="123">
        <f t="shared" ref="L114:AV114" si="74" xml:space="preserve"> L111 - L90 - L98</f>
        <v>0</v>
      </c>
      <c r="M114" s="123">
        <f t="shared" si="74"/>
        <v>0</v>
      </c>
      <c r="N114" s="123">
        <f t="shared" si="74"/>
        <v>-0.55516418863873751</v>
      </c>
      <c r="O114" s="123">
        <f t="shared" si="74"/>
        <v>61.607359124491992</v>
      </c>
      <c r="P114" s="123">
        <f t="shared" si="74"/>
        <v>90.718597655400586</v>
      </c>
      <c r="Q114" s="123">
        <f t="shared" si="74"/>
        <v>46.012196686809141</v>
      </c>
      <c r="R114" s="123">
        <f t="shared" si="74"/>
        <v>38.62355170232653</v>
      </c>
      <c r="S114" s="123">
        <f t="shared" si="74"/>
        <v>39.058738839366661</v>
      </c>
      <c r="T114" s="123">
        <f t="shared" si="74"/>
        <v>54.21025468953885</v>
      </c>
      <c r="U114" s="123">
        <f t="shared" si="74"/>
        <v>53.442462558331897</v>
      </c>
      <c r="V114" s="123">
        <f t="shared" si="74"/>
        <v>0</v>
      </c>
      <c r="W114" s="123">
        <f t="shared" si="74"/>
        <v>0</v>
      </c>
      <c r="X114" s="123">
        <f t="shared" si="74"/>
        <v>438.45091846700598</v>
      </c>
      <c r="Y114" s="123">
        <f t="shared" si="74"/>
        <v>489.22260724113067</v>
      </c>
      <c r="Z114" s="123">
        <f t="shared" si="74"/>
        <v>913.7176674808195</v>
      </c>
      <c r="AA114" s="123">
        <f t="shared" si="74"/>
        <v>1506.8819066482561</v>
      </c>
      <c r="AB114" s="123">
        <f t="shared" si="74"/>
        <v>1540.2931294978464</v>
      </c>
      <c r="AC114" s="123">
        <f t="shared" si="74"/>
        <v>1598.7289637477022</v>
      </c>
      <c r="AD114" s="123">
        <f t="shared" si="74"/>
        <v>1729.7467972582504</v>
      </c>
      <c r="AE114" s="123">
        <f t="shared" si="74"/>
        <v>1613.2007967284385</v>
      </c>
      <c r="AF114" s="123">
        <f t="shared" si="74"/>
        <v>1444.1221795520214</v>
      </c>
      <c r="AG114" s="123">
        <f t="shared" si="74"/>
        <v>1385.2396035337708</v>
      </c>
      <c r="AH114" s="123">
        <f t="shared" si="74"/>
        <v>1152.0762899775966</v>
      </c>
      <c r="AI114" s="123">
        <f t="shared" si="74"/>
        <v>732.92443479005794</v>
      </c>
      <c r="AJ114" s="123">
        <f t="shared" si="74"/>
        <v>489.08691796217084</v>
      </c>
      <c r="AK114" s="123">
        <f t="shared" si="74"/>
        <v>588.67862369299019</v>
      </c>
      <c r="AL114" s="123">
        <f t="shared" si="74"/>
        <v>563.1186291771478</v>
      </c>
      <c r="AM114" s="123">
        <f t="shared" si="74"/>
        <v>307.79154886701235</v>
      </c>
      <c r="AN114" s="123">
        <f t="shared" si="74"/>
        <v>87.922064175535922</v>
      </c>
      <c r="AO114" s="123">
        <f t="shared" si="74"/>
        <v>0</v>
      </c>
      <c r="AP114" s="123">
        <f t="shared" si="74"/>
        <v>0</v>
      </c>
      <c r="AQ114" s="123">
        <f t="shared" si="74"/>
        <v>0</v>
      </c>
      <c r="AR114" s="123">
        <f t="shared" si="74"/>
        <v>0</v>
      </c>
      <c r="AS114" s="123">
        <f t="shared" si="74"/>
        <v>0</v>
      </c>
      <c r="AT114" s="123">
        <f t="shared" si="74"/>
        <v>0</v>
      </c>
      <c r="AU114" s="123">
        <f t="shared" si="74"/>
        <v>0</v>
      </c>
      <c r="AV114" s="123">
        <f t="shared" si="74"/>
        <v>0</v>
      </c>
    </row>
    <row r="115" spans="1:48" s="123" customFormat="1" ht="15" customHeight="1">
      <c r="A115" s="134"/>
      <c r="B115" s="134"/>
      <c r="C115" s="151"/>
      <c r="E115" s="123" t="s">
        <v>942</v>
      </c>
      <c r="G115" s="123" t="s">
        <v>29</v>
      </c>
      <c r="J115" s="123">
        <f t="shared" si="73"/>
        <v>38376.146847766147</v>
      </c>
      <c r="L115" s="123">
        <f t="shared" ref="L115:AV115" si="75">SUM(L113:L114)</f>
        <v>0</v>
      </c>
      <c r="M115" s="123">
        <f t="shared" si="75"/>
        <v>0</v>
      </c>
      <c r="N115" s="123">
        <f t="shared" si="75"/>
        <v>-16.928806658890572</v>
      </c>
      <c r="O115" s="123">
        <f t="shared" si="75"/>
        <v>228.46439710745005</v>
      </c>
      <c r="P115" s="123">
        <f t="shared" si="75"/>
        <v>403.46324279307578</v>
      </c>
      <c r="Q115" s="123">
        <f t="shared" si="75"/>
        <v>456.53512947861958</v>
      </c>
      <c r="R115" s="123">
        <f t="shared" si="75"/>
        <v>428.54072228436502</v>
      </c>
      <c r="S115" s="123">
        <f t="shared" si="75"/>
        <v>547.04951017449571</v>
      </c>
      <c r="T115" s="123">
        <f t="shared" si="75"/>
        <v>893.24177511773667</v>
      </c>
      <c r="U115" s="123">
        <f t="shared" si="75"/>
        <v>496.61206523414103</v>
      </c>
      <c r="V115" s="123">
        <f t="shared" si="75"/>
        <v>0</v>
      </c>
      <c r="W115" s="123">
        <f t="shared" si="75"/>
        <v>10.517934052872473</v>
      </c>
      <c r="X115" s="123">
        <f t="shared" si="75"/>
        <v>1227.6183695841717</v>
      </c>
      <c r="Y115" s="123">
        <f t="shared" si="75"/>
        <v>1628.6777691106829</v>
      </c>
      <c r="Z115" s="123">
        <f t="shared" si="75"/>
        <v>2353.7337721877157</v>
      </c>
      <c r="AA115" s="123">
        <f t="shared" si="75"/>
        <v>3020.5930249352541</v>
      </c>
      <c r="AB115" s="123">
        <f t="shared" si="75"/>
        <v>3035.8316221780606</v>
      </c>
      <c r="AC115" s="123">
        <f t="shared" si="75"/>
        <v>3097.9267234825879</v>
      </c>
      <c r="AD115" s="123">
        <f t="shared" si="75"/>
        <v>3242.6574413964463</v>
      </c>
      <c r="AE115" s="123">
        <f t="shared" si="75"/>
        <v>3126.1251534931425</v>
      </c>
      <c r="AF115" s="123">
        <f t="shared" si="75"/>
        <v>2957.7468307096938</v>
      </c>
      <c r="AG115" s="123">
        <f t="shared" si="75"/>
        <v>2896.5157292435642</v>
      </c>
      <c r="AH115" s="123">
        <f t="shared" si="75"/>
        <v>2675.4633400047069</v>
      </c>
      <c r="AI115" s="123">
        <f t="shared" si="75"/>
        <v>1643.0258103599706</v>
      </c>
      <c r="AJ115" s="123">
        <f t="shared" si="75"/>
        <v>980.43226853822171</v>
      </c>
      <c r="AK115" s="123">
        <f t="shared" si="75"/>
        <v>1091.4297855900115</v>
      </c>
      <c r="AL115" s="123">
        <f t="shared" si="75"/>
        <v>1084.1526338391654</v>
      </c>
      <c r="AM115" s="123">
        <f t="shared" si="75"/>
        <v>663.35826542711288</v>
      </c>
      <c r="AN115" s="123">
        <f t="shared" si="75"/>
        <v>203.36233810176569</v>
      </c>
      <c r="AO115" s="123">
        <f t="shared" si="75"/>
        <v>0</v>
      </c>
      <c r="AP115" s="123">
        <f t="shared" si="75"/>
        <v>0</v>
      </c>
      <c r="AQ115" s="123">
        <f t="shared" si="75"/>
        <v>0</v>
      </c>
      <c r="AR115" s="123">
        <f t="shared" si="75"/>
        <v>0</v>
      </c>
      <c r="AS115" s="123">
        <f t="shared" si="75"/>
        <v>0</v>
      </c>
      <c r="AT115" s="123">
        <f t="shared" si="75"/>
        <v>0</v>
      </c>
      <c r="AU115" s="123">
        <f t="shared" si="75"/>
        <v>0</v>
      </c>
      <c r="AV115" s="123">
        <f t="shared" si="75"/>
        <v>0</v>
      </c>
    </row>
    <row r="116" spans="1:48" s="123" customFormat="1" ht="15" customHeight="1">
      <c r="A116" s="134"/>
      <c r="B116" s="134"/>
      <c r="C116" s="151"/>
      <c r="E116" s="123" t="str">
        <f xml:space="preserve"> E115</f>
        <v>Net revenues after royalty</v>
      </c>
      <c r="F116" s="123">
        <f xml:space="preserve"> SUM(L115:AV115)</f>
        <v>38376.146847766147</v>
      </c>
      <c r="G116" s="123" t="s">
        <v>29</v>
      </c>
    </row>
    <row r="117" spans="1:48" s="123" customFormat="1" ht="15" customHeight="1">
      <c r="A117" s="134"/>
      <c r="B117" s="134"/>
      <c r="C117" s="151"/>
      <c r="E117" s="123" t="str">
        <f xml:space="preserve"> "Check: " &amp; E116</f>
        <v>Check: Net revenues after royalty</v>
      </c>
      <c r="F117" s="482">
        <f xml:space="preserve"> IF( ABS(F107 - F116) &gt; CHK_TOL, 1, 0)</f>
        <v>0</v>
      </c>
    </row>
    <row r="118" spans="1:48" s="123" customFormat="1" ht="15" customHeight="1">
      <c r="A118" s="134"/>
      <c r="B118" s="134"/>
      <c r="C118" s="151"/>
    </row>
    <row r="119" spans="1:48" s="123" customFormat="1" ht="15" customHeight="1">
      <c r="A119" s="134"/>
      <c r="B119" s="134"/>
      <c r="C119" s="151"/>
    </row>
    <row r="120" spans="1:48" s="160" customFormat="1" ht="15" customHeight="1">
      <c r="A120" s="164" t="s">
        <v>79</v>
      </c>
      <c r="B120" s="162"/>
      <c r="C120" s="192"/>
      <c r="D120" s="163"/>
      <c r="E120" s="162"/>
      <c r="F120" s="162"/>
      <c r="G120" s="162"/>
      <c r="H120" s="162"/>
    </row>
    <row r="121" spans="1:48" s="229" customFormat="1" ht="15" customHeight="1">
      <c r="A121" s="225"/>
      <c r="B121" s="226"/>
      <c r="C121" s="227"/>
      <c r="D121" s="228"/>
      <c r="E121" s="226"/>
      <c r="F121" s="226"/>
      <c r="G121" s="226"/>
      <c r="H121" s="226"/>
    </row>
    <row r="122" spans="1:48" s="123" customFormat="1" ht="15" customHeight="1">
      <c r="A122" s="134"/>
      <c r="B122" s="134" t="s">
        <v>79</v>
      </c>
      <c r="C122" s="151"/>
    </row>
    <row r="123" spans="1:48" s="123" customFormat="1" ht="15" customHeight="1">
      <c r="A123" s="134"/>
      <c r="B123" s="134"/>
      <c r="C123" s="151" t="s">
        <v>80</v>
      </c>
    </row>
    <row r="124" spans="1:48" s="132" customFormat="1" ht="15" customHeight="1">
      <c r="A124" s="133"/>
      <c r="B124" s="133"/>
      <c r="C124" s="151"/>
      <c r="E124" s="170" t="str">
        <f xml:space="preserve"> Inp_2019TR!E$107</f>
        <v>Mining (USD million)</v>
      </c>
      <c r="F124" s="170">
        <f xml:space="preserve"> Inp_2019TR!F$107</f>
        <v>0</v>
      </c>
      <c r="G124" s="170" t="str">
        <f xml:space="preserve"> Inp_2019TR!G$107</f>
        <v>$ mn</v>
      </c>
      <c r="H124" s="170">
        <f xml:space="preserve"> Inp_2019TR!H$107</f>
        <v>0</v>
      </c>
      <c r="I124" s="170" t="str">
        <f xml:space="preserve"> Inp_2019TR!I$107</f>
        <v>XXII</v>
      </c>
      <c r="J124" s="170">
        <f xml:space="preserve"> Inp_2019TR!J$107</f>
        <v>4790.5999999999995</v>
      </c>
      <c r="K124" s="170">
        <f xml:space="preserve"> Inp_2019TR!K$107</f>
        <v>0</v>
      </c>
      <c r="L124" s="170">
        <f xml:space="preserve"> Inp_2019TR!L$107</f>
        <v>0</v>
      </c>
      <c r="M124" s="170">
        <f xml:space="preserve"> Inp_2019TR!M$107</f>
        <v>0</v>
      </c>
      <c r="N124" s="170">
        <f xml:space="preserve"> Inp_2019TR!N$107</f>
        <v>0</v>
      </c>
      <c r="O124" s="170">
        <f xml:space="preserve"> Inp_2019TR!O$107</f>
        <v>0</v>
      </c>
      <c r="P124" s="170">
        <f xml:space="preserve"> Inp_2019TR!P$107</f>
        <v>0</v>
      </c>
      <c r="Q124" s="170">
        <f xml:space="preserve"> Inp_2019TR!Q$107</f>
        <v>0</v>
      </c>
      <c r="R124" s="170">
        <f xml:space="preserve"> Inp_2019TR!R$107</f>
        <v>0</v>
      </c>
      <c r="S124" s="170">
        <f xml:space="preserve"> Inp_2019TR!S$107</f>
        <v>0</v>
      </c>
      <c r="T124" s="170">
        <f xml:space="preserve"> Inp_2019TR!T$107</f>
        <v>0</v>
      </c>
      <c r="U124" s="170">
        <f xml:space="preserve"> Inp_2019TR!U$107</f>
        <v>0</v>
      </c>
      <c r="V124" s="170">
        <f xml:space="preserve"> Inp_2019TR!V$107</f>
        <v>0</v>
      </c>
      <c r="W124" s="170">
        <f xml:space="preserve"> Inp_2019TR!W$107</f>
        <v>0</v>
      </c>
      <c r="X124" s="170">
        <f xml:space="preserve"> Inp_2019TR!X$107</f>
        <v>0</v>
      </c>
      <c r="Y124" s="170">
        <f xml:space="preserve"> Inp_2019TR!Y$107</f>
        <v>199.81</v>
      </c>
      <c r="Z124" s="170">
        <f xml:space="preserve"> Inp_2019TR!Z$107</f>
        <v>264.51</v>
      </c>
      <c r="AA124" s="170">
        <f xml:space="preserve"> Inp_2019TR!AA$107</f>
        <v>230.68</v>
      </c>
      <c r="AB124" s="170">
        <f xml:space="preserve"> Inp_2019TR!AB$107</f>
        <v>237.57</v>
      </c>
      <c r="AC124" s="170">
        <f xml:space="preserve"> Inp_2019TR!AC$107</f>
        <v>321.5025</v>
      </c>
      <c r="AD124" s="170">
        <f xml:space="preserve"> Inp_2019TR!AD$107</f>
        <v>321.5025</v>
      </c>
      <c r="AE124" s="170">
        <f xml:space="preserve"> Inp_2019TR!AE$107</f>
        <v>321.5025</v>
      </c>
      <c r="AF124" s="170">
        <f xml:space="preserve"> Inp_2019TR!AF$107</f>
        <v>321.5025</v>
      </c>
      <c r="AG124" s="170">
        <f xml:space="preserve"> Inp_2019TR!AG$107</f>
        <v>321.5025</v>
      </c>
      <c r="AH124" s="170">
        <f xml:space="preserve"> Inp_2019TR!AH$107</f>
        <v>321.5025</v>
      </c>
      <c r="AI124" s="170">
        <f xml:space="preserve"> Inp_2019TR!AI$107</f>
        <v>321.5025</v>
      </c>
      <c r="AJ124" s="170">
        <f xml:space="preserve"> Inp_2019TR!AJ$107</f>
        <v>321.5025</v>
      </c>
      <c r="AK124" s="170">
        <f xml:space="preserve"> Inp_2019TR!AK$107</f>
        <v>321.5025</v>
      </c>
      <c r="AL124" s="170">
        <f xml:space="preserve"> Inp_2019TR!AL$107</f>
        <v>321.5025</v>
      </c>
      <c r="AM124" s="170">
        <f xml:space="preserve"> Inp_2019TR!AM$107</f>
        <v>321.5025</v>
      </c>
      <c r="AN124" s="170">
        <f xml:space="preserve"> Inp_2019TR!AN$107</f>
        <v>321.5025</v>
      </c>
      <c r="AO124" s="170">
        <f xml:space="preserve"> Inp_2019TR!AO$107</f>
        <v>0</v>
      </c>
      <c r="AP124" s="170">
        <f xml:space="preserve"> Inp_2019TR!AP$107</f>
        <v>0</v>
      </c>
      <c r="AQ124" s="170">
        <f xml:space="preserve"> Inp_2019TR!AQ$107</f>
        <v>0</v>
      </c>
      <c r="AR124" s="170">
        <f xml:space="preserve"> Inp_2019TR!AR$107</f>
        <v>0</v>
      </c>
      <c r="AS124" s="170">
        <f xml:space="preserve"> Inp_2019TR!AS$107</f>
        <v>0</v>
      </c>
      <c r="AT124" s="170">
        <f xml:space="preserve"> Inp_2019TR!AT$107</f>
        <v>0</v>
      </c>
      <c r="AU124" s="170">
        <f xml:space="preserve"> Inp_2019TR!AU$107</f>
        <v>0</v>
      </c>
      <c r="AV124" s="170">
        <f xml:space="preserve"> Inp_2019TR!AV$107</f>
        <v>0</v>
      </c>
    </row>
    <row r="125" spans="1:48" s="132" customFormat="1" ht="15" customHeight="1">
      <c r="A125" s="133"/>
      <c r="B125" s="133"/>
      <c r="C125" s="151"/>
      <c r="E125" s="170" t="str">
        <f xml:space="preserve"> Inp_2019TR!E$108</f>
        <v>KTC and Luilu (USD million)</v>
      </c>
      <c r="F125" s="170">
        <f xml:space="preserve"> Inp_2019TR!F$108</f>
        <v>0</v>
      </c>
      <c r="G125" s="170" t="str">
        <f xml:space="preserve"> Inp_2019TR!G$108</f>
        <v>$ mn</v>
      </c>
      <c r="H125" s="170">
        <f xml:space="preserve"> Inp_2019TR!H$108</f>
        <v>0</v>
      </c>
      <c r="I125" s="170" t="str">
        <f xml:space="preserve"> Inp_2019TR!I$108</f>
        <v>XXII</v>
      </c>
      <c r="J125" s="170">
        <f xml:space="preserve"> Inp_2019TR!J$108</f>
        <v>9682.880000000001</v>
      </c>
      <c r="K125" s="170">
        <f xml:space="preserve"> Inp_2019TR!K$108</f>
        <v>0</v>
      </c>
      <c r="L125" s="170">
        <f xml:space="preserve"> Inp_2019TR!L$108</f>
        <v>0</v>
      </c>
      <c r="M125" s="170">
        <f xml:space="preserve"> Inp_2019TR!M$108</f>
        <v>0</v>
      </c>
      <c r="N125" s="170">
        <f xml:space="preserve"> Inp_2019TR!N$108</f>
        <v>0</v>
      </c>
      <c r="O125" s="170">
        <f xml:space="preserve"> Inp_2019TR!O$108</f>
        <v>0</v>
      </c>
      <c r="P125" s="170">
        <f xml:space="preserve"> Inp_2019TR!P$108</f>
        <v>0</v>
      </c>
      <c r="Q125" s="170">
        <f xml:space="preserve"> Inp_2019TR!Q$108</f>
        <v>0</v>
      </c>
      <c r="R125" s="170">
        <f xml:space="preserve"> Inp_2019TR!R$108</f>
        <v>0</v>
      </c>
      <c r="S125" s="170">
        <f xml:space="preserve"> Inp_2019TR!S$108</f>
        <v>0</v>
      </c>
      <c r="T125" s="170">
        <f xml:space="preserve"> Inp_2019TR!T$108</f>
        <v>0</v>
      </c>
      <c r="U125" s="170">
        <f xml:space="preserve"> Inp_2019TR!U$108</f>
        <v>0</v>
      </c>
      <c r="V125" s="170">
        <f xml:space="preserve"> Inp_2019TR!V$108</f>
        <v>0</v>
      </c>
      <c r="W125" s="170">
        <f xml:space="preserve"> Inp_2019TR!W$108</f>
        <v>0</v>
      </c>
      <c r="X125" s="170">
        <f xml:space="preserve"> Inp_2019TR!X$108</f>
        <v>0</v>
      </c>
      <c r="Y125" s="170">
        <f xml:space="preserve"> Inp_2019TR!Y$108</f>
        <v>688.12</v>
      </c>
      <c r="Z125" s="170">
        <f xml:space="preserve"> Inp_2019TR!Z$108</f>
        <v>720.44</v>
      </c>
      <c r="AA125" s="170">
        <f xml:space="preserve"> Inp_2019TR!AA$108</f>
        <v>727.47</v>
      </c>
      <c r="AB125" s="170">
        <f xml:space="preserve"> Inp_2019TR!AB$108</f>
        <v>688.37</v>
      </c>
      <c r="AC125" s="170">
        <f xml:space="preserve"> Inp_2019TR!AC$108</f>
        <v>571.54</v>
      </c>
      <c r="AD125" s="170">
        <f xml:space="preserve"> Inp_2019TR!AD$108</f>
        <v>571.54</v>
      </c>
      <c r="AE125" s="170">
        <f xml:space="preserve"> Inp_2019TR!AE$108</f>
        <v>571.54</v>
      </c>
      <c r="AF125" s="170">
        <f xml:space="preserve"> Inp_2019TR!AF$108</f>
        <v>571.54</v>
      </c>
      <c r="AG125" s="170">
        <f xml:space="preserve"> Inp_2019TR!AG$108</f>
        <v>571.54</v>
      </c>
      <c r="AH125" s="170">
        <f xml:space="preserve"> Inp_2019TR!AH$108</f>
        <v>571.54</v>
      </c>
      <c r="AI125" s="170">
        <f xml:space="preserve"> Inp_2019TR!AI$108</f>
        <v>571.54</v>
      </c>
      <c r="AJ125" s="170">
        <f xml:space="preserve"> Inp_2019TR!AJ$108</f>
        <v>571.54</v>
      </c>
      <c r="AK125" s="170">
        <f xml:space="preserve"> Inp_2019TR!AK$108</f>
        <v>571.54</v>
      </c>
      <c r="AL125" s="170">
        <f xml:space="preserve"> Inp_2019TR!AL$108</f>
        <v>571.54</v>
      </c>
      <c r="AM125" s="170">
        <f xml:space="preserve"> Inp_2019TR!AM$108</f>
        <v>571.54</v>
      </c>
      <c r="AN125" s="170">
        <f xml:space="preserve"> Inp_2019TR!AN$108</f>
        <v>571.54</v>
      </c>
      <c r="AO125" s="170">
        <f xml:space="preserve"> Inp_2019TR!AO$108</f>
        <v>0</v>
      </c>
      <c r="AP125" s="170">
        <f xml:space="preserve"> Inp_2019TR!AP$108</f>
        <v>0</v>
      </c>
      <c r="AQ125" s="170">
        <f xml:space="preserve"> Inp_2019TR!AQ$108</f>
        <v>0</v>
      </c>
      <c r="AR125" s="170">
        <f xml:space="preserve"> Inp_2019TR!AR$108</f>
        <v>0</v>
      </c>
      <c r="AS125" s="170">
        <f xml:space="preserve"> Inp_2019TR!AS$108</f>
        <v>0</v>
      </c>
      <c r="AT125" s="170">
        <f xml:space="preserve"> Inp_2019TR!AT$108</f>
        <v>0</v>
      </c>
      <c r="AU125" s="170">
        <f xml:space="preserve"> Inp_2019TR!AU$108</f>
        <v>0</v>
      </c>
      <c r="AV125" s="170">
        <f xml:space="preserve"> Inp_2019TR!AV$108</f>
        <v>0</v>
      </c>
    </row>
    <row r="126" spans="1:48" s="132" customFormat="1" ht="15" customHeight="1">
      <c r="A126" s="133"/>
      <c r="B126" s="133"/>
      <c r="C126" s="151"/>
      <c r="E126" s="170" t="str">
        <f xml:space="preserve"> Inp_2019TR!E$109</f>
        <v>Technical Services (USD million)</v>
      </c>
      <c r="F126" s="170">
        <f xml:space="preserve"> Inp_2019TR!F$109</f>
        <v>0</v>
      </c>
      <c r="G126" s="170" t="str">
        <f xml:space="preserve"> Inp_2019TR!G$109</f>
        <v>$ mn</v>
      </c>
      <c r="H126" s="170">
        <f xml:space="preserve"> Inp_2019TR!H$109</f>
        <v>0</v>
      </c>
      <c r="I126" s="170" t="str">
        <f xml:space="preserve"> Inp_2019TR!I$109</f>
        <v>XXII</v>
      </c>
      <c r="J126" s="170">
        <f xml:space="preserve"> Inp_2019TR!J$109</f>
        <v>645.38000000000011</v>
      </c>
      <c r="K126" s="170">
        <f xml:space="preserve"> Inp_2019TR!K$109</f>
        <v>0</v>
      </c>
      <c r="L126" s="170">
        <f xml:space="preserve"> Inp_2019TR!L$109</f>
        <v>0</v>
      </c>
      <c r="M126" s="170">
        <f xml:space="preserve"> Inp_2019TR!M$109</f>
        <v>0</v>
      </c>
      <c r="N126" s="170">
        <f xml:space="preserve"> Inp_2019TR!N$109</f>
        <v>0</v>
      </c>
      <c r="O126" s="170">
        <f xml:space="preserve"> Inp_2019TR!O$109</f>
        <v>0</v>
      </c>
      <c r="P126" s="170">
        <f xml:space="preserve"> Inp_2019TR!P$109</f>
        <v>0</v>
      </c>
      <c r="Q126" s="170">
        <f xml:space="preserve"> Inp_2019TR!Q$109</f>
        <v>0</v>
      </c>
      <c r="R126" s="170">
        <f xml:space="preserve"> Inp_2019TR!R$109</f>
        <v>0</v>
      </c>
      <c r="S126" s="170">
        <f xml:space="preserve"> Inp_2019TR!S$109</f>
        <v>0</v>
      </c>
      <c r="T126" s="170">
        <f xml:space="preserve"> Inp_2019TR!T$109</f>
        <v>0</v>
      </c>
      <c r="U126" s="170">
        <f xml:space="preserve"> Inp_2019TR!U$109</f>
        <v>0</v>
      </c>
      <c r="V126" s="170">
        <f xml:space="preserve"> Inp_2019TR!V$109</f>
        <v>0</v>
      </c>
      <c r="W126" s="170">
        <f xml:space="preserve"> Inp_2019TR!W$109</f>
        <v>0</v>
      </c>
      <c r="X126" s="170">
        <f xml:space="preserve"> Inp_2019TR!X$109</f>
        <v>0</v>
      </c>
      <c r="Y126" s="170">
        <f xml:space="preserve"> Inp_2019TR!Y$109</f>
        <v>23.07</v>
      </c>
      <c r="Z126" s="170">
        <f xml:space="preserve"> Inp_2019TR!Z$109</f>
        <v>39.04</v>
      </c>
      <c r="AA126" s="170">
        <f xml:space="preserve"> Inp_2019TR!AA$109</f>
        <v>42.64</v>
      </c>
      <c r="AB126" s="170">
        <f xml:space="preserve"> Inp_2019TR!AB$109</f>
        <v>42.64</v>
      </c>
      <c r="AC126" s="170">
        <f xml:space="preserve"> Inp_2019TR!AC$109</f>
        <v>41.499166666666667</v>
      </c>
      <c r="AD126" s="170">
        <f xml:space="preserve"> Inp_2019TR!AD$109</f>
        <v>41.499166666666667</v>
      </c>
      <c r="AE126" s="170">
        <f xml:space="preserve"> Inp_2019TR!AE$109</f>
        <v>41.499166666666667</v>
      </c>
      <c r="AF126" s="170">
        <f xml:space="preserve"> Inp_2019TR!AF$109</f>
        <v>41.499166666666667</v>
      </c>
      <c r="AG126" s="170">
        <f xml:space="preserve"> Inp_2019TR!AG$109</f>
        <v>41.499166666666667</v>
      </c>
      <c r="AH126" s="170">
        <f xml:space="preserve"> Inp_2019TR!AH$109</f>
        <v>41.499166666666667</v>
      </c>
      <c r="AI126" s="170">
        <f xml:space="preserve"> Inp_2019TR!AI$109</f>
        <v>41.499166666666667</v>
      </c>
      <c r="AJ126" s="170">
        <f xml:space="preserve"> Inp_2019TR!AJ$109</f>
        <v>41.499166666666667</v>
      </c>
      <c r="AK126" s="170">
        <f xml:space="preserve"> Inp_2019TR!AK$109</f>
        <v>41.499166666666667</v>
      </c>
      <c r="AL126" s="170">
        <f xml:space="preserve"> Inp_2019TR!AL$109</f>
        <v>41.499166666666667</v>
      </c>
      <c r="AM126" s="170">
        <f xml:space="preserve"> Inp_2019TR!AM$109</f>
        <v>41.499166666666667</v>
      </c>
      <c r="AN126" s="170">
        <f xml:space="preserve"> Inp_2019TR!AN$109</f>
        <v>41.499166666666667</v>
      </c>
      <c r="AO126" s="170">
        <f xml:space="preserve"> Inp_2019TR!AO$109</f>
        <v>0</v>
      </c>
      <c r="AP126" s="170">
        <f xml:space="preserve"> Inp_2019TR!AP$109</f>
        <v>0</v>
      </c>
      <c r="AQ126" s="170">
        <f xml:space="preserve"> Inp_2019TR!AQ$109</f>
        <v>0</v>
      </c>
      <c r="AR126" s="170">
        <f xml:space="preserve"> Inp_2019TR!AR$109</f>
        <v>0</v>
      </c>
      <c r="AS126" s="170">
        <f xml:space="preserve"> Inp_2019TR!AS$109</f>
        <v>0</v>
      </c>
      <c r="AT126" s="170">
        <f xml:space="preserve"> Inp_2019TR!AT$109</f>
        <v>0</v>
      </c>
      <c r="AU126" s="170">
        <f xml:space="preserve"> Inp_2019TR!AU$109</f>
        <v>0</v>
      </c>
      <c r="AV126" s="170">
        <f xml:space="preserve"> Inp_2019TR!AV$109</f>
        <v>0</v>
      </c>
    </row>
    <row r="127" spans="1:48" s="132" customFormat="1" ht="15" customHeight="1">
      <c r="A127" s="133"/>
      <c r="B127" s="133"/>
      <c r="C127" s="151"/>
      <c r="E127" s="170" t="str">
        <f xml:space="preserve"> Inp_2019TR!E$110</f>
        <v>Engineering (USD million)</v>
      </c>
      <c r="F127" s="170">
        <f xml:space="preserve"> Inp_2019TR!F$110</f>
        <v>0</v>
      </c>
      <c r="G127" s="170" t="str">
        <f xml:space="preserve"> Inp_2019TR!G$110</f>
        <v>$ mn</v>
      </c>
      <c r="H127" s="170">
        <f xml:space="preserve"> Inp_2019TR!H$110</f>
        <v>0</v>
      </c>
      <c r="I127" s="170" t="str">
        <f xml:space="preserve"> Inp_2019TR!I$110</f>
        <v>XXII</v>
      </c>
      <c r="J127" s="170">
        <f xml:space="preserve"> Inp_2019TR!J$110</f>
        <v>846.94</v>
      </c>
      <c r="K127" s="170">
        <f xml:space="preserve"> Inp_2019TR!K$110</f>
        <v>0</v>
      </c>
      <c r="L127" s="170">
        <f xml:space="preserve"> Inp_2019TR!L$110</f>
        <v>0</v>
      </c>
      <c r="M127" s="170">
        <f xml:space="preserve"> Inp_2019TR!M$110</f>
        <v>0</v>
      </c>
      <c r="N127" s="170">
        <f xml:space="preserve"> Inp_2019TR!N$110</f>
        <v>0</v>
      </c>
      <c r="O127" s="170">
        <f xml:space="preserve"> Inp_2019TR!O$110</f>
        <v>0</v>
      </c>
      <c r="P127" s="170">
        <f xml:space="preserve"> Inp_2019TR!P$110</f>
        <v>0</v>
      </c>
      <c r="Q127" s="170">
        <f xml:space="preserve"> Inp_2019TR!Q$110</f>
        <v>0</v>
      </c>
      <c r="R127" s="170">
        <f xml:space="preserve"> Inp_2019TR!R$110</f>
        <v>0</v>
      </c>
      <c r="S127" s="170">
        <f xml:space="preserve"> Inp_2019TR!S$110</f>
        <v>0</v>
      </c>
      <c r="T127" s="170">
        <f xml:space="preserve"> Inp_2019TR!T$110</f>
        <v>0</v>
      </c>
      <c r="U127" s="170">
        <f xml:space="preserve"> Inp_2019TR!U$110</f>
        <v>0</v>
      </c>
      <c r="V127" s="170">
        <f xml:space="preserve"> Inp_2019TR!V$110</f>
        <v>0</v>
      </c>
      <c r="W127" s="170">
        <f xml:space="preserve"> Inp_2019TR!W$110</f>
        <v>0</v>
      </c>
      <c r="X127" s="170">
        <f xml:space="preserve"> Inp_2019TR!X$110</f>
        <v>0</v>
      </c>
      <c r="Y127" s="170">
        <f xml:space="preserve"> Inp_2019TR!Y$110</f>
        <v>77</v>
      </c>
      <c r="Z127" s="170">
        <f xml:space="preserve"> Inp_2019TR!Z$110</f>
        <v>59.34</v>
      </c>
      <c r="AA127" s="170">
        <f xml:space="preserve"> Inp_2019TR!AA$110</f>
        <v>50.36</v>
      </c>
      <c r="AB127" s="170">
        <f xml:space="preserve"> Inp_2019TR!AB$110</f>
        <v>50.95</v>
      </c>
      <c r="AC127" s="170">
        <f xml:space="preserve"> Inp_2019TR!AC$110</f>
        <v>50.774166666666666</v>
      </c>
      <c r="AD127" s="170">
        <f xml:space="preserve"> Inp_2019TR!AD$110</f>
        <v>50.774166666666666</v>
      </c>
      <c r="AE127" s="170">
        <f xml:space="preserve"> Inp_2019TR!AE$110</f>
        <v>50.774166666666666</v>
      </c>
      <c r="AF127" s="170">
        <f xml:space="preserve"> Inp_2019TR!AF$110</f>
        <v>50.774166666666666</v>
      </c>
      <c r="AG127" s="170">
        <f xml:space="preserve"> Inp_2019TR!AG$110</f>
        <v>50.774166666666666</v>
      </c>
      <c r="AH127" s="170">
        <f xml:space="preserve"> Inp_2019TR!AH$110</f>
        <v>50.774166666666666</v>
      </c>
      <c r="AI127" s="170">
        <f xml:space="preserve"> Inp_2019TR!AI$110</f>
        <v>50.774166666666666</v>
      </c>
      <c r="AJ127" s="170">
        <f xml:space="preserve"> Inp_2019TR!AJ$110</f>
        <v>50.774166666666666</v>
      </c>
      <c r="AK127" s="170">
        <f xml:space="preserve"> Inp_2019TR!AK$110</f>
        <v>50.774166666666666</v>
      </c>
      <c r="AL127" s="170">
        <f xml:space="preserve"> Inp_2019TR!AL$110</f>
        <v>50.774166666666666</v>
      </c>
      <c r="AM127" s="170">
        <f xml:space="preserve"> Inp_2019TR!AM$110</f>
        <v>50.774166666666666</v>
      </c>
      <c r="AN127" s="170">
        <f xml:space="preserve"> Inp_2019TR!AN$110</f>
        <v>50.774166666666666</v>
      </c>
      <c r="AO127" s="170">
        <f xml:space="preserve"> Inp_2019TR!AO$110</f>
        <v>0</v>
      </c>
      <c r="AP127" s="170">
        <f xml:space="preserve"> Inp_2019TR!AP$110</f>
        <v>0</v>
      </c>
      <c r="AQ127" s="170">
        <f xml:space="preserve"> Inp_2019TR!AQ$110</f>
        <v>0</v>
      </c>
      <c r="AR127" s="170">
        <f xml:space="preserve"> Inp_2019TR!AR$110</f>
        <v>0</v>
      </c>
      <c r="AS127" s="170">
        <f xml:space="preserve"> Inp_2019TR!AS$110</f>
        <v>0</v>
      </c>
      <c r="AT127" s="170">
        <f xml:space="preserve"> Inp_2019TR!AT$110</f>
        <v>0</v>
      </c>
      <c r="AU127" s="170">
        <f xml:space="preserve"> Inp_2019TR!AU$110</f>
        <v>0</v>
      </c>
      <c r="AV127" s="170">
        <f xml:space="preserve"> Inp_2019TR!AV$110</f>
        <v>0</v>
      </c>
    </row>
    <row r="128" spans="1:48" s="132" customFormat="1" ht="15" customHeight="1">
      <c r="A128" s="133"/>
      <c r="B128" s="133"/>
      <c r="C128" s="151"/>
      <c r="E128" s="170" t="str">
        <f xml:space="preserve"> Inp_2019TR!E$111</f>
        <v>General and Administration (USD million)</v>
      </c>
      <c r="F128" s="170">
        <f xml:space="preserve"> Inp_2019TR!F$111</f>
        <v>0</v>
      </c>
      <c r="G128" s="170" t="str">
        <f xml:space="preserve"> Inp_2019TR!G$111</f>
        <v>$ mn</v>
      </c>
      <c r="H128" s="170">
        <f xml:space="preserve"> Inp_2019TR!H$111</f>
        <v>0</v>
      </c>
      <c r="I128" s="170" t="str">
        <f xml:space="preserve"> Inp_2019TR!I$111</f>
        <v>XXII</v>
      </c>
      <c r="J128" s="170">
        <f xml:space="preserve"> Inp_2019TR!J$111</f>
        <v>2979.0300000000007</v>
      </c>
      <c r="K128" s="170">
        <f xml:space="preserve"> Inp_2019TR!K$111</f>
        <v>0</v>
      </c>
      <c r="L128" s="170">
        <f xml:space="preserve"> Inp_2019TR!L$111</f>
        <v>0</v>
      </c>
      <c r="M128" s="170">
        <f xml:space="preserve"> Inp_2019TR!M$111</f>
        <v>0</v>
      </c>
      <c r="N128" s="170">
        <f xml:space="preserve"> Inp_2019TR!N$111</f>
        <v>0</v>
      </c>
      <c r="O128" s="170">
        <f xml:space="preserve"> Inp_2019TR!O$111</f>
        <v>0</v>
      </c>
      <c r="P128" s="170">
        <f xml:space="preserve"> Inp_2019TR!P$111</f>
        <v>0</v>
      </c>
      <c r="Q128" s="170">
        <f xml:space="preserve"> Inp_2019TR!Q$111</f>
        <v>0</v>
      </c>
      <c r="R128" s="170">
        <f xml:space="preserve"> Inp_2019TR!R$111</f>
        <v>0</v>
      </c>
      <c r="S128" s="170">
        <f xml:space="preserve"> Inp_2019TR!S$111</f>
        <v>0</v>
      </c>
      <c r="T128" s="170">
        <f xml:space="preserve"> Inp_2019TR!T$111</f>
        <v>0</v>
      </c>
      <c r="U128" s="170">
        <f xml:space="preserve"> Inp_2019TR!U$111</f>
        <v>0</v>
      </c>
      <c r="V128" s="170">
        <f xml:space="preserve"> Inp_2019TR!V$111</f>
        <v>0</v>
      </c>
      <c r="W128" s="170">
        <f xml:space="preserve"> Inp_2019TR!W$111</f>
        <v>0</v>
      </c>
      <c r="X128" s="170">
        <f xml:space="preserve"> Inp_2019TR!X$111</f>
        <v>0</v>
      </c>
      <c r="Y128" s="170">
        <f xml:space="preserve"> Inp_2019TR!Y$111</f>
        <v>268</v>
      </c>
      <c r="Z128" s="170">
        <f xml:space="preserve"> Inp_2019TR!Z$111</f>
        <v>146.01</v>
      </c>
      <c r="AA128" s="170">
        <f xml:space="preserve"> Inp_2019TR!AA$111</f>
        <v>152.34</v>
      </c>
      <c r="AB128" s="170">
        <f xml:space="preserve"> Inp_2019TR!AB$111</f>
        <v>149.09</v>
      </c>
      <c r="AC128" s="170">
        <f xml:space="preserve"> Inp_2019TR!AC$111</f>
        <v>188.63250000000002</v>
      </c>
      <c r="AD128" s="170">
        <f xml:space="preserve"> Inp_2019TR!AD$111</f>
        <v>188.63250000000002</v>
      </c>
      <c r="AE128" s="170">
        <f xml:space="preserve"> Inp_2019TR!AE$111</f>
        <v>188.63250000000002</v>
      </c>
      <c r="AF128" s="170">
        <f xml:space="preserve"> Inp_2019TR!AF$111</f>
        <v>188.63250000000002</v>
      </c>
      <c r="AG128" s="170">
        <f xml:space="preserve"> Inp_2019TR!AG$111</f>
        <v>188.63250000000002</v>
      </c>
      <c r="AH128" s="170">
        <f xml:space="preserve"> Inp_2019TR!AH$111</f>
        <v>188.63250000000002</v>
      </c>
      <c r="AI128" s="170">
        <f xml:space="preserve"> Inp_2019TR!AI$111</f>
        <v>188.63250000000002</v>
      </c>
      <c r="AJ128" s="170">
        <f xml:space="preserve"> Inp_2019TR!AJ$111</f>
        <v>188.63250000000002</v>
      </c>
      <c r="AK128" s="170">
        <f xml:space="preserve"> Inp_2019TR!AK$111</f>
        <v>188.63250000000002</v>
      </c>
      <c r="AL128" s="170">
        <f xml:space="preserve"> Inp_2019TR!AL$111</f>
        <v>188.63250000000002</v>
      </c>
      <c r="AM128" s="170">
        <f xml:space="preserve"> Inp_2019TR!AM$111</f>
        <v>188.63250000000002</v>
      </c>
      <c r="AN128" s="170">
        <f xml:space="preserve"> Inp_2019TR!AN$111</f>
        <v>188.63250000000002</v>
      </c>
      <c r="AO128" s="170">
        <f xml:space="preserve"> Inp_2019TR!AO$111</f>
        <v>0</v>
      </c>
      <c r="AP128" s="170">
        <f xml:space="preserve"> Inp_2019TR!AP$111</f>
        <v>0</v>
      </c>
      <c r="AQ128" s="170">
        <f xml:space="preserve"> Inp_2019TR!AQ$111</f>
        <v>0</v>
      </c>
      <c r="AR128" s="170">
        <f xml:space="preserve"> Inp_2019TR!AR$111</f>
        <v>0</v>
      </c>
      <c r="AS128" s="170">
        <f xml:space="preserve"> Inp_2019TR!AS$111</f>
        <v>0</v>
      </c>
      <c r="AT128" s="170">
        <f xml:space="preserve"> Inp_2019TR!AT$111</f>
        <v>0</v>
      </c>
      <c r="AU128" s="170">
        <f xml:space="preserve"> Inp_2019TR!AU$111</f>
        <v>0</v>
      </c>
      <c r="AV128" s="170">
        <f xml:space="preserve"> Inp_2019TR!AV$111</f>
        <v>0</v>
      </c>
    </row>
    <row r="129" spans="1:48" s="150" customFormat="1" ht="15" customHeight="1">
      <c r="A129" s="189"/>
      <c r="B129" s="189"/>
      <c r="C129" s="151"/>
      <c r="E129" s="200" t="s">
        <v>81</v>
      </c>
      <c r="F129" s="200"/>
      <c r="G129" s="200" t="s">
        <v>29</v>
      </c>
      <c r="H129" s="123"/>
      <c r="I129" s="200"/>
      <c r="J129" s="200">
        <f xml:space="preserve"> SUM(L129:AV129)</f>
        <v>18944.830000000002</v>
      </c>
      <c r="K129" s="200">
        <f xml:space="preserve"> InputsTS!K$418</f>
        <v>0</v>
      </c>
      <c r="L129" s="200">
        <f t="shared" ref="L129:AV129" si="76">SUM(L124:L128)</f>
        <v>0</v>
      </c>
      <c r="M129" s="200">
        <f t="shared" si="76"/>
        <v>0</v>
      </c>
      <c r="N129" s="200">
        <f t="shared" si="76"/>
        <v>0</v>
      </c>
      <c r="O129" s="200">
        <f t="shared" si="76"/>
        <v>0</v>
      </c>
      <c r="P129" s="200">
        <f t="shared" si="76"/>
        <v>0</v>
      </c>
      <c r="Q129" s="200">
        <f t="shared" si="76"/>
        <v>0</v>
      </c>
      <c r="R129" s="200">
        <f t="shared" si="76"/>
        <v>0</v>
      </c>
      <c r="S129" s="200">
        <f t="shared" si="76"/>
        <v>0</v>
      </c>
      <c r="T129" s="200">
        <f t="shared" si="76"/>
        <v>0</v>
      </c>
      <c r="U129" s="200">
        <f t="shared" si="76"/>
        <v>0</v>
      </c>
      <c r="V129" s="200">
        <f t="shared" si="76"/>
        <v>0</v>
      </c>
      <c r="W129" s="200">
        <f t="shared" si="76"/>
        <v>0</v>
      </c>
      <c r="X129" s="200">
        <f t="shared" si="76"/>
        <v>0</v>
      </c>
      <c r="Y129" s="200">
        <f t="shared" si="76"/>
        <v>1256</v>
      </c>
      <c r="Z129" s="200">
        <f t="shared" si="76"/>
        <v>1229.3399999999999</v>
      </c>
      <c r="AA129" s="200">
        <f t="shared" si="76"/>
        <v>1203.49</v>
      </c>
      <c r="AB129" s="200">
        <f t="shared" si="76"/>
        <v>1168.6200000000001</v>
      </c>
      <c r="AC129" s="200">
        <f t="shared" si="76"/>
        <v>1173.9483333333335</v>
      </c>
      <c r="AD129" s="200">
        <f t="shared" si="76"/>
        <v>1173.9483333333335</v>
      </c>
      <c r="AE129" s="200">
        <f t="shared" si="76"/>
        <v>1173.9483333333335</v>
      </c>
      <c r="AF129" s="200">
        <f t="shared" si="76"/>
        <v>1173.9483333333335</v>
      </c>
      <c r="AG129" s="200">
        <f t="shared" si="76"/>
        <v>1173.9483333333335</v>
      </c>
      <c r="AH129" s="200">
        <f t="shared" si="76"/>
        <v>1173.9483333333335</v>
      </c>
      <c r="AI129" s="200">
        <f t="shared" si="76"/>
        <v>1173.9483333333335</v>
      </c>
      <c r="AJ129" s="200">
        <f t="shared" si="76"/>
        <v>1173.9483333333335</v>
      </c>
      <c r="AK129" s="200">
        <f t="shared" si="76"/>
        <v>1173.9483333333335</v>
      </c>
      <c r="AL129" s="200">
        <f t="shared" si="76"/>
        <v>1173.9483333333335</v>
      </c>
      <c r="AM129" s="200">
        <f t="shared" si="76"/>
        <v>1173.9483333333335</v>
      </c>
      <c r="AN129" s="200">
        <f t="shared" si="76"/>
        <v>1173.9483333333335</v>
      </c>
      <c r="AO129" s="200">
        <f t="shared" si="76"/>
        <v>0</v>
      </c>
      <c r="AP129" s="200">
        <f t="shared" si="76"/>
        <v>0</v>
      </c>
      <c r="AQ129" s="200">
        <f t="shared" si="76"/>
        <v>0</v>
      </c>
      <c r="AR129" s="200">
        <f t="shared" si="76"/>
        <v>0</v>
      </c>
      <c r="AS129" s="200">
        <f t="shared" si="76"/>
        <v>0</v>
      </c>
      <c r="AT129" s="200">
        <f t="shared" si="76"/>
        <v>0</v>
      </c>
      <c r="AU129" s="200">
        <f t="shared" si="76"/>
        <v>0</v>
      </c>
      <c r="AV129" s="200">
        <f t="shared" si="76"/>
        <v>0</v>
      </c>
    </row>
    <row r="130" spans="1:48" s="123" customFormat="1" ht="15" customHeight="1">
      <c r="A130" s="134"/>
      <c r="B130" s="134"/>
      <c r="C130" s="151"/>
    </row>
    <row r="131" spans="1:48" s="123" customFormat="1" ht="15" customHeight="1">
      <c r="A131" s="134"/>
      <c r="B131" s="134"/>
      <c r="C131" s="151" t="s">
        <v>82</v>
      </c>
    </row>
    <row r="132" spans="1:48" s="123" customFormat="1" ht="15" customHeight="1">
      <c r="A132" s="134"/>
      <c r="B132" s="134"/>
      <c r="C132" s="151"/>
      <c r="E132" s="123" t="str">
        <f t="shared" ref="E132:AV132" si="77" xml:space="preserve"> E$27</f>
        <v>Copper produced: history + forecast 2019TR</v>
      </c>
      <c r="F132" s="123">
        <f t="shared" si="77"/>
        <v>0</v>
      </c>
      <c r="G132" s="123" t="str">
        <f t="shared" si="77"/>
        <v>KT Cu</v>
      </c>
      <c r="H132" s="123">
        <f t="shared" si="77"/>
        <v>0</v>
      </c>
      <c r="I132" s="123">
        <f t="shared" si="77"/>
        <v>0</v>
      </c>
      <c r="J132" s="123">
        <f t="shared" si="77"/>
        <v>4238.596224607958</v>
      </c>
      <c r="K132" s="123">
        <f t="shared" si="77"/>
        <v>0</v>
      </c>
      <c r="L132" s="123">
        <f t="shared" si="77"/>
        <v>0</v>
      </c>
      <c r="M132" s="123">
        <f t="shared" si="77"/>
        <v>0</v>
      </c>
      <c r="N132" s="123">
        <f t="shared" si="77"/>
        <v>22.12</v>
      </c>
      <c r="O132" s="123">
        <f t="shared" si="77"/>
        <v>41.96</v>
      </c>
      <c r="P132" s="123">
        <f t="shared" si="77"/>
        <v>52.18</v>
      </c>
      <c r="Q132" s="123">
        <f t="shared" si="77"/>
        <v>57.61</v>
      </c>
      <c r="R132" s="123">
        <f t="shared" si="77"/>
        <v>61.44</v>
      </c>
      <c r="S132" s="123">
        <f t="shared" si="77"/>
        <v>87.48</v>
      </c>
      <c r="T132" s="123">
        <f t="shared" si="77"/>
        <v>157.02000000000001</v>
      </c>
      <c r="U132" s="123">
        <f t="shared" si="77"/>
        <v>106.8</v>
      </c>
      <c r="V132" s="123">
        <f t="shared" si="77"/>
        <v>0</v>
      </c>
      <c r="W132" s="123">
        <f t="shared" si="77"/>
        <v>2.2000000000000002</v>
      </c>
      <c r="X132" s="123">
        <f t="shared" si="77"/>
        <v>152.4</v>
      </c>
      <c r="Y132" s="123">
        <f t="shared" si="77"/>
        <v>245.34750146284372</v>
      </c>
      <c r="Z132" s="123">
        <f t="shared" si="77"/>
        <v>285.22065868263473</v>
      </c>
      <c r="AA132" s="123">
        <f t="shared" si="77"/>
        <v>299.81725954441509</v>
      </c>
      <c r="AB132" s="123">
        <f t="shared" si="77"/>
        <v>296.21784962905542</v>
      </c>
      <c r="AC132" s="123">
        <f t="shared" si="77"/>
        <v>296.94263218962374</v>
      </c>
      <c r="AD132" s="123">
        <f t="shared" si="77"/>
        <v>299.65871148149176</v>
      </c>
      <c r="AE132" s="123">
        <f t="shared" si="77"/>
        <v>299.661427509703</v>
      </c>
      <c r="AF132" s="123">
        <f t="shared" si="77"/>
        <v>299.8001332001333</v>
      </c>
      <c r="AG132" s="123">
        <f t="shared" si="77"/>
        <v>299.33496619749531</v>
      </c>
      <c r="AH132" s="123">
        <f t="shared" si="77"/>
        <v>301.73374896093094</v>
      </c>
      <c r="AI132" s="123">
        <f t="shared" si="77"/>
        <v>180.26167412958054</v>
      </c>
      <c r="AJ132" s="123">
        <f t="shared" si="77"/>
        <v>97.319636963696368</v>
      </c>
      <c r="AK132" s="123">
        <f t="shared" si="77"/>
        <v>99.578759627077432</v>
      </c>
      <c r="AL132" s="123">
        <f t="shared" si="77"/>
        <v>103.19999999999999</v>
      </c>
      <c r="AM132" s="123">
        <f t="shared" si="77"/>
        <v>70.426277019683624</v>
      </c>
      <c r="AN132" s="123">
        <f t="shared" si="77"/>
        <v>22.864988009592331</v>
      </c>
      <c r="AO132" s="123">
        <f t="shared" si="77"/>
        <v>0</v>
      </c>
      <c r="AP132" s="123">
        <f t="shared" si="77"/>
        <v>0</v>
      </c>
      <c r="AQ132" s="123">
        <f t="shared" si="77"/>
        <v>0</v>
      </c>
      <c r="AR132" s="123">
        <f t="shared" si="77"/>
        <v>0</v>
      </c>
      <c r="AS132" s="123">
        <f t="shared" si="77"/>
        <v>0</v>
      </c>
      <c r="AT132" s="123">
        <f t="shared" si="77"/>
        <v>0</v>
      </c>
      <c r="AU132" s="123">
        <f t="shared" si="77"/>
        <v>0</v>
      </c>
      <c r="AV132" s="123">
        <f t="shared" si="77"/>
        <v>0</v>
      </c>
    </row>
    <row r="133" spans="1:48" s="123" customFormat="1" ht="15" customHeight="1">
      <c r="A133" s="134"/>
      <c r="B133" s="134"/>
      <c r="C133" s="151"/>
    </row>
    <row r="134" spans="1:48" s="123" customFormat="1" ht="15" customHeight="1">
      <c r="A134" s="134"/>
      <c r="B134" s="134"/>
      <c r="C134" s="151"/>
      <c r="E134" s="123" t="str">
        <f xml:space="preserve"> LEFT(E124, LEN(E124) - 13) &amp; ": unit cost"</f>
        <v>Mining : unit cost</v>
      </c>
      <c r="G134" s="123" t="s">
        <v>83</v>
      </c>
      <c r="J134" s="123">
        <f xml:space="preserve"> IFERROR(J124 / J$132 * 10^3, 0)</f>
        <v>1130.2326869889803</v>
      </c>
      <c r="L134" s="123">
        <f t="shared" ref="L134:AV134" si="78" xml:space="preserve"> IFERROR(L124 / L$132 * 10^3, 0)</f>
        <v>0</v>
      </c>
      <c r="M134" s="123">
        <f t="shared" si="78"/>
        <v>0</v>
      </c>
      <c r="N134" s="123">
        <f t="shared" si="78"/>
        <v>0</v>
      </c>
      <c r="O134" s="123">
        <f t="shared" si="78"/>
        <v>0</v>
      </c>
      <c r="P134" s="123">
        <f t="shared" si="78"/>
        <v>0</v>
      </c>
      <c r="Q134" s="123">
        <f t="shared" si="78"/>
        <v>0</v>
      </c>
      <c r="R134" s="123">
        <f t="shared" si="78"/>
        <v>0</v>
      </c>
      <c r="S134" s="123">
        <f t="shared" si="78"/>
        <v>0</v>
      </c>
      <c r="T134" s="123">
        <f t="shared" si="78"/>
        <v>0</v>
      </c>
      <c r="U134" s="123">
        <f t="shared" si="78"/>
        <v>0</v>
      </c>
      <c r="V134" s="123">
        <f t="shared" si="78"/>
        <v>0</v>
      </c>
      <c r="W134" s="123">
        <f t="shared" si="78"/>
        <v>0</v>
      </c>
      <c r="X134" s="123">
        <f t="shared" si="78"/>
        <v>0</v>
      </c>
      <c r="Y134" s="123">
        <f t="shared" si="78"/>
        <v>814.39590298929511</v>
      </c>
      <c r="Z134" s="123">
        <f t="shared" si="78"/>
        <v>927.3872419400044</v>
      </c>
      <c r="AA134" s="123">
        <f t="shared" si="78"/>
        <v>769.40200290846485</v>
      </c>
      <c r="AB134" s="123">
        <f t="shared" si="78"/>
        <v>802.01108845230522</v>
      </c>
      <c r="AC134" s="123">
        <f t="shared" si="78"/>
        <v>1082.7091335093057</v>
      </c>
      <c r="AD134" s="123">
        <f t="shared" si="78"/>
        <v>1072.8955564499163</v>
      </c>
      <c r="AE134" s="123">
        <f t="shared" si="78"/>
        <v>1072.8858320932538</v>
      </c>
      <c r="AF134" s="123">
        <f t="shared" si="78"/>
        <v>1072.3894501587135</v>
      </c>
      <c r="AG134" s="123">
        <f t="shared" si="78"/>
        <v>1074.0559450307551</v>
      </c>
      <c r="AH134" s="123">
        <f t="shared" si="78"/>
        <v>1065.5172021928138</v>
      </c>
      <c r="AI134" s="123">
        <f t="shared" si="78"/>
        <v>1783.5321986907152</v>
      </c>
      <c r="AJ134" s="123">
        <f t="shared" si="78"/>
        <v>3303.5727426719823</v>
      </c>
      <c r="AK134" s="123">
        <f t="shared" si="78"/>
        <v>3228.6252731408508</v>
      </c>
      <c r="AL134" s="123">
        <f t="shared" si="78"/>
        <v>3115.3343023255816</v>
      </c>
      <c r="AM134" s="123">
        <f t="shared" si="78"/>
        <v>4565.0929398148146</v>
      </c>
      <c r="AN134" s="123">
        <f t="shared" si="78"/>
        <v>14060.908313843118</v>
      </c>
      <c r="AO134" s="123">
        <f t="shared" si="78"/>
        <v>0</v>
      </c>
      <c r="AP134" s="123">
        <f t="shared" si="78"/>
        <v>0</v>
      </c>
      <c r="AQ134" s="123">
        <f t="shared" si="78"/>
        <v>0</v>
      </c>
      <c r="AR134" s="123">
        <f t="shared" si="78"/>
        <v>0</v>
      </c>
      <c r="AS134" s="123">
        <f t="shared" si="78"/>
        <v>0</v>
      </c>
      <c r="AT134" s="123">
        <f t="shared" si="78"/>
        <v>0</v>
      </c>
      <c r="AU134" s="123">
        <f t="shared" si="78"/>
        <v>0</v>
      </c>
      <c r="AV134" s="123">
        <f t="shared" si="78"/>
        <v>0</v>
      </c>
    </row>
    <row r="135" spans="1:48" s="123" customFormat="1" ht="15" customHeight="1">
      <c r="A135" s="134"/>
      <c r="B135" s="134"/>
      <c r="C135" s="151"/>
      <c r="E135" s="123" t="str">
        <f t="shared" ref="E135:E138" si="79" xml:space="preserve"> LEFT(E125, LEN(E125) - 13) &amp; ": unit cost"</f>
        <v>KTC and Luilu : unit cost</v>
      </c>
      <c r="G135" s="123" t="s">
        <v>83</v>
      </c>
      <c r="J135" s="123">
        <f t="shared" ref="J135:J139" si="80" xml:space="preserve"> IFERROR(J125 / J$132 * 10^3, 0)</f>
        <v>2284.4544483346262</v>
      </c>
      <c r="L135" s="123">
        <f t="shared" ref="L135:AV135" si="81" xml:space="preserve"> IFERROR(L125 / L$132 * 10^3, 0)</f>
        <v>0</v>
      </c>
      <c r="M135" s="123">
        <f t="shared" si="81"/>
        <v>0</v>
      </c>
      <c r="N135" s="123">
        <f t="shared" si="81"/>
        <v>0</v>
      </c>
      <c r="O135" s="123">
        <f t="shared" si="81"/>
        <v>0</v>
      </c>
      <c r="P135" s="123">
        <f t="shared" si="81"/>
        <v>0</v>
      </c>
      <c r="Q135" s="123">
        <f t="shared" si="81"/>
        <v>0</v>
      </c>
      <c r="R135" s="123">
        <f t="shared" si="81"/>
        <v>0</v>
      </c>
      <c r="S135" s="123">
        <f t="shared" si="81"/>
        <v>0</v>
      </c>
      <c r="T135" s="123">
        <f t="shared" si="81"/>
        <v>0</v>
      </c>
      <c r="U135" s="123">
        <f t="shared" si="81"/>
        <v>0</v>
      </c>
      <c r="V135" s="123">
        <f t="shared" si="81"/>
        <v>0</v>
      </c>
      <c r="W135" s="123">
        <f t="shared" si="81"/>
        <v>0</v>
      </c>
      <c r="X135" s="123">
        <f t="shared" si="81"/>
        <v>0</v>
      </c>
      <c r="Y135" s="123">
        <f t="shared" si="81"/>
        <v>2804.6749850607762</v>
      </c>
      <c r="Z135" s="123">
        <f t="shared" si="81"/>
        <v>2525.9039907120973</v>
      </c>
      <c r="AA135" s="123">
        <f t="shared" si="81"/>
        <v>2426.3779913985645</v>
      </c>
      <c r="AB135" s="123">
        <f t="shared" si="81"/>
        <v>2323.8640104302449</v>
      </c>
      <c r="AC135" s="123">
        <f t="shared" si="81"/>
        <v>1924.7488842727773</v>
      </c>
      <c r="AD135" s="123">
        <f t="shared" si="81"/>
        <v>1907.3031355382464</v>
      </c>
      <c r="AE135" s="123">
        <f t="shared" si="81"/>
        <v>1907.285848398001</v>
      </c>
      <c r="AF135" s="123">
        <f t="shared" si="81"/>
        <v>1906.4034225043692</v>
      </c>
      <c r="AG135" s="123">
        <f t="shared" si="81"/>
        <v>1909.3659763854957</v>
      </c>
      <c r="AH135" s="123">
        <f t="shared" si="81"/>
        <v>1894.186520295428</v>
      </c>
      <c r="AI135" s="123">
        <f t="shared" si="81"/>
        <v>3170.6129589651446</v>
      </c>
      <c r="AJ135" s="123">
        <f t="shared" si="81"/>
        <v>5872.8127008242373</v>
      </c>
      <c r="AK135" s="123">
        <f t="shared" si="81"/>
        <v>5739.5774173168847</v>
      </c>
      <c r="AL135" s="123">
        <f t="shared" si="81"/>
        <v>5538.1782945736441</v>
      </c>
      <c r="AM135" s="123">
        <f t="shared" si="81"/>
        <v>8115.436796982166</v>
      </c>
      <c r="AN135" s="123">
        <f t="shared" si="81"/>
        <v>24996.295635940296</v>
      </c>
      <c r="AO135" s="123">
        <f t="shared" si="81"/>
        <v>0</v>
      </c>
      <c r="AP135" s="123">
        <f t="shared" si="81"/>
        <v>0</v>
      </c>
      <c r="AQ135" s="123">
        <f t="shared" si="81"/>
        <v>0</v>
      </c>
      <c r="AR135" s="123">
        <f t="shared" si="81"/>
        <v>0</v>
      </c>
      <c r="AS135" s="123">
        <f t="shared" si="81"/>
        <v>0</v>
      </c>
      <c r="AT135" s="123">
        <f t="shared" si="81"/>
        <v>0</v>
      </c>
      <c r="AU135" s="123">
        <f t="shared" si="81"/>
        <v>0</v>
      </c>
      <c r="AV135" s="123">
        <f t="shared" si="81"/>
        <v>0</v>
      </c>
    </row>
    <row r="136" spans="1:48" s="123" customFormat="1" ht="15" customHeight="1">
      <c r="A136" s="134"/>
      <c r="B136" s="134"/>
      <c r="C136" s="151"/>
      <c r="E136" s="123" t="str">
        <f t="shared" si="79"/>
        <v>Technical Services : unit cost</v>
      </c>
      <c r="G136" s="123" t="s">
        <v>83</v>
      </c>
      <c r="J136" s="123">
        <f t="shared" si="80"/>
        <v>152.26267514068141</v>
      </c>
      <c r="L136" s="123">
        <f t="shared" ref="L136:AV136" si="82" xml:space="preserve"> IFERROR(L126 / L$132 * 10^3, 0)</f>
        <v>0</v>
      </c>
      <c r="M136" s="123">
        <f t="shared" si="82"/>
        <v>0</v>
      </c>
      <c r="N136" s="123">
        <f t="shared" si="82"/>
        <v>0</v>
      </c>
      <c r="O136" s="123">
        <f t="shared" si="82"/>
        <v>0</v>
      </c>
      <c r="P136" s="123">
        <f t="shared" si="82"/>
        <v>0</v>
      </c>
      <c r="Q136" s="123">
        <f t="shared" si="82"/>
        <v>0</v>
      </c>
      <c r="R136" s="123">
        <f t="shared" si="82"/>
        <v>0</v>
      </c>
      <c r="S136" s="123">
        <f t="shared" si="82"/>
        <v>0</v>
      </c>
      <c r="T136" s="123">
        <f t="shared" si="82"/>
        <v>0</v>
      </c>
      <c r="U136" s="123">
        <f t="shared" si="82"/>
        <v>0</v>
      </c>
      <c r="V136" s="123">
        <f t="shared" si="82"/>
        <v>0</v>
      </c>
      <c r="W136" s="123">
        <f t="shared" si="82"/>
        <v>0</v>
      </c>
      <c r="X136" s="123">
        <f t="shared" si="82"/>
        <v>0</v>
      </c>
      <c r="Y136" s="123">
        <f t="shared" si="82"/>
        <v>94.029895810835484</v>
      </c>
      <c r="Z136" s="123">
        <f t="shared" si="82"/>
        <v>136.87648075814818</v>
      </c>
      <c r="AA136" s="123">
        <f t="shared" si="82"/>
        <v>142.21996447033527</v>
      </c>
      <c r="AB136" s="123">
        <f t="shared" si="82"/>
        <v>143.94811134236767</v>
      </c>
      <c r="AC136" s="123">
        <f t="shared" si="82"/>
        <v>139.75482860327659</v>
      </c>
      <c r="AD136" s="123">
        <f t="shared" si="82"/>
        <v>138.4881035545327</v>
      </c>
      <c r="AE136" s="123">
        <f t="shared" si="82"/>
        <v>138.48684834594846</v>
      </c>
      <c r="AF136" s="123">
        <f t="shared" si="82"/>
        <v>138.42277594641249</v>
      </c>
      <c r="AG136" s="123">
        <f t="shared" si="82"/>
        <v>138.63788515534245</v>
      </c>
      <c r="AH136" s="123">
        <f t="shared" si="82"/>
        <v>137.53571421684109</v>
      </c>
      <c r="AI136" s="123">
        <f t="shared" si="82"/>
        <v>230.21625016549618</v>
      </c>
      <c r="AJ136" s="123">
        <f t="shared" si="82"/>
        <v>426.42130572422207</v>
      </c>
      <c r="AK136" s="123">
        <f t="shared" si="82"/>
        <v>416.74717401663861</v>
      </c>
      <c r="AL136" s="123">
        <f t="shared" si="82"/>
        <v>402.12370801033597</v>
      </c>
      <c r="AM136" s="123">
        <f t="shared" si="82"/>
        <v>589.25685728166434</v>
      </c>
      <c r="AN136" s="123">
        <f t="shared" si="82"/>
        <v>1814.9655993371575</v>
      </c>
      <c r="AO136" s="123">
        <f t="shared" si="82"/>
        <v>0</v>
      </c>
      <c r="AP136" s="123">
        <f t="shared" si="82"/>
        <v>0</v>
      </c>
      <c r="AQ136" s="123">
        <f t="shared" si="82"/>
        <v>0</v>
      </c>
      <c r="AR136" s="123">
        <f t="shared" si="82"/>
        <v>0</v>
      </c>
      <c r="AS136" s="123">
        <f t="shared" si="82"/>
        <v>0</v>
      </c>
      <c r="AT136" s="123">
        <f t="shared" si="82"/>
        <v>0</v>
      </c>
      <c r="AU136" s="123">
        <f t="shared" si="82"/>
        <v>0</v>
      </c>
      <c r="AV136" s="123">
        <f t="shared" si="82"/>
        <v>0</v>
      </c>
    </row>
    <row r="137" spans="1:48" s="123" customFormat="1" ht="15" customHeight="1">
      <c r="A137" s="134"/>
      <c r="B137" s="134"/>
      <c r="C137" s="151"/>
      <c r="E137" s="123" t="str">
        <f t="shared" si="79"/>
        <v>Engineering : unit cost</v>
      </c>
      <c r="G137" s="123" t="s">
        <v>83</v>
      </c>
      <c r="J137" s="123">
        <f t="shared" si="80"/>
        <v>199.81615495312636</v>
      </c>
      <c r="L137" s="123">
        <f t="shared" ref="L137:AV137" si="83" xml:space="preserve"> IFERROR(L127 / L$132 * 10^3, 0)</f>
        <v>0</v>
      </c>
      <c r="M137" s="123">
        <f t="shared" si="83"/>
        <v>0</v>
      </c>
      <c r="N137" s="123">
        <f t="shared" si="83"/>
        <v>0</v>
      </c>
      <c r="O137" s="123">
        <f t="shared" si="83"/>
        <v>0</v>
      </c>
      <c r="P137" s="123">
        <f t="shared" si="83"/>
        <v>0</v>
      </c>
      <c r="Q137" s="123">
        <f t="shared" si="83"/>
        <v>0</v>
      </c>
      <c r="R137" s="123">
        <f t="shared" si="83"/>
        <v>0</v>
      </c>
      <c r="S137" s="123">
        <f t="shared" si="83"/>
        <v>0</v>
      </c>
      <c r="T137" s="123">
        <f t="shared" si="83"/>
        <v>0</v>
      </c>
      <c r="U137" s="123">
        <f t="shared" si="83"/>
        <v>0</v>
      </c>
      <c r="V137" s="123">
        <f t="shared" si="83"/>
        <v>0</v>
      </c>
      <c r="W137" s="123">
        <f t="shared" si="83"/>
        <v>0</v>
      </c>
      <c r="X137" s="123">
        <f t="shared" si="83"/>
        <v>0</v>
      </c>
      <c r="Y137" s="123">
        <f t="shared" si="83"/>
        <v>313.84057119351246</v>
      </c>
      <c r="Z137" s="123">
        <f t="shared" si="83"/>
        <v>208.04944590646807</v>
      </c>
      <c r="AA137" s="123">
        <f t="shared" si="83"/>
        <v>167.96898242791002</v>
      </c>
      <c r="AB137" s="123">
        <f t="shared" si="83"/>
        <v>172.00178876392201</v>
      </c>
      <c r="AC137" s="123">
        <f t="shared" si="83"/>
        <v>170.98981810817565</v>
      </c>
      <c r="AD137" s="123">
        <f t="shared" si="83"/>
        <v>169.4399819569494</v>
      </c>
      <c r="AE137" s="123">
        <f t="shared" si="83"/>
        <v>169.43844621117481</v>
      </c>
      <c r="AF137" s="123">
        <f t="shared" si="83"/>
        <v>169.36005372876895</v>
      </c>
      <c r="AG137" s="123">
        <f t="shared" si="83"/>
        <v>169.62323951544931</v>
      </c>
      <c r="AH137" s="123">
        <f t="shared" si="83"/>
        <v>168.27473506532078</v>
      </c>
      <c r="AI137" s="123">
        <f t="shared" si="83"/>
        <v>281.66922842493858</v>
      </c>
      <c r="AJ137" s="123">
        <f t="shared" si="83"/>
        <v>521.72581249565496</v>
      </c>
      <c r="AK137" s="123">
        <f t="shared" si="83"/>
        <v>509.88952721259005</v>
      </c>
      <c r="AL137" s="123">
        <f t="shared" si="83"/>
        <v>491.99773901808788</v>
      </c>
      <c r="AM137" s="123">
        <f t="shared" si="83"/>
        <v>720.95485968221294</v>
      </c>
      <c r="AN137" s="123">
        <f t="shared" si="83"/>
        <v>2220.6076226834612</v>
      </c>
      <c r="AO137" s="123">
        <f t="shared" si="83"/>
        <v>0</v>
      </c>
      <c r="AP137" s="123">
        <f t="shared" si="83"/>
        <v>0</v>
      </c>
      <c r="AQ137" s="123">
        <f t="shared" si="83"/>
        <v>0</v>
      </c>
      <c r="AR137" s="123">
        <f t="shared" si="83"/>
        <v>0</v>
      </c>
      <c r="AS137" s="123">
        <f t="shared" si="83"/>
        <v>0</v>
      </c>
      <c r="AT137" s="123">
        <f t="shared" si="83"/>
        <v>0</v>
      </c>
      <c r="AU137" s="123">
        <f t="shared" si="83"/>
        <v>0</v>
      </c>
      <c r="AV137" s="123">
        <f t="shared" si="83"/>
        <v>0</v>
      </c>
    </row>
    <row r="138" spans="1:48" s="123" customFormat="1" ht="15" customHeight="1">
      <c r="A138" s="134"/>
      <c r="B138" s="134"/>
      <c r="C138" s="151"/>
      <c r="E138" s="123" t="str">
        <f t="shared" si="79"/>
        <v>General and Administration : unit cost</v>
      </c>
      <c r="G138" s="123" t="s">
        <v>83</v>
      </c>
      <c r="J138" s="123">
        <f t="shared" si="80"/>
        <v>702.83410877985693</v>
      </c>
      <c r="L138" s="123">
        <f t="shared" ref="L138:AV138" si="84" xml:space="preserve"> IFERROR(L128 / L$132 * 10^3, 0)</f>
        <v>0</v>
      </c>
      <c r="M138" s="123">
        <f t="shared" si="84"/>
        <v>0</v>
      </c>
      <c r="N138" s="123">
        <f t="shared" si="84"/>
        <v>0</v>
      </c>
      <c r="O138" s="123">
        <f t="shared" si="84"/>
        <v>0</v>
      </c>
      <c r="P138" s="123">
        <f t="shared" si="84"/>
        <v>0</v>
      </c>
      <c r="Q138" s="123">
        <f t="shared" si="84"/>
        <v>0</v>
      </c>
      <c r="R138" s="123">
        <f t="shared" si="84"/>
        <v>0</v>
      </c>
      <c r="S138" s="123">
        <f t="shared" si="84"/>
        <v>0</v>
      </c>
      <c r="T138" s="123">
        <f t="shared" si="84"/>
        <v>0</v>
      </c>
      <c r="U138" s="123">
        <f t="shared" si="84"/>
        <v>0</v>
      </c>
      <c r="V138" s="123">
        <f t="shared" si="84"/>
        <v>0</v>
      </c>
      <c r="W138" s="123">
        <f t="shared" si="84"/>
        <v>0</v>
      </c>
      <c r="X138" s="123">
        <f t="shared" si="84"/>
        <v>0</v>
      </c>
      <c r="Y138" s="123">
        <f t="shared" si="84"/>
        <v>1092.3282218163811</v>
      </c>
      <c r="Z138" s="123">
        <f t="shared" si="84"/>
        <v>511.91944045843275</v>
      </c>
      <c r="AA138" s="123">
        <f t="shared" si="84"/>
        <v>508.10950720944822</v>
      </c>
      <c r="AB138" s="123">
        <f t="shared" si="84"/>
        <v>503.31200562930576</v>
      </c>
      <c r="AC138" s="123">
        <f t="shared" si="84"/>
        <v>635.24896579869255</v>
      </c>
      <c r="AD138" s="123">
        <f t="shared" si="84"/>
        <v>629.49112698047099</v>
      </c>
      <c r="AE138" s="123">
        <f t="shared" si="84"/>
        <v>629.48542148919762</v>
      </c>
      <c r="AF138" s="123">
        <f t="shared" si="84"/>
        <v>629.19418342645406</v>
      </c>
      <c r="AG138" s="123">
        <f t="shared" si="84"/>
        <v>630.17195216526761</v>
      </c>
      <c r="AH138" s="123">
        <f t="shared" si="84"/>
        <v>625.16208627502419</v>
      </c>
      <c r="AI138" s="123">
        <f t="shared" si="84"/>
        <v>1046.4370804877919</v>
      </c>
      <c r="AJ138" s="123">
        <f t="shared" si="84"/>
        <v>1938.2778839420307</v>
      </c>
      <c r="AK138" s="123">
        <f t="shared" si="84"/>
        <v>1894.3045756587946</v>
      </c>
      <c r="AL138" s="123">
        <f t="shared" si="84"/>
        <v>1827.8343023255818</v>
      </c>
      <c r="AM138" s="123">
        <f t="shared" si="84"/>
        <v>2678.4391846707817</v>
      </c>
      <c r="AN138" s="123">
        <f t="shared" si="84"/>
        <v>8249.840320093972</v>
      </c>
      <c r="AO138" s="123">
        <f t="shared" si="84"/>
        <v>0</v>
      </c>
      <c r="AP138" s="123">
        <f t="shared" si="84"/>
        <v>0</v>
      </c>
      <c r="AQ138" s="123">
        <f t="shared" si="84"/>
        <v>0</v>
      </c>
      <c r="AR138" s="123">
        <f t="shared" si="84"/>
        <v>0</v>
      </c>
      <c r="AS138" s="123">
        <f t="shared" si="84"/>
        <v>0</v>
      </c>
      <c r="AT138" s="123">
        <f t="shared" si="84"/>
        <v>0</v>
      </c>
      <c r="AU138" s="123">
        <f t="shared" si="84"/>
        <v>0</v>
      </c>
      <c r="AV138" s="123">
        <f t="shared" si="84"/>
        <v>0</v>
      </c>
    </row>
    <row r="139" spans="1:48" s="214" customFormat="1" ht="15" customHeight="1">
      <c r="A139" s="212"/>
      <c r="B139" s="212"/>
      <c r="C139" s="216"/>
      <c r="E139" s="215" t="s">
        <v>84</v>
      </c>
      <c r="F139" s="215"/>
      <c r="G139" s="156" t="s">
        <v>83</v>
      </c>
      <c r="H139" s="156"/>
      <c r="I139" s="215"/>
      <c r="J139" s="156">
        <f t="shared" si="80"/>
        <v>4469.6000741972712</v>
      </c>
      <c r="K139" s="215">
        <f xml:space="preserve"> InputsTS!K$418</f>
        <v>0</v>
      </c>
      <c r="L139" s="215">
        <f t="shared" ref="L139:AV139" si="85">SUM(L134:L138)</f>
        <v>0</v>
      </c>
      <c r="M139" s="215">
        <f t="shared" si="85"/>
        <v>0</v>
      </c>
      <c r="N139" s="215">
        <f t="shared" si="85"/>
        <v>0</v>
      </c>
      <c r="O139" s="215">
        <f t="shared" si="85"/>
        <v>0</v>
      </c>
      <c r="P139" s="215">
        <f t="shared" si="85"/>
        <v>0</v>
      </c>
      <c r="Q139" s="215">
        <f t="shared" si="85"/>
        <v>0</v>
      </c>
      <c r="R139" s="215">
        <f t="shared" si="85"/>
        <v>0</v>
      </c>
      <c r="S139" s="215">
        <f t="shared" si="85"/>
        <v>0</v>
      </c>
      <c r="T139" s="215">
        <f t="shared" si="85"/>
        <v>0</v>
      </c>
      <c r="U139" s="215">
        <f t="shared" si="85"/>
        <v>0</v>
      </c>
      <c r="V139" s="215">
        <f t="shared" si="85"/>
        <v>0</v>
      </c>
      <c r="W139" s="215">
        <f t="shared" si="85"/>
        <v>0</v>
      </c>
      <c r="X139" s="215">
        <f t="shared" si="85"/>
        <v>0</v>
      </c>
      <c r="Y139" s="215">
        <f t="shared" si="85"/>
        <v>5119.2695768708008</v>
      </c>
      <c r="Z139" s="215">
        <f t="shared" si="85"/>
        <v>4310.1365997751509</v>
      </c>
      <c r="AA139" s="215">
        <f t="shared" si="85"/>
        <v>4014.0784484147225</v>
      </c>
      <c r="AB139" s="215">
        <f t="shared" si="85"/>
        <v>3945.1370046181455</v>
      </c>
      <c r="AC139" s="215">
        <f t="shared" si="85"/>
        <v>3953.4516302922279</v>
      </c>
      <c r="AD139" s="215">
        <f t="shared" si="85"/>
        <v>3917.6179044801161</v>
      </c>
      <c r="AE139" s="215">
        <f t="shared" si="85"/>
        <v>3917.5823965375757</v>
      </c>
      <c r="AF139" s="215">
        <f t="shared" si="85"/>
        <v>3915.7698857647179</v>
      </c>
      <c r="AG139" s="215">
        <f t="shared" si="85"/>
        <v>3921.85499825231</v>
      </c>
      <c r="AH139" s="215">
        <f t="shared" si="85"/>
        <v>3890.6762580454274</v>
      </c>
      <c r="AI139" s="215">
        <f t="shared" si="85"/>
        <v>6512.467716734086</v>
      </c>
      <c r="AJ139" s="215">
        <f t="shared" si="85"/>
        <v>12062.810445658128</v>
      </c>
      <c r="AK139" s="215">
        <f t="shared" si="85"/>
        <v>11789.143967345759</v>
      </c>
      <c r="AL139" s="215">
        <f t="shared" si="85"/>
        <v>11375.468346253232</v>
      </c>
      <c r="AM139" s="215">
        <f t="shared" si="85"/>
        <v>16669.180638431637</v>
      </c>
      <c r="AN139" s="215">
        <f t="shared" si="85"/>
        <v>51342.617491898003</v>
      </c>
      <c r="AO139" s="215">
        <f t="shared" si="85"/>
        <v>0</v>
      </c>
      <c r="AP139" s="215">
        <f t="shared" si="85"/>
        <v>0</v>
      </c>
      <c r="AQ139" s="215">
        <f t="shared" si="85"/>
        <v>0</v>
      </c>
      <c r="AR139" s="215">
        <f t="shared" si="85"/>
        <v>0</v>
      </c>
      <c r="AS139" s="215">
        <f t="shared" si="85"/>
        <v>0</v>
      </c>
      <c r="AT139" s="215">
        <f t="shared" si="85"/>
        <v>0</v>
      </c>
      <c r="AU139" s="215">
        <f t="shared" si="85"/>
        <v>0</v>
      </c>
      <c r="AV139" s="215">
        <f t="shared" si="85"/>
        <v>0</v>
      </c>
    </row>
    <row r="140" spans="1:48" s="123" customFormat="1" ht="15" customHeight="1">
      <c r="A140" s="134"/>
      <c r="B140" s="134"/>
      <c r="C140" s="151"/>
    </row>
    <row r="141" spans="1:48" s="123" customFormat="1" ht="15" customHeight="1">
      <c r="A141" s="134"/>
      <c r="B141" s="134"/>
      <c r="C141" s="151" t="s">
        <v>85</v>
      </c>
      <c r="I141" s="136"/>
    </row>
    <row r="142" spans="1:48" s="123" customFormat="1" ht="15" customHeight="1">
      <c r="A142" s="134"/>
      <c r="B142" s="134"/>
      <c r="C142" s="151"/>
      <c r="E142" s="123" t="s">
        <v>86</v>
      </c>
      <c r="F142" s="123">
        <f xml:space="preserve"> $Y$139</f>
        <v>5119.2695768708008</v>
      </c>
      <c r="G142" s="123" t="str">
        <f xml:space="preserve"> G139</f>
        <v>$ t Cu</v>
      </c>
    </row>
    <row r="143" spans="1:48" s="123" customFormat="1" ht="15" customHeight="1">
      <c r="A143" s="134"/>
      <c r="B143" s="134"/>
      <c r="C143" s="151"/>
      <c r="E143" s="123" t="s">
        <v>87</v>
      </c>
      <c r="G143" s="123" t="s">
        <v>29</v>
      </c>
      <c r="J143" s="123">
        <f xml:space="preserve"> SUM(L143:AV143)</f>
        <v>3794.4538030724061</v>
      </c>
      <c r="L143" s="123">
        <f t="shared" ref="L143:AV143" si="86" xml:space="preserve"> L132 * $F142 / 10^3 * (L139 = 0)</f>
        <v>0</v>
      </c>
      <c r="M143" s="123">
        <f t="shared" si="86"/>
        <v>0</v>
      </c>
      <c r="N143" s="123">
        <f t="shared" si="86"/>
        <v>113.23824304038212</v>
      </c>
      <c r="O143" s="123">
        <f t="shared" si="86"/>
        <v>214.80455144549879</v>
      </c>
      <c r="P143" s="123">
        <f t="shared" si="86"/>
        <v>267.12348652111837</v>
      </c>
      <c r="Q143" s="123">
        <f t="shared" si="86"/>
        <v>294.92112032352685</v>
      </c>
      <c r="R143" s="123">
        <f t="shared" si="86"/>
        <v>314.52792280294199</v>
      </c>
      <c r="S143" s="123">
        <f t="shared" si="86"/>
        <v>447.83370258465771</v>
      </c>
      <c r="T143" s="123">
        <f t="shared" si="86"/>
        <v>803.82770896025318</v>
      </c>
      <c r="U143" s="123">
        <f t="shared" si="86"/>
        <v>546.73799080980154</v>
      </c>
      <c r="V143" s="123">
        <f t="shared" si="86"/>
        <v>0</v>
      </c>
      <c r="W143" s="123">
        <f t="shared" si="86"/>
        <v>11.262393069115761</v>
      </c>
      <c r="X143" s="123">
        <f t="shared" si="86"/>
        <v>780.17668351511008</v>
      </c>
      <c r="Y143" s="123">
        <f t="shared" si="86"/>
        <v>0</v>
      </c>
      <c r="Z143" s="123">
        <f t="shared" si="86"/>
        <v>0</v>
      </c>
      <c r="AA143" s="123">
        <f t="shared" si="86"/>
        <v>0</v>
      </c>
      <c r="AB143" s="123">
        <f t="shared" si="86"/>
        <v>0</v>
      </c>
      <c r="AC143" s="123">
        <f t="shared" si="86"/>
        <v>0</v>
      </c>
      <c r="AD143" s="123">
        <f t="shared" si="86"/>
        <v>0</v>
      </c>
      <c r="AE143" s="123">
        <f t="shared" si="86"/>
        <v>0</v>
      </c>
      <c r="AF143" s="123">
        <f t="shared" si="86"/>
        <v>0</v>
      </c>
      <c r="AG143" s="123">
        <f t="shared" si="86"/>
        <v>0</v>
      </c>
      <c r="AH143" s="123">
        <f t="shared" si="86"/>
        <v>0</v>
      </c>
      <c r="AI143" s="123">
        <f t="shared" si="86"/>
        <v>0</v>
      </c>
      <c r="AJ143" s="123">
        <f t="shared" si="86"/>
        <v>0</v>
      </c>
      <c r="AK143" s="123">
        <f t="shared" si="86"/>
        <v>0</v>
      </c>
      <c r="AL143" s="123">
        <f t="shared" si="86"/>
        <v>0</v>
      </c>
      <c r="AM143" s="123">
        <f t="shared" si="86"/>
        <v>0</v>
      </c>
      <c r="AN143" s="123">
        <f t="shared" si="86"/>
        <v>0</v>
      </c>
      <c r="AO143" s="123">
        <f t="shared" si="86"/>
        <v>0</v>
      </c>
      <c r="AP143" s="123">
        <f t="shared" si="86"/>
        <v>0</v>
      </c>
      <c r="AQ143" s="123">
        <f t="shared" si="86"/>
        <v>0</v>
      </c>
      <c r="AR143" s="123">
        <f t="shared" si="86"/>
        <v>0</v>
      </c>
      <c r="AS143" s="123">
        <f t="shared" si="86"/>
        <v>0</v>
      </c>
      <c r="AT143" s="123">
        <f t="shared" si="86"/>
        <v>0</v>
      </c>
      <c r="AU143" s="123">
        <f t="shared" si="86"/>
        <v>0</v>
      </c>
      <c r="AV143" s="123">
        <f t="shared" si="86"/>
        <v>0</v>
      </c>
    </row>
    <row r="144" spans="1:48" s="123" customFormat="1" ht="15" customHeight="1">
      <c r="A144" s="134"/>
      <c r="B144" s="134"/>
      <c r="C144" s="151"/>
    </row>
    <row r="145" spans="1:48" s="123" customFormat="1" ht="15" customHeight="1">
      <c r="A145" s="134"/>
      <c r="B145" s="134"/>
      <c r="C145" s="151"/>
      <c r="D145" s="123" t="s">
        <v>88</v>
      </c>
    </row>
    <row r="146" spans="1:48" s="123" customFormat="1" ht="15" customHeight="1">
      <c r="A146" s="134"/>
      <c r="B146" s="134"/>
      <c r="C146" s="151"/>
      <c r="E146" s="132" t="str">
        <f xml:space="preserve"> Kamoto_2011TR!E$61</f>
        <v>Operating Costs 2011TR</v>
      </c>
      <c r="F146" s="132">
        <f xml:space="preserve"> Kamoto_2011TR!F$61</f>
        <v>0</v>
      </c>
      <c r="G146" s="132" t="str">
        <f xml:space="preserve"> Kamoto_2011TR!G$61</f>
        <v>$ mn</v>
      </c>
      <c r="H146" s="132">
        <f xml:space="preserve"> Kamoto_2011TR!H$61</f>
        <v>0</v>
      </c>
      <c r="I146" s="132" t="str">
        <f xml:space="preserve"> Kamoto_2011TR!I$61</f>
        <v>XVII</v>
      </c>
      <c r="J146" s="132">
        <f xml:space="preserve"> Kamoto_2011TR!J$61</f>
        <v>-12423</v>
      </c>
      <c r="K146" s="132">
        <f xml:space="preserve"> Kamoto_2011TR!K$61</f>
        <v>0</v>
      </c>
      <c r="L146" s="132">
        <f xml:space="preserve"> Kamoto_2011TR!L$61</f>
        <v>0</v>
      </c>
      <c r="M146" s="132">
        <f xml:space="preserve"> Kamoto_2011TR!M$61</f>
        <v>0</v>
      </c>
      <c r="N146" s="132">
        <f xml:space="preserve"> Kamoto_2011TR!N$61</f>
        <v>0</v>
      </c>
      <c r="O146" s="132">
        <f xml:space="preserve"> Kamoto_2011TR!O$61</f>
        <v>0</v>
      </c>
      <c r="P146" s="132">
        <f xml:space="preserve"> Kamoto_2011TR!P$61</f>
        <v>0</v>
      </c>
      <c r="Q146" s="132">
        <f xml:space="preserve"> Kamoto_2011TR!Q$61</f>
        <v>-388</v>
      </c>
      <c r="R146" s="132">
        <f xml:space="preserve"> Kamoto_2011TR!R$61</f>
        <v>-483</v>
      </c>
      <c r="S146" s="132">
        <f xml:space="preserve"> Kamoto_2011TR!S$61</f>
        <v>-485</v>
      </c>
      <c r="T146" s="132">
        <f xml:space="preserve"> Kamoto_2011TR!T$61</f>
        <v>-529</v>
      </c>
      <c r="U146" s="132">
        <f xml:space="preserve"> Kamoto_2011TR!U$61</f>
        <v>-637</v>
      </c>
      <c r="V146" s="132">
        <f xml:space="preserve"> Kamoto_2011TR!V$61</f>
        <v>-606</v>
      </c>
      <c r="W146" s="132">
        <f xml:space="preserve"> Kamoto_2011TR!W$61</f>
        <v>-648</v>
      </c>
      <c r="X146" s="132">
        <f xml:space="preserve"> Kamoto_2011TR!X$61</f>
        <v>-651</v>
      </c>
      <c r="Y146" s="132">
        <f xml:space="preserve"> Kamoto_2011TR!Y$61</f>
        <v>-656</v>
      </c>
      <c r="Z146" s="132">
        <f xml:space="preserve"> Kamoto_2011TR!Z$61</f>
        <v>-696</v>
      </c>
      <c r="AA146" s="132">
        <f xml:space="preserve"> Kamoto_2011TR!AA$61</f>
        <v>-676</v>
      </c>
      <c r="AB146" s="132">
        <f xml:space="preserve"> Kamoto_2011TR!AB$61</f>
        <v>-702</v>
      </c>
      <c r="AC146" s="132">
        <f xml:space="preserve"> Kamoto_2011TR!AC$61</f>
        <v>-734</v>
      </c>
      <c r="AD146" s="132">
        <f xml:space="preserve"> Kamoto_2011TR!AD$61</f>
        <v>-724</v>
      </c>
      <c r="AE146" s="132">
        <f xml:space="preserve"> Kamoto_2011TR!AE$61</f>
        <v>-703</v>
      </c>
      <c r="AF146" s="132">
        <f xml:space="preserve"> Kamoto_2011TR!AF$61</f>
        <v>-698</v>
      </c>
      <c r="AG146" s="132">
        <f xml:space="preserve"> Kamoto_2011TR!AG$61</f>
        <v>-680</v>
      </c>
      <c r="AH146" s="132">
        <f xml:space="preserve"> Kamoto_2011TR!AH$61</f>
        <v>-670</v>
      </c>
      <c r="AI146" s="132">
        <f xml:space="preserve"> Kamoto_2011TR!AI$61</f>
        <v>-577</v>
      </c>
      <c r="AJ146" s="132">
        <f xml:space="preserve"> Kamoto_2011TR!AJ$61</f>
        <v>-480</v>
      </c>
      <c r="AK146" s="132">
        <f xml:space="preserve"> Kamoto_2011TR!AK$61</f>
        <v>0</v>
      </c>
      <c r="AL146" s="132">
        <f xml:space="preserve"> Kamoto_2011TR!AL$61</f>
        <v>0</v>
      </c>
      <c r="AM146" s="132">
        <f xml:space="preserve"> Kamoto_2011TR!AM$61</f>
        <v>0</v>
      </c>
      <c r="AN146" s="132">
        <f xml:space="preserve"> Kamoto_2011TR!AN$61</f>
        <v>0</v>
      </c>
      <c r="AO146" s="132">
        <f xml:space="preserve"> Kamoto_2011TR!AO$61</f>
        <v>0</v>
      </c>
      <c r="AP146" s="132">
        <f xml:space="preserve"> Kamoto_2011TR!AP$61</f>
        <v>0</v>
      </c>
      <c r="AQ146" s="132">
        <f xml:space="preserve"> Kamoto_2011TR!AQ$61</f>
        <v>0</v>
      </c>
      <c r="AR146" s="132">
        <f xml:space="preserve"> Kamoto_2011TR!AR$61</f>
        <v>0</v>
      </c>
      <c r="AS146" s="132">
        <f xml:space="preserve"> Kamoto_2011TR!AS$61</f>
        <v>0</v>
      </c>
      <c r="AT146" s="132">
        <f xml:space="preserve"> Kamoto_2011TR!AT$61</f>
        <v>0</v>
      </c>
      <c r="AU146" s="132">
        <f xml:space="preserve"> Kamoto_2011TR!AU$61</f>
        <v>0</v>
      </c>
      <c r="AV146" s="132">
        <f xml:space="preserve"> Kamoto_2011TR!AV$61</f>
        <v>0</v>
      </c>
    </row>
    <row r="147" spans="1:48" s="150" customFormat="1" ht="15" customHeight="1">
      <c r="A147" s="189"/>
      <c r="B147" s="189"/>
      <c r="C147" s="151"/>
      <c r="E147" s="150" t="s">
        <v>89</v>
      </c>
      <c r="G147" s="150" t="s">
        <v>29</v>
      </c>
      <c r="L147" s="150">
        <f t="shared" ref="L147:AV147" si="87" xml:space="preserve"> IF(L143 &lt;&gt; 0, L143 + L146, 0)</f>
        <v>0</v>
      </c>
      <c r="M147" s="150">
        <f t="shared" si="87"/>
        <v>0</v>
      </c>
      <c r="N147" s="150">
        <f t="shared" si="87"/>
        <v>113.23824304038212</v>
      </c>
      <c r="O147" s="150">
        <f t="shared" si="87"/>
        <v>214.80455144549879</v>
      </c>
      <c r="P147" s="150">
        <f t="shared" si="87"/>
        <v>267.12348652111837</v>
      </c>
      <c r="Q147" s="150">
        <f t="shared" si="87"/>
        <v>-93.07887967647315</v>
      </c>
      <c r="R147" s="150">
        <f t="shared" si="87"/>
        <v>-168.47207719705801</v>
      </c>
      <c r="S147" s="150">
        <f t="shared" si="87"/>
        <v>-37.166297415342285</v>
      </c>
      <c r="T147" s="150">
        <f t="shared" si="87"/>
        <v>274.82770896025318</v>
      </c>
      <c r="U147" s="150">
        <f t="shared" si="87"/>
        <v>-90.262009190198455</v>
      </c>
      <c r="V147" s="150">
        <f t="shared" si="87"/>
        <v>0</v>
      </c>
      <c r="W147" s="150">
        <f t="shared" si="87"/>
        <v>-636.73760693088423</v>
      </c>
      <c r="X147" s="150">
        <f t="shared" si="87"/>
        <v>129.17668351511008</v>
      </c>
      <c r="Y147" s="150">
        <f t="shared" si="87"/>
        <v>0</v>
      </c>
      <c r="Z147" s="150">
        <f t="shared" si="87"/>
        <v>0</v>
      </c>
      <c r="AA147" s="150">
        <f t="shared" si="87"/>
        <v>0</v>
      </c>
      <c r="AB147" s="150">
        <f t="shared" si="87"/>
        <v>0</v>
      </c>
      <c r="AC147" s="150">
        <f t="shared" si="87"/>
        <v>0</v>
      </c>
      <c r="AD147" s="150">
        <f t="shared" si="87"/>
        <v>0</v>
      </c>
      <c r="AE147" s="150">
        <f t="shared" si="87"/>
        <v>0</v>
      </c>
      <c r="AF147" s="150">
        <f t="shared" si="87"/>
        <v>0</v>
      </c>
      <c r="AG147" s="150">
        <f t="shared" si="87"/>
        <v>0</v>
      </c>
      <c r="AH147" s="150">
        <f t="shared" si="87"/>
        <v>0</v>
      </c>
      <c r="AI147" s="150">
        <f t="shared" si="87"/>
        <v>0</v>
      </c>
      <c r="AJ147" s="150">
        <f t="shared" si="87"/>
        <v>0</v>
      </c>
      <c r="AK147" s="150">
        <f t="shared" si="87"/>
        <v>0</v>
      </c>
      <c r="AL147" s="150">
        <f t="shared" si="87"/>
        <v>0</v>
      </c>
      <c r="AM147" s="150">
        <f t="shared" si="87"/>
        <v>0</v>
      </c>
      <c r="AN147" s="150">
        <f t="shared" si="87"/>
        <v>0</v>
      </c>
      <c r="AO147" s="150">
        <f t="shared" si="87"/>
        <v>0</v>
      </c>
      <c r="AP147" s="150">
        <f t="shared" si="87"/>
        <v>0</v>
      </c>
      <c r="AQ147" s="150">
        <f t="shared" si="87"/>
        <v>0</v>
      </c>
      <c r="AR147" s="150">
        <f t="shared" si="87"/>
        <v>0</v>
      </c>
      <c r="AS147" s="150">
        <f t="shared" si="87"/>
        <v>0</v>
      </c>
      <c r="AT147" s="150">
        <f t="shared" si="87"/>
        <v>0</v>
      </c>
      <c r="AU147" s="150">
        <f t="shared" si="87"/>
        <v>0</v>
      </c>
      <c r="AV147" s="150">
        <f t="shared" si="87"/>
        <v>0</v>
      </c>
    </row>
    <row r="148" spans="1:48" s="123" customFormat="1" ht="15" customHeight="1">
      <c r="A148" s="134"/>
      <c r="B148" s="134"/>
      <c r="C148" s="151"/>
    </row>
    <row r="149" spans="1:48" s="123" customFormat="1" ht="15" customHeight="1">
      <c r="A149" s="134"/>
      <c r="B149" s="134"/>
      <c r="C149" s="151" t="s">
        <v>90</v>
      </c>
    </row>
    <row r="150" spans="1:48" s="123" customFormat="1" ht="15" customHeight="1">
      <c r="A150" s="134"/>
      <c r="B150" s="134"/>
      <c r="C150" s="151"/>
      <c r="E150" s="123" t="str">
        <f t="shared" ref="E150:AV150" si="88" xml:space="preserve"> E$129</f>
        <v>Total project operating costs</v>
      </c>
      <c r="F150" s="123">
        <f t="shared" si="88"/>
        <v>0</v>
      </c>
      <c r="G150" s="123" t="str">
        <f t="shared" si="88"/>
        <v>$ mn</v>
      </c>
      <c r="H150" s="123">
        <f t="shared" si="88"/>
        <v>0</v>
      </c>
      <c r="I150" s="123">
        <f t="shared" si="88"/>
        <v>0</v>
      </c>
      <c r="J150" s="123">
        <f t="shared" si="88"/>
        <v>18944.830000000002</v>
      </c>
      <c r="K150" s="123">
        <f t="shared" si="88"/>
        <v>0</v>
      </c>
      <c r="L150" s="123">
        <f t="shared" si="88"/>
        <v>0</v>
      </c>
      <c r="M150" s="123">
        <f t="shared" si="88"/>
        <v>0</v>
      </c>
      <c r="N150" s="123">
        <f t="shared" si="88"/>
        <v>0</v>
      </c>
      <c r="O150" s="123">
        <f t="shared" si="88"/>
        <v>0</v>
      </c>
      <c r="P150" s="123">
        <f t="shared" si="88"/>
        <v>0</v>
      </c>
      <c r="Q150" s="123">
        <f t="shared" si="88"/>
        <v>0</v>
      </c>
      <c r="R150" s="123">
        <f t="shared" si="88"/>
        <v>0</v>
      </c>
      <c r="S150" s="123">
        <f t="shared" si="88"/>
        <v>0</v>
      </c>
      <c r="T150" s="123">
        <f t="shared" si="88"/>
        <v>0</v>
      </c>
      <c r="U150" s="123">
        <f t="shared" si="88"/>
        <v>0</v>
      </c>
      <c r="V150" s="123">
        <f t="shared" si="88"/>
        <v>0</v>
      </c>
      <c r="W150" s="123">
        <f t="shared" si="88"/>
        <v>0</v>
      </c>
      <c r="X150" s="123">
        <f t="shared" si="88"/>
        <v>0</v>
      </c>
      <c r="Y150" s="123">
        <f t="shared" si="88"/>
        <v>1256</v>
      </c>
      <c r="Z150" s="123">
        <f t="shared" si="88"/>
        <v>1229.3399999999999</v>
      </c>
      <c r="AA150" s="123">
        <f t="shared" si="88"/>
        <v>1203.49</v>
      </c>
      <c r="AB150" s="123">
        <f t="shared" si="88"/>
        <v>1168.6200000000001</v>
      </c>
      <c r="AC150" s="123">
        <f t="shared" si="88"/>
        <v>1173.9483333333335</v>
      </c>
      <c r="AD150" s="123">
        <f t="shared" si="88"/>
        <v>1173.9483333333335</v>
      </c>
      <c r="AE150" s="123">
        <f t="shared" si="88"/>
        <v>1173.9483333333335</v>
      </c>
      <c r="AF150" s="123">
        <f t="shared" si="88"/>
        <v>1173.9483333333335</v>
      </c>
      <c r="AG150" s="123">
        <f t="shared" si="88"/>
        <v>1173.9483333333335</v>
      </c>
      <c r="AH150" s="123">
        <f t="shared" si="88"/>
        <v>1173.9483333333335</v>
      </c>
      <c r="AI150" s="123">
        <f t="shared" si="88"/>
        <v>1173.9483333333335</v>
      </c>
      <c r="AJ150" s="123">
        <f t="shared" si="88"/>
        <v>1173.9483333333335</v>
      </c>
      <c r="AK150" s="123">
        <f t="shared" si="88"/>
        <v>1173.9483333333335</v>
      </c>
      <c r="AL150" s="123">
        <f t="shared" si="88"/>
        <v>1173.9483333333335</v>
      </c>
      <c r="AM150" s="123">
        <f t="shared" si="88"/>
        <v>1173.9483333333335</v>
      </c>
      <c r="AN150" s="123">
        <f t="shared" si="88"/>
        <v>1173.9483333333335</v>
      </c>
      <c r="AO150" s="123">
        <f t="shared" si="88"/>
        <v>0</v>
      </c>
      <c r="AP150" s="123">
        <f t="shared" si="88"/>
        <v>0</v>
      </c>
      <c r="AQ150" s="123">
        <f t="shared" si="88"/>
        <v>0</v>
      </c>
      <c r="AR150" s="123">
        <f t="shared" si="88"/>
        <v>0</v>
      </c>
      <c r="AS150" s="123">
        <f t="shared" si="88"/>
        <v>0</v>
      </c>
      <c r="AT150" s="123">
        <f t="shared" si="88"/>
        <v>0</v>
      </c>
      <c r="AU150" s="123">
        <f t="shared" si="88"/>
        <v>0</v>
      </c>
      <c r="AV150" s="123">
        <f t="shared" si="88"/>
        <v>0</v>
      </c>
    </row>
    <row r="151" spans="1:48" s="123" customFormat="1" ht="15" customHeight="1">
      <c r="A151" s="134"/>
      <c r="B151" s="134"/>
      <c r="C151" s="151"/>
      <c r="E151" s="123" t="str">
        <f t="shared" ref="E151:AV151" si="89" xml:space="preserve"> E$143</f>
        <v>Operating cost pre 2019TR</v>
      </c>
      <c r="F151" s="123">
        <f t="shared" si="89"/>
        <v>0</v>
      </c>
      <c r="G151" s="123" t="str">
        <f t="shared" si="89"/>
        <v>$ mn</v>
      </c>
      <c r="H151" s="123">
        <f t="shared" si="89"/>
        <v>0</v>
      </c>
      <c r="I151" s="123">
        <f t="shared" si="89"/>
        <v>0</v>
      </c>
      <c r="J151" s="123">
        <f t="shared" si="89"/>
        <v>3794.4538030724061</v>
      </c>
      <c r="K151" s="123">
        <f t="shared" si="89"/>
        <v>0</v>
      </c>
      <c r="L151" s="123">
        <f t="shared" si="89"/>
        <v>0</v>
      </c>
      <c r="M151" s="123">
        <f t="shared" si="89"/>
        <v>0</v>
      </c>
      <c r="N151" s="123">
        <f t="shared" si="89"/>
        <v>113.23824304038212</v>
      </c>
      <c r="O151" s="123">
        <f t="shared" si="89"/>
        <v>214.80455144549879</v>
      </c>
      <c r="P151" s="123">
        <f t="shared" si="89"/>
        <v>267.12348652111837</v>
      </c>
      <c r="Q151" s="123">
        <f t="shared" si="89"/>
        <v>294.92112032352685</v>
      </c>
      <c r="R151" s="123">
        <f t="shared" si="89"/>
        <v>314.52792280294199</v>
      </c>
      <c r="S151" s="123">
        <f t="shared" si="89"/>
        <v>447.83370258465771</v>
      </c>
      <c r="T151" s="123">
        <f t="shared" si="89"/>
        <v>803.82770896025318</v>
      </c>
      <c r="U151" s="123">
        <f t="shared" si="89"/>
        <v>546.73799080980154</v>
      </c>
      <c r="V151" s="123">
        <f t="shared" si="89"/>
        <v>0</v>
      </c>
      <c r="W151" s="123">
        <f t="shared" si="89"/>
        <v>11.262393069115761</v>
      </c>
      <c r="X151" s="123">
        <f t="shared" si="89"/>
        <v>780.17668351511008</v>
      </c>
      <c r="Y151" s="123">
        <f t="shared" si="89"/>
        <v>0</v>
      </c>
      <c r="Z151" s="123">
        <f t="shared" si="89"/>
        <v>0</v>
      </c>
      <c r="AA151" s="123">
        <f t="shared" si="89"/>
        <v>0</v>
      </c>
      <c r="AB151" s="123">
        <f t="shared" si="89"/>
        <v>0</v>
      </c>
      <c r="AC151" s="123">
        <f t="shared" si="89"/>
        <v>0</v>
      </c>
      <c r="AD151" s="123">
        <f t="shared" si="89"/>
        <v>0</v>
      </c>
      <c r="AE151" s="123">
        <f t="shared" si="89"/>
        <v>0</v>
      </c>
      <c r="AF151" s="123">
        <f t="shared" si="89"/>
        <v>0</v>
      </c>
      <c r="AG151" s="123">
        <f t="shared" si="89"/>
        <v>0</v>
      </c>
      <c r="AH151" s="123">
        <f t="shared" si="89"/>
        <v>0</v>
      </c>
      <c r="AI151" s="123">
        <f t="shared" si="89"/>
        <v>0</v>
      </c>
      <c r="AJ151" s="123">
        <f t="shared" si="89"/>
        <v>0</v>
      </c>
      <c r="AK151" s="123">
        <f t="shared" si="89"/>
        <v>0</v>
      </c>
      <c r="AL151" s="123">
        <f t="shared" si="89"/>
        <v>0</v>
      </c>
      <c r="AM151" s="123">
        <f t="shared" si="89"/>
        <v>0</v>
      </c>
      <c r="AN151" s="123">
        <f t="shared" si="89"/>
        <v>0</v>
      </c>
      <c r="AO151" s="123">
        <f t="shared" si="89"/>
        <v>0</v>
      </c>
      <c r="AP151" s="123">
        <f t="shared" si="89"/>
        <v>0</v>
      </c>
      <c r="AQ151" s="123">
        <f t="shared" si="89"/>
        <v>0</v>
      </c>
      <c r="AR151" s="123">
        <f t="shared" si="89"/>
        <v>0</v>
      </c>
      <c r="AS151" s="123">
        <f t="shared" si="89"/>
        <v>0</v>
      </c>
      <c r="AT151" s="123">
        <f t="shared" si="89"/>
        <v>0</v>
      </c>
      <c r="AU151" s="123">
        <f t="shared" si="89"/>
        <v>0</v>
      </c>
      <c r="AV151" s="123">
        <f t="shared" si="89"/>
        <v>0</v>
      </c>
    </row>
    <row r="152" spans="1:48" s="156" customFormat="1" ht="15" customHeight="1">
      <c r="A152" s="218"/>
      <c r="B152" s="218"/>
      <c r="C152" s="216"/>
      <c r="E152" s="156" t="s">
        <v>91</v>
      </c>
      <c r="G152" s="156" t="s">
        <v>29</v>
      </c>
      <c r="J152" s="156">
        <f xml:space="preserve"> SUM(L152:AV152)</f>
        <v>22739.283803072409</v>
      </c>
      <c r="L152" s="156">
        <f t="shared" ref="L152:AV152" si="90">SUM(L150:L151)</f>
        <v>0</v>
      </c>
      <c r="M152" s="156">
        <f t="shared" si="90"/>
        <v>0</v>
      </c>
      <c r="N152" s="156">
        <f t="shared" si="90"/>
        <v>113.23824304038212</v>
      </c>
      <c r="O152" s="156">
        <f t="shared" si="90"/>
        <v>214.80455144549879</v>
      </c>
      <c r="P152" s="156">
        <f t="shared" si="90"/>
        <v>267.12348652111837</v>
      </c>
      <c r="Q152" s="156">
        <f t="shared" si="90"/>
        <v>294.92112032352685</v>
      </c>
      <c r="R152" s="156">
        <f t="shared" si="90"/>
        <v>314.52792280294199</v>
      </c>
      <c r="S152" s="156">
        <f t="shared" si="90"/>
        <v>447.83370258465771</v>
      </c>
      <c r="T152" s="156">
        <f t="shared" si="90"/>
        <v>803.82770896025318</v>
      </c>
      <c r="U152" s="156">
        <f t="shared" si="90"/>
        <v>546.73799080980154</v>
      </c>
      <c r="V152" s="156">
        <f t="shared" si="90"/>
        <v>0</v>
      </c>
      <c r="W152" s="156">
        <f t="shared" si="90"/>
        <v>11.262393069115761</v>
      </c>
      <c r="X152" s="156">
        <f t="shared" si="90"/>
        <v>780.17668351511008</v>
      </c>
      <c r="Y152" s="156">
        <f t="shared" si="90"/>
        <v>1256</v>
      </c>
      <c r="Z152" s="156">
        <f t="shared" si="90"/>
        <v>1229.3399999999999</v>
      </c>
      <c r="AA152" s="156">
        <f t="shared" si="90"/>
        <v>1203.49</v>
      </c>
      <c r="AB152" s="156">
        <f t="shared" si="90"/>
        <v>1168.6200000000001</v>
      </c>
      <c r="AC152" s="156">
        <f t="shared" si="90"/>
        <v>1173.9483333333335</v>
      </c>
      <c r="AD152" s="156">
        <f t="shared" si="90"/>
        <v>1173.9483333333335</v>
      </c>
      <c r="AE152" s="156">
        <f t="shared" si="90"/>
        <v>1173.9483333333335</v>
      </c>
      <c r="AF152" s="156">
        <f t="shared" si="90"/>
        <v>1173.9483333333335</v>
      </c>
      <c r="AG152" s="156">
        <f t="shared" si="90"/>
        <v>1173.9483333333335</v>
      </c>
      <c r="AH152" s="156">
        <f t="shared" si="90"/>
        <v>1173.9483333333335</v>
      </c>
      <c r="AI152" s="156">
        <f t="shared" si="90"/>
        <v>1173.9483333333335</v>
      </c>
      <c r="AJ152" s="156">
        <f t="shared" si="90"/>
        <v>1173.9483333333335</v>
      </c>
      <c r="AK152" s="156">
        <f t="shared" si="90"/>
        <v>1173.9483333333335</v>
      </c>
      <c r="AL152" s="156">
        <f t="shared" si="90"/>
        <v>1173.9483333333335</v>
      </c>
      <c r="AM152" s="156">
        <f t="shared" si="90"/>
        <v>1173.9483333333335</v>
      </c>
      <c r="AN152" s="156">
        <f t="shared" si="90"/>
        <v>1173.9483333333335</v>
      </c>
      <c r="AO152" s="156">
        <f t="shared" si="90"/>
        <v>0</v>
      </c>
      <c r="AP152" s="156">
        <f t="shared" si="90"/>
        <v>0</v>
      </c>
      <c r="AQ152" s="156">
        <f t="shared" si="90"/>
        <v>0</v>
      </c>
      <c r="AR152" s="156">
        <f t="shared" si="90"/>
        <v>0</v>
      </c>
      <c r="AS152" s="156">
        <f t="shared" si="90"/>
        <v>0</v>
      </c>
      <c r="AT152" s="156">
        <f t="shared" si="90"/>
        <v>0</v>
      </c>
      <c r="AU152" s="156">
        <f t="shared" si="90"/>
        <v>0</v>
      </c>
      <c r="AV152" s="156">
        <f t="shared" si="90"/>
        <v>0</v>
      </c>
    </row>
    <row r="153" spans="1:48" s="123" customFormat="1" ht="15" customHeight="1">
      <c r="A153" s="134"/>
      <c r="B153" s="134"/>
      <c r="C153" s="151"/>
    </row>
    <row r="154" spans="1:48" s="160" customFormat="1" ht="15" customHeight="1">
      <c r="A154" s="164" t="s">
        <v>92</v>
      </c>
      <c r="B154" s="162"/>
      <c r="C154" s="192"/>
      <c r="D154" s="163"/>
      <c r="E154" s="162"/>
      <c r="F154" s="162"/>
      <c r="G154" s="162"/>
      <c r="H154" s="162"/>
    </row>
    <row r="155" spans="1:48" s="123" customFormat="1" ht="15" customHeight="1">
      <c r="A155" s="134"/>
      <c r="B155" s="134"/>
      <c r="C155" s="151"/>
    </row>
    <row r="156" spans="1:48" s="123" customFormat="1" ht="15" customHeight="1">
      <c r="A156" s="134"/>
      <c r="B156" s="134" t="s">
        <v>93</v>
      </c>
      <c r="C156" s="151"/>
    </row>
    <row r="157" spans="1:48" s="123" customFormat="1" ht="15" customHeight="1">
      <c r="A157" s="134"/>
      <c r="B157" s="134"/>
      <c r="C157" s="151"/>
      <c r="E157" s="108" t="str">
        <f xml:space="preserve"> 'T&amp;E'!E$9</f>
        <v>Model calendar year</v>
      </c>
      <c r="F157" s="108">
        <f xml:space="preserve"> 'T&amp;E'!F$9</f>
        <v>0</v>
      </c>
      <c r="G157" s="108" t="str">
        <f xml:space="preserve"> 'T&amp;E'!G$9</f>
        <v>year</v>
      </c>
      <c r="H157" s="108">
        <f xml:space="preserve"> 'T&amp;E'!H$9</f>
        <v>0</v>
      </c>
      <c r="I157" s="108">
        <f xml:space="preserve"> 'T&amp;E'!I$9</f>
        <v>0</v>
      </c>
      <c r="J157" s="108">
        <f xml:space="preserve"> 'T&amp;E'!J$9</f>
        <v>0</v>
      </c>
      <c r="K157" s="108">
        <f xml:space="preserve"> 'T&amp;E'!K$9</f>
        <v>0</v>
      </c>
      <c r="L157" s="108">
        <f xml:space="preserve"> 'T&amp;E'!L$9</f>
        <v>2014</v>
      </c>
      <c r="M157" s="108">
        <f xml:space="preserve"> 'T&amp;E'!M$9</f>
        <v>2015</v>
      </c>
      <c r="N157" s="108">
        <f xml:space="preserve"> 'T&amp;E'!N$9</f>
        <v>2016</v>
      </c>
      <c r="O157" s="108">
        <f xml:space="preserve"> 'T&amp;E'!O$9</f>
        <v>2017</v>
      </c>
      <c r="P157" s="108">
        <f xml:space="preserve"> 'T&amp;E'!P$9</f>
        <v>2018</v>
      </c>
      <c r="Q157" s="108">
        <f xml:space="preserve"> 'T&amp;E'!Q$9</f>
        <v>2019</v>
      </c>
      <c r="R157" s="108">
        <f xml:space="preserve"> 'T&amp;E'!R$9</f>
        <v>2020</v>
      </c>
      <c r="S157" s="108">
        <f xml:space="preserve"> 'T&amp;E'!S$9</f>
        <v>2021</v>
      </c>
      <c r="T157" s="108">
        <f xml:space="preserve"> 'T&amp;E'!T$9</f>
        <v>2022</v>
      </c>
      <c r="U157" s="108">
        <f xml:space="preserve"> 'T&amp;E'!U$9</f>
        <v>2023</v>
      </c>
      <c r="V157" s="108">
        <f xml:space="preserve"> 'T&amp;E'!V$9</f>
        <v>2024</v>
      </c>
      <c r="W157" s="108">
        <f xml:space="preserve"> 'T&amp;E'!W$9</f>
        <v>2025</v>
      </c>
      <c r="X157" s="108">
        <f xml:space="preserve"> 'T&amp;E'!X$9</f>
        <v>2026</v>
      </c>
      <c r="Y157" s="108">
        <f xml:space="preserve"> 'T&amp;E'!Y$9</f>
        <v>2027</v>
      </c>
      <c r="Z157" s="108">
        <f xml:space="preserve"> 'T&amp;E'!Z$9</f>
        <v>2028</v>
      </c>
      <c r="AA157" s="108">
        <f xml:space="preserve"> 'T&amp;E'!AA$9</f>
        <v>2029</v>
      </c>
      <c r="AB157" s="108">
        <f xml:space="preserve"> 'T&amp;E'!AB$9</f>
        <v>2030</v>
      </c>
      <c r="AC157" s="108">
        <f xml:space="preserve"> 'T&amp;E'!AC$9</f>
        <v>2031</v>
      </c>
      <c r="AD157" s="108">
        <f xml:space="preserve"> 'T&amp;E'!AD$9</f>
        <v>2032</v>
      </c>
      <c r="AE157" s="108">
        <f xml:space="preserve"> 'T&amp;E'!AE$9</f>
        <v>2033</v>
      </c>
      <c r="AF157" s="108">
        <f xml:space="preserve"> 'T&amp;E'!AF$9</f>
        <v>2034</v>
      </c>
      <c r="AG157" s="108">
        <f xml:space="preserve"> 'T&amp;E'!AG$9</f>
        <v>2035</v>
      </c>
      <c r="AH157" s="108">
        <f xml:space="preserve"> 'T&amp;E'!AH$9</f>
        <v>2036</v>
      </c>
      <c r="AI157" s="108">
        <f xml:space="preserve"> 'T&amp;E'!AI$9</f>
        <v>2037</v>
      </c>
      <c r="AJ157" s="108">
        <f xml:space="preserve"> 'T&amp;E'!AJ$9</f>
        <v>2038</v>
      </c>
      <c r="AK157" s="108">
        <f xml:space="preserve"> 'T&amp;E'!AK$9</f>
        <v>2039</v>
      </c>
      <c r="AL157" s="108">
        <f xml:space="preserve"> 'T&amp;E'!AL$9</f>
        <v>2040</v>
      </c>
      <c r="AM157" s="108">
        <f xml:space="preserve"> 'T&amp;E'!AM$9</f>
        <v>2041</v>
      </c>
      <c r="AN157" s="108">
        <f xml:space="preserve"> 'T&amp;E'!AN$9</f>
        <v>2042</v>
      </c>
      <c r="AO157" s="108">
        <f xml:space="preserve"> 'T&amp;E'!AO$9</f>
        <v>2043</v>
      </c>
      <c r="AP157" s="108">
        <f xml:space="preserve"> 'T&amp;E'!AP$9</f>
        <v>2044</v>
      </c>
      <c r="AQ157" s="108">
        <f xml:space="preserve"> 'T&amp;E'!AQ$9</f>
        <v>2045</v>
      </c>
      <c r="AR157" s="108">
        <f xml:space="preserve"> 'T&amp;E'!AR$9</f>
        <v>2046</v>
      </c>
      <c r="AS157" s="108">
        <f xml:space="preserve"> 'T&amp;E'!AS$9</f>
        <v>2047</v>
      </c>
      <c r="AT157" s="108">
        <f xml:space="preserve"> 'T&amp;E'!AT$9</f>
        <v>2048</v>
      </c>
      <c r="AU157" s="108">
        <f xml:space="preserve"> 'T&amp;E'!AU$9</f>
        <v>2049</v>
      </c>
      <c r="AV157" s="108">
        <f xml:space="preserve"> 'T&amp;E'!AV$9</f>
        <v>2050</v>
      </c>
    </row>
    <row r="158" spans="1:48" s="123" customFormat="1" ht="15" customHeight="1">
      <c r="A158" s="134"/>
      <c r="B158" s="134"/>
      <c r="C158" s="151"/>
      <c r="E158" s="132" t="str">
        <f xml:space="preserve"> Inp_2019TR!E$103</f>
        <v>Operational Capital: mine 2019TR</v>
      </c>
      <c r="F158" s="132">
        <f xml:space="preserve"> Inp_2019TR!F$103</f>
        <v>0</v>
      </c>
      <c r="G158" s="132" t="str">
        <f xml:space="preserve"> Inp_2019TR!G$103</f>
        <v>$ mn</v>
      </c>
      <c r="H158" s="132">
        <f xml:space="preserve"> Inp_2019TR!H$103</f>
        <v>0</v>
      </c>
      <c r="I158" s="132" t="str">
        <f xml:space="preserve"> Inp_2019TR!I$103</f>
        <v>XXII</v>
      </c>
      <c r="J158" s="132">
        <f xml:space="preserve"> Inp_2019TR!J$103</f>
        <v>1103.73</v>
      </c>
      <c r="K158" s="132">
        <f xml:space="preserve"> Inp_2019TR!K$103</f>
        <v>0</v>
      </c>
      <c r="L158" s="132">
        <f xml:space="preserve"> Inp_2019TR!L$103</f>
        <v>0</v>
      </c>
      <c r="M158" s="132">
        <f xml:space="preserve"> Inp_2019TR!M$103</f>
        <v>0</v>
      </c>
      <c r="N158" s="132">
        <f xml:space="preserve"> Inp_2019TR!N$103</f>
        <v>0</v>
      </c>
      <c r="O158" s="132">
        <f xml:space="preserve"> Inp_2019TR!O$103</f>
        <v>0</v>
      </c>
      <c r="P158" s="132">
        <f xml:space="preserve"> Inp_2019TR!P$103</f>
        <v>0</v>
      </c>
      <c r="Q158" s="132">
        <f xml:space="preserve"> Inp_2019TR!Q$103</f>
        <v>0</v>
      </c>
      <c r="R158" s="132">
        <f xml:space="preserve"> Inp_2019TR!R$103</f>
        <v>0</v>
      </c>
      <c r="S158" s="132">
        <f xml:space="preserve"> Inp_2019TR!S$103</f>
        <v>0</v>
      </c>
      <c r="T158" s="132">
        <f xml:space="preserve"> Inp_2019TR!T$103</f>
        <v>0</v>
      </c>
      <c r="U158" s="132">
        <f xml:space="preserve"> Inp_2019TR!U$103</f>
        <v>0</v>
      </c>
      <c r="V158" s="132">
        <f xml:space="preserve"> Inp_2019TR!V$103</f>
        <v>0</v>
      </c>
      <c r="W158" s="132">
        <f xml:space="preserve"> Inp_2019TR!W$103</f>
        <v>0</v>
      </c>
      <c r="X158" s="132">
        <f xml:space="preserve"> Inp_2019TR!X$103</f>
        <v>0</v>
      </c>
      <c r="Y158" s="132">
        <f xml:space="preserve"> Inp_2019TR!Y$103</f>
        <v>60.94</v>
      </c>
      <c r="Z158" s="132">
        <f xml:space="preserve"> Inp_2019TR!Z$103</f>
        <v>214.63</v>
      </c>
      <c r="AA158" s="132">
        <f xml:space="preserve"> Inp_2019TR!AA$103</f>
        <v>90.91</v>
      </c>
      <c r="AB158" s="132">
        <f xml:space="preserve"> Inp_2019TR!AB$103</f>
        <v>89.19</v>
      </c>
      <c r="AC158" s="132">
        <f xml:space="preserve"> Inp_2019TR!AC$103</f>
        <v>54.004999999999995</v>
      </c>
      <c r="AD158" s="132">
        <f xml:space="preserve"> Inp_2019TR!AD$103</f>
        <v>54.004999999999995</v>
      </c>
      <c r="AE158" s="132">
        <f xml:space="preserve"> Inp_2019TR!AE$103</f>
        <v>54.004999999999995</v>
      </c>
      <c r="AF158" s="132">
        <f xml:space="preserve"> Inp_2019TR!AF$103</f>
        <v>54.004999999999995</v>
      </c>
      <c r="AG158" s="132">
        <f xml:space="preserve"> Inp_2019TR!AG$103</f>
        <v>54.004999999999995</v>
      </c>
      <c r="AH158" s="132">
        <f xml:space="preserve"> Inp_2019TR!AH$103</f>
        <v>54.004999999999995</v>
      </c>
      <c r="AI158" s="132">
        <f xml:space="preserve"> Inp_2019TR!AI$103</f>
        <v>54.004999999999995</v>
      </c>
      <c r="AJ158" s="132">
        <f xml:space="preserve"> Inp_2019TR!AJ$103</f>
        <v>54.004999999999995</v>
      </c>
      <c r="AK158" s="132">
        <f xml:space="preserve"> Inp_2019TR!AK$103</f>
        <v>54.004999999999995</v>
      </c>
      <c r="AL158" s="132">
        <f xml:space="preserve"> Inp_2019TR!AL$103</f>
        <v>54.004999999999995</v>
      </c>
      <c r="AM158" s="132">
        <f xml:space="preserve"> Inp_2019TR!AM$103</f>
        <v>54.004999999999995</v>
      </c>
      <c r="AN158" s="132">
        <f xml:space="preserve"> Inp_2019TR!AN$103</f>
        <v>54.004999999999995</v>
      </c>
      <c r="AO158" s="132">
        <f xml:space="preserve"> Inp_2019TR!AO$103</f>
        <v>0</v>
      </c>
      <c r="AP158" s="132">
        <f xml:space="preserve"> Inp_2019TR!AP$103</f>
        <v>0</v>
      </c>
      <c r="AQ158" s="132">
        <f xml:space="preserve"> Inp_2019TR!AQ$103</f>
        <v>0</v>
      </c>
      <c r="AR158" s="132">
        <f xml:space="preserve"> Inp_2019TR!AR$103</f>
        <v>0</v>
      </c>
      <c r="AS158" s="132">
        <f xml:space="preserve"> Inp_2019TR!AS$103</f>
        <v>0</v>
      </c>
      <c r="AT158" s="132">
        <f xml:space="preserve"> Inp_2019TR!AT$103</f>
        <v>0</v>
      </c>
      <c r="AU158" s="132">
        <f xml:space="preserve"> Inp_2019TR!AU$103</f>
        <v>0</v>
      </c>
      <c r="AV158" s="132">
        <f xml:space="preserve"> Inp_2019TR!AV$103</f>
        <v>0</v>
      </c>
    </row>
    <row r="159" spans="1:48" s="123" customFormat="1" ht="15" customHeight="1">
      <c r="A159" s="134"/>
      <c r="B159" s="134"/>
      <c r="C159" s="151"/>
      <c r="E159" s="132" t="str">
        <f xml:space="preserve"> Inp_2019TR!E$104</f>
        <v>Expansion Capital: 2019TR</v>
      </c>
      <c r="F159" s="132">
        <f xml:space="preserve"> Inp_2019TR!F$104</f>
        <v>0</v>
      </c>
      <c r="G159" s="132" t="str">
        <f xml:space="preserve"> Inp_2019TR!G$104</f>
        <v>$ mn</v>
      </c>
      <c r="H159" s="132">
        <f xml:space="preserve"> Inp_2019TR!H$104</f>
        <v>0</v>
      </c>
      <c r="I159" s="132" t="str">
        <f xml:space="preserve"> Inp_2019TR!I$104</f>
        <v>XXII</v>
      </c>
      <c r="J159" s="132">
        <f xml:space="preserve"> Inp_2019TR!J$104</f>
        <v>2256.4199999999992</v>
      </c>
      <c r="K159" s="132">
        <f xml:space="preserve"> Inp_2019TR!K$104</f>
        <v>0</v>
      </c>
      <c r="L159" s="132">
        <f xml:space="preserve"> Inp_2019TR!L$104</f>
        <v>0</v>
      </c>
      <c r="M159" s="132">
        <f xml:space="preserve"> Inp_2019TR!M$104</f>
        <v>0</v>
      </c>
      <c r="N159" s="132">
        <f xml:space="preserve"> Inp_2019TR!N$104</f>
        <v>0</v>
      </c>
      <c r="O159" s="132">
        <f xml:space="preserve"> Inp_2019TR!O$104</f>
        <v>0</v>
      </c>
      <c r="P159" s="132">
        <f xml:space="preserve"> Inp_2019TR!P$104</f>
        <v>0</v>
      </c>
      <c r="Q159" s="132">
        <f xml:space="preserve"> Inp_2019TR!Q$104</f>
        <v>0</v>
      </c>
      <c r="R159" s="132">
        <f xml:space="preserve"> Inp_2019TR!R$104</f>
        <v>0</v>
      </c>
      <c r="S159" s="132">
        <f xml:space="preserve"> Inp_2019TR!S$104</f>
        <v>0</v>
      </c>
      <c r="T159" s="132">
        <f xml:space="preserve"> Inp_2019TR!T$104</f>
        <v>0</v>
      </c>
      <c r="U159" s="132">
        <f xml:space="preserve"> Inp_2019TR!U$104</f>
        <v>0</v>
      </c>
      <c r="V159" s="132">
        <f xml:space="preserve"> Inp_2019TR!V$104</f>
        <v>0</v>
      </c>
      <c r="W159" s="132">
        <f xml:space="preserve"> Inp_2019TR!W$104</f>
        <v>0</v>
      </c>
      <c r="X159" s="132">
        <f xml:space="preserve"> Inp_2019TR!X$104</f>
        <v>0</v>
      </c>
      <c r="Y159" s="132">
        <f xml:space="preserve"> Inp_2019TR!Y$104</f>
        <v>356.54</v>
      </c>
      <c r="Z159" s="132">
        <f xml:space="preserve"> Inp_2019TR!Z$104</f>
        <v>145.37</v>
      </c>
      <c r="AA159" s="132">
        <f xml:space="preserve"> Inp_2019TR!AA$104</f>
        <v>174.38</v>
      </c>
      <c r="AB159" s="132">
        <f xml:space="preserve"> Inp_2019TR!AB$104</f>
        <v>110.94</v>
      </c>
      <c r="AC159" s="132">
        <f xml:space="preserve"> Inp_2019TR!AC$104</f>
        <v>122.4325</v>
      </c>
      <c r="AD159" s="132">
        <f xml:space="preserve"> Inp_2019TR!AD$104</f>
        <v>122.4325</v>
      </c>
      <c r="AE159" s="132">
        <f xml:space="preserve"> Inp_2019TR!AE$104</f>
        <v>122.4325</v>
      </c>
      <c r="AF159" s="132">
        <f xml:space="preserve"> Inp_2019TR!AF$104</f>
        <v>122.4325</v>
      </c>
      <c r="AG159" s="132">
        <f xml:space="preserve"> Inp_2019TR!AG$104</f>
        <v>122.4325</v>
      </c>
      <c r="AH159" s="132">
        <f xml:space="preserve"> Inp_2019TR!AH$104</f>
        <v>122.4325</v>
      </c>
      <c r="AI159" s="132">
        <f xml:space="preserve"> Inp_2019TR!AI$104</f>
        <v>122.4325</v>
      </c>
      <c r="AJ159" s="132">
        <f xml:space="preserve"> Inp_2019TR!AJ$104</f>
        <v>122.4325</v>
      </c>
      <c r="AK159" s="132">
        <f xml:space="preserve"> Inp_2019TR!AK$104</f>
        <v>122.4325</v>
      </c>
      <c r="AL159" s="132">
        <f xml:space="preserve"> Inp_2019TR!AL$104</f>
        <v>122.4325</v>
      </c>
      <c r="AM159" s="132">
        <f xml:space="preserve"> Inp_2019TR!AM$104</f>
        <v>122.4325</v>
      </c>
      <c r="AN159" s="132">
        <f xml:space="preserve"> Inp_2019TR!AN$104</f>
        <v>122.4325</v>
      </c>
      <c r="AO159" s="132">
        <f xml:space="preserve"> Inp_2019TR!AO$104</f>
        <v>0</v>
      </c>
      <c r="AP159" s="132">
        <f xml:space="preserve"> Inp_2019TR!AP$104</f>
        <v>0</v>
      </c>
      <c r="AQ159" s="132">
        <f xml:space="preserve"> Inp_2019TR!AQ$104</f>
        <v>0</v>
      </c>
      <c r="AR159" s="132">
        <f xml:space="preserve"> Inp_2019TR!AR$104</f>
        <v>0</v>
      </c>
      <c r="AS159" s="132">
        <f xml:space="preserve"> Inp_2019TR!AS$104</f>
        <v>0</v>
      </c>
      <c r="AT159" s="132">
        <f xml:space="preserve"> Inp_2019TR!AT$104</f>
        <v>0</v>
      </c>
      <c r="AU159" s="132">
        <f xml:space="preserve"> Inp_2019TR!AU$104</f>
        <v>0</v>
      </c>
      <c r="AV159" s="132">
        <f xml:space="preserve"> Inp_2019TR!AV$104</f>
        <v>0</v>
      </c>
    </row>
    <row r="160" spans="1:48" s="214" customFormat="1" ht="15" customHeight="1">
      <c r="A160" s="212"/>
      <c r="B160" s="212"/>
      <c r="C160" s="216"/>
      <c r="E160" s="214" t="s">
        <v>94</v>
      </c>
      <c r="G160" s="214" t="s">
        <v>29</v>
      </c>
      <c r="J160" s="214">
        <f xml:space="preserve"> SUM(L160:AV160)</f>
        <v>3360.15</v>
      </c>
      <c r="K160" s="480"/>
      <c r="L160" s="214">
        <f t="shared" ref="L160:AV160" si="91">SUM(L158:L159)</f>
        <v>0</v>
      </c>
      <c r="M160" s="214">
        <f t="shared" si="91"/>
        <v>0</v>
      </c>
      <c r="N160" s="214">
        <f t="shared" si="91"/>
        <v>0</v>
      </c>
      <c r="O160" s="214">
        <f t="shared" si="91"/>
        <v>0</v>
      </c>
      <c r="P160" s="214">
        <f t="shared" si="91"/>
        <v>0</v>
      </c>
      <c r="Q160" s="214">
        <f t="shared" si="91"/>
        <v>0</v>
      </c>
      <c r="R160" s="214">
        <f t="shared" si="91"/>
        <v>0</v>
      </c>
      <c r="S160" s="214">
        <f t="shared" si="91"/>
        <v>0</v>
      </c>
      <c r="T160" s="214">
        <f t="shared" si="91"/>
        <v>0</v>
      </c>
      <c r="U160" s="214">
        <f t="shared" si="91"/>
        <v>0</v>
      </c>
      <c r="V160" s="214">
        <f t="shared" si="91"/>
        <v>0</v>
      </c>
      <c r="W160" s="214">
        <f t="shared" si="91"/>
        <v>0</v>
      </c>
      <c r="X160" s="214">
        <f t="shared" si="91"/>
        <v>0</v>
      </c>
      <c r="Y160" s="214">
        <f t="shared" si="91"/>
        <v>417.48</v>
      </c>
      <c r="Z160" s="214">
        <f t="shared" si="91"/>
        <v>360</v>
      </c>
      <c r="AA160" s="214">
        <f t="shared" si="91"/>
        <v>265.28999999999996</v>
      </c>
      <c r="AB160" s="214">
        <f t="shared" si="91"/>
        <v>200.13</v>
      </c>
      <c r="AC160" s="214">
        <f t="shared" si="91"/>
        <v>176.4375</v>
      </c>
      <c r="AD160" s="214">
        <f t="shared" si="91"/>
        <v>176.4375</v>
      </c>
      <c r="AE160" s="214">
        <f t="shared" si="91"/>
        <v>176.4375</v>
      </c>
      <c r="AF160" s="214">
        <f t="shared" si="91"/>
        <v>176.4375</v>
      </c>
      <c r="AG160" s="214">
        <f t="shared" si="91"/>
        <v>176.4375</v>
      </c>
      <c r="AH160" s="214">
        <f t="shared" si="91"/>
        <v>176.4375</v>
      </c>
      <c r="AI160" s="214">
        <f t="shared" si="91"/>
        <v>176.4375</v>
      </c>
      <c r="AJ160" s="214">
        <f t="shared" si="91"/>
        <v>176.4375</v>
      </c>
      <c r="AK160" s="214">
        <f t="shared" si="91"/>
        <v>176.4375</v>
      </c>
      <c r="AL160" s="214">
        <f t="shared" si="91"/>
        <v>176.4375</v>
      </c>
      <c r="AM160" s="214">
        <f t="shared" si="91"/>
        <v>176.4375</v>
      </c>
      <c r="AN160" s="214">
        <f t="shared" si="91"/>
        <v>176.4375</v>
      </c>
      <c r="AO160" s="214">
        <f t="shared" si="91"/>
        <v>0</v>
      </c>
      <c r="AP160" s="214">
        <f t="shared" si="91"/>
        <v>0</v>
      </c>
      <c r="AQ160" s="214">
        <f t="shared" si="91"/>
        <v>0</v>
      </c>
      <c r="AR160" s="214">
        <f t="shared" si="91"/>
        <v>0</v>
      </c>
      <c r="AS160" s="214">
        <f t="shared" si="91"/>
        <v>0</v>
      </c>
      <c r="AT160" s="214">
        <f t="shared" si="91"/>
        <v>0</v>
      </c>
      <c r="AU160" s="214">
        <f t="shared" si="91"/>
        <v>0</v>
      </c>
      <c r="AV160" s="214">
        <f t="shared" si="91"/>
        <v>0</v>
      </c>
    </row>
    <row r="161" spans="1:48" s="123" customFormat="1" ht="15" customHeight="1">
      <c r="A161" s="134"/>
      <c r="B161" s="134"/>
      <c r="C161" s="151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</row>
    <row r="162" spans="1:48" s="148" customFormat="1" ht="15" customHeight="1">
      <c r="A162" s="179"/>
      <c r="B162" s="179"/>
      <c r="C162" s="149"/>
      <c r="E162" s="148" t="s">
        <v>95</v>
      </c>
      <c r="F162" s="148">
        <f xml:space="preserve"> SUM(L162:AV162)</f>
        <v>2027</v>
      </c>
      <c r="G162" s="148" t="s">
        <v>62</v>
      </c>
      <c r="L162" s="148">
        <f xml:space="preserve"> AND(K160 = 0, L160 &gt; 0) * L157</f>
        <v>0</v>
      </c>
      <c r="M162" s="148">
        <f t="shared" ref="M162:AV162" si="92" xml:space="preserve"> AND(L160 = 0, M160 &gt; 0) * M157</f>
        <v>0</v>
      </c>
      <c r="N162" s="148">
        <f t="shared" si="92"/>
        <v>0</v>
      </c>
      <c r="O162" s="148">
        <f t="shared" si="92"/>
        <v>0</v>
      </c>
      <c r="P162" s="148">
        <f t="shared" si="92"/>
        <v>0</v>
      </c>
      <c r="Q162" s="148">
        <f t="shared" si="92"/>
        <v>0</v>
      </c>
      <c r="R162" s="148">
        <f t="shared" si="92"/>
        <v>0</v>
      </c>
      <c r="S162" s="148">
        <f t="shared" si="92"/>
        <v>0</v>
      </c>
      <c r="T162" s="148">
        <f t="shared" si="92"/>
        <v>0</v>
      </c>
      <c r="U162" s="148">
        <f t="shared" si="92"/>
        <v>0</v>
      </c>
      <c r="V162" s="148">
        <f t="shared" si="92"/>
        <v>0</v>
      </c>
      <c r="W162" s="148">
        <f t="shared" si="92"/>
        <v>0</v>
      </c>
      <c r="X162" s="148">
        <f t="shared" si="92"/>
        <v>0</v>
      </c>
      <c r="Y162" s="148">
        <f t="shared" si="92"/>
        <v>2027</v>
      </c>
      <c r="Z162" s="148">
        <f t="shared" si="92"/>
        <v>0</v>
      </c>
      <c r="AA162" s="148">
        <f t="shared" si="92"/>
        <v>0</v>
      </c>
      <c r="AB162" s="148">
        <f t="shared" si="92"/>
        <v>0</v>
      </c>
      <c r="AC162" s="148">
        <f t="shared" si="92"/>
        <v>0</v>
      </c>
      <c r="AD162" s="148">
        <f t="shared" si="92"/>
        <v>0</v>
      </c>
      <c r="AE162" s="148">
        <f t="shared" si="92"/>
        <v>0</v>
      </c>
      <c r="AF162" s="148">
        <f t="shared" si="92"/>
        <v>0</v>
      </c>
      <c r="AG162" s="148">
        <f t="shared" si="92"/>
        <v>0</v>
      </c>
      <c r="AH162" s="148">
        <f t="shared" si="92"/>
        <v>0</v>
      </c>
      <c r="AI162" s="148">
        <f t="shared" si="92"/>
        <v>0</v>
      </c>
      <c r="AJ162" s="148">
        <f t="shared" si="92"/>
        <v>0</v>
      </c>
      <c r="AK162" s="148">
        <f t="shared" si="92"/>
        <v>0</v>
      </c>
      <c r="AL162" s="148">
        <f t="shared" si="92"/>
        <v>0</v>
      </c>
      <c r="AM162" s="148">
        <f t="shared" si="92"/>
        <v>0</v>
      </c>
      <c r="AN162" s="148">
        <f t="shared" si="92"/>
        <v>0</v>
      </c>
      <c r="AO162" s="148">
        <f t="shared" si="92"/>
        <v>0</v>
      </c>
      <c r="AP162" s="148">
        <f t="shared" si="92"/>
        <v>0</v>
      </c>
      <c r="AQ162" s="148">
        <f t="shared" si="92"/>
        <v>0</v>
      </c>
      <c r="AR162" s="148">
        <f t="shared" si="92"/>
        <v>0</v>
      </c>
      <c r="AS162" s="148">
        <f t="shared" si="92"/>
        <v>0</v>
      </c>
      <c r="AT162" s="148">
        <f t="shared" si="92"/>
        <v>0</v>
      </c>
      <c r="AU162" s="148">
        <f t="shared" si="92"/>
        <v>0</v>
      </c>
      <c r="AV162" s="148">
        <f t="shared" si="92"/>
        <v>0</v>
      </c>
    </row>
    <row r="163" spans="1:48" s="123" customFormat="1" ht="15" customHeight="1">
      <c r="A163" s="134"/>
      <c r="B163" s="134"/>
      <c r="C163" s="151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</row>
    <row r="164" spans="1:48" s="123" customFormat="1" ht="15" customHeight="1">
      <c r="A164" s="134"/>
      <c r="B164" s="134"/>
      <c r="C164" s="151"/>
      <c r="E164" s="132" t="str">
        <f xml:space="preserve"> Kamoto_2011TR!E$154</f>
        <v>Capital Expenditure 2011TR</v>
      </c>
      <c r="F164" s="132">
        <f xml:space="preserve"> Kamoto_2011TR!F$154</f>
        <v>0</v>
      </c>
      <c r="G164" s="132" t="str">
        <f xml:space="preserve"> Kamoto_2011TR!G$154</f>
        <v>$ mn</v>
      </c>
      <c r="H164" s="132">
        <f xml:space="preserve"> Kamoto_2011TR!H$154</f>
        <v>0</v>
      </c>
      <c r="I164" s="132" t="str">
        <f xml:space="preserve"> Kamoto_2011TR!I$154</f>
        <v>XVII</v>
      </c>
      <c r="J164" s="132">
        <f xml:space="preserve"> Kamoto_2011TR!J$154</f>
        <v>-2648</v>
      </c>
      <c r="K164" s="132">
        <f xml:space="preserve"> Kamoto_2011TR!K$154</f>
        <v>0</v>
      </c>
      <c r="L164" s="132">
        <f xml:space="preserve"> Kamoto_2011TR!L$154</f>
        <v>0</v>
      </c>
      <c r="M164" s="132">
        <f xml:space="preserve"> Kamoto_2011TR!M$154</f>
        <v>0</v>
      </c>
      <c r="N164" s="132">
        <f xml:space="preserve"> Kamoto_2011TR!N$154</f>
        <v>0</v>
      </c>
      <c r="O164" s="132">
        <f xml:space="preserve"> Kamoto_2011TR!O$154</f>
        <v>0</v>
      </c>
      <c r="P164" s="132">
        <f xml:space="preserve"> Kamoto_2011TR!P$154</f>
        <v>0</v>
      </c>
      <c r="Q164" s="132">
        <f xml:space="preserve"> Kamoto_2011TR!Q$154</f>
        <v>-320</v>
      </c>
      <c r="R164" s="132">
        <f xml:space="preserve"> Kamoto_2011TR!R$154</f>
        <v>-353</v>
      </c>
      <c r="S164" s="132">
        <f xml:space="preserve"> Kamoto_2011TR!S$154</f>
        <v>-371</v>
      </c>
      <c r="T164" s="132">
        <f xml:space="preserve"> Kamoto_2011TR!T$154</f>
        <v>-133</v>
      </c>
      <c r="U164" s="132">
        <f xml:space="preserve"> Kamoto_2011TR!U$154</f>
        <v>-120</v>
      </c>
      <c r="V164" s="132">
        <f xml:space="preserve"> Kamoto_2011TR!V$154</f>
        <v>-89</v>
      </c>
      <c r="W164" s="132">
        <f xml:space="preserve"> Kamoto_2011TR!W$154</f>
        <v>-105</v>
      </c>
      <c r="X164" s="132">
        <f xml:space="preserve"> Kamoto_2011TR!X$154</f>
        <v>-119</v>
      </c>
      <c r="Y164" s="132">
        <f xml:space="preserve"> Kamoto_2011TR!Y$154</f>
        <v>-97</v>
      </c>
      <c r="Z164" s="132">
        <f xml:space="preserve"> Kamoto_2011TR!Z$154</f>
        <v>-110</v>
      </c>
      <c r="AA164" s="132">
        <f xml:space="preserve"> Kamoto_2011TR!AA$154</f>
        <v>-103</v>
      </c>
      <c r="AB164" s="132">
        <f xml:space="preserve"> Kamoto_2011TR!AB$154</f>
        <v>-103</v>
      </c>
      <c r="AC164" s="132">
        <f xml:space="preserve"> Kamoto_2011TR!AC$154</f>
        <v>-94</v>
      </c>
      <c r="AD164" s="132">
        <f xml:space="preserve"> Kamoto_2011TR!AD$154</f>
        <v>-87</v>
      </c>
      <c r="AE164" s="132">
        <f xml:space="preserve"> Kamoto_2011TR!AE$154</f>
        <v>-76</v>
      </c>
      <c r="AF164" s="132">
        <f xml:space="preserve"> Kamoto_2011TR!AF$154</f>
        <v>-77</v>
      </c>
      <c r="AG164" s="132">
        <f xml:space="preserve"> Kamoto_2011TR!AG$154</f>
        <v>-75</v>
      </c>
      <c r="AH164" s="132">
        <f xml:space="preserve"> Kamoto_2011TR!AH$154</f>
        <v>-83</v>
      </c>
      <c r="AI164" s="132">
        <f xml:space="preserve"> Kamoto_2011TR!AI$154</f>
        <v>-77</v>
      </c>
      <c r="AJ164" s="132">
        <f xml:space="preserve"> Kamoto_2011TR!AJ$154</f>
        <v>-56</v>
      </c>
      <c r="AK164" s="132">
        <f xml:space="preserve"> Kamoto_2011TR!AK$154</f>
        <v>0</v>
      </c>
      <c r="AL164" s="132">
        <f xml:space="preserve"> Kamoto_2011TR!AL$154</f>
        <v>0</v>
      </c>
      <c r="AM164" s="132">
        <f xml:space="preserve"> Kamoto_2011TR!AM$154</f>
        <v>0</v>
      </c>
      <c r="AN164" s="132">
        <f xml:space="preserve"> Kamoto_2011TR!AN$154</f>
        <v>0</v>
      </c>
      <c r="AO164" s="132">
        <f xml:space="preserve"> Kamoto_2011TR!AO$154</f>
        <v>0</v>
      </c>
      <c r="AP164" s="132">
        <f xml:space="preserve"> Kamoto_2011TR!AP$154</f>
        <v>0</v>
      </c>
      <c r="AQ164" s="132">
        <f xml:space="preserve"> Kamoto_2011TR!AQ$154</f>
        <v>0</v>
      </c>
      <c r="AR164" s="132">
        <f xml:space="preserve"> Kamoto_2011TR!AR$154</f>
        <v>0</v>
      </c>
      <c r="AS164" s="132">
        <f xml:space="preserve"> Kamoto_2011TR!AS$154</f>
        <v>0</v>
      </c>
      <c r="AT164" s="132">
        <f xml:space="preserve"> Kamoto_2011TR!AT$154</f>
        <v>0</v>
      </c>
      <c r="AU164" s="132">
        <f xml:space="preserve"> Kamoto_2011TR!AU$154</f>
        <v>0</v>
      </c>
      <c r="AV164" s="132">
        <f xml:space="preserve"> Kamoto_2011TR!AV$154</f>
        <v>0</v>
      </c>
    </row>
    <row r="165" spans="1:48" s="132" customFormat="1" ht="15" customHeight="1">
      <c r="A165" s="133"/>
      <c r="B165" s="133"/>
      <c r="C165" s="217"/>
      <c r="E165" s="132" t="str">
        <f xml:space="preserve"> E164 &amp; " POS"</f>
        <v>Capital Expenditure 2011TR POS</v>
      </c>
      <c r="G165" s="132" t="s">
        <v>29</v>
      </c>
      <c r="J165" s="132">
        <f xml:space="preserve"> SUM(L165:AV165)</f>
        <v>2648</v>
      </c>
      <c r="L165" s="132">
        <f t="shared" ref="L165:AV165" si="93" xml:space="preserve"> L164  * -1</f>
        <v>0</v>
      </c>
      <c r="M165" s="132">
        <f t="shared" si="93"/>
        <v>0</v>
      </c>
      <c r="N165" s="132">
        <f t="shared" si="93"/>
        <v>0</v>
      </c>
      <c r="O165" s="132">
        <f t="shared" si="93"/>
        <v>0</v>
      </c>
      <c r="P165" s="132">
        <f t="shared" si="93"/>
        <v>0</v>
      </c>
      <c r="Q165" s="132">
        <f t="shared" si="93"/>
        <v>320</v>
      </c>
      <c r="R165" s="132">
        <f t="shared" si="93"/>
        <v>353</v>
      </c>
      <c r="S165" s="132">
        <f t="shared" si="93"/>
        <v>371</v>
      </c>
      <c r="T165" s="132">
        <f t="shared" si="93"/>
        <v>133</v>
      </c>
      <c r="U165" s="132">
        <f t="shared" si="93"/>
        <v>120</v>
      </c>
      <c r="V165" s="132">
        <f t="shared" si="93"/>
        <v>89</v>
      </c>
      <c r="W165" s="132">
        <f t="shared" si="93"/>
        <v>105</v>
      </c>
      <c r="X165" s="132">
        <f t="shared" si="93"/>
        <v>119</v>
      </c>
      <c r="Y165" s="132">
        <f t="shared" si="93"/>
        <v>97</v>
      </c>
      <c r="Z165" s="132">
        <f t="shared" si="93"/>
        <v>110</v>
      </c>
      <c r="AA165" s="132">
        <f t="shared" si="93"/>
        <v>103</v>
      </c>
      <c r="AB165" s="132">
        <f t="shared" si="93"/>
        <v>103</v>
      </c>
      <c r="AC165" s="132">
        <f t="shared" si="93"/>
        <v>94</v>
      </c>
      <c r="AD165" s="132">
        <f t="shared" si="93"/>
        <v>87</v>
      </c>
      <c r="AE165" s="132">
        <f t="shared" si="93"/>
        <v>76</v>
      </c>
      <c r="AF165" s="132">
        <f t="shared" si="93"/>
        <v>77</v>
      </c>
      <c r="AG165" s="132">
        <f t="shared" si="93"/>
        <v>75</v>
      </c>
      <c r="AH165" s="132">
        <f t="shared" si="93"/>
        <v>83</v>
      </c>
      <c r="AI165" s="132">
        <f t="shared" si="93"/>
        <v>77</v>
      </c>
      <c r="AJ165" s="132">
        <f t="shared" si="93"/>
        <v>56</v>
      </c>
      <c r="AK165" s="132">
        <f t="shared" si="93"/>
        <v>0</v>
      </c>
      <c r="AL165" s="132">
        <f t="shared" si="93"/>
        <v>0</v>
      </c>
      <c r="AM165" s="132">
        <f t="shared" si="93"/>
        <v>0</v>
      </c>
      <c r="AN165" s="132">
        <f t="shared" si="93"/>
        <v>0</v>
      </c>
      <c r="AO165" s="132">
        <f t="shared" si="93"/>
        <v>0</v>
      </c>
      <c r="AP165" s="132">
        <f t="shared" si="93"/>
        <v>0</v>
      </c>
      <c r="AQ165" s="132">
        <f t="shared" si="93"/>
        <v>0</v>
      </c>
      <c r="AR165" s="132">
        <f t="shared" si="93"/>
        <v>0</v>
      </c>
      <c r="AS165" s="132">
        <f t="shared" si="93"/>
        <v>0</v>
      </c>
      <c r="AT165" s="132">
        <f t="shared" si="93"/>
        <v>0</v>
      </c>
      <c r="AU165" s="132">
        <f t="shared" si="93"/>
        <v>0</v>
      </c>
      <c r="AV165" s="132">
        <f t="shared" si="93"/>
        <v>0</v>
      </c>
    </row>
    <row r="166" spans="1:48" s="132" customFormat="1" ht="15" customHeight="1">
      <c r="A166" s="133"/>
      <c r="B166" s="133"/>
      <c r="C166" s="217"/>
    </row>
    <row r="167" spans="1:48" s="123" customFormat="1" ht="15" customHeight="1">
      <c r="A167" s="134"/>
      <c r="B167" s="134"/>
      <c r="C167" s="151"/>
      <c r="E167" s="123" t="s">
        <v>96</v>
      </c>
      <c r="G167" s="123" t="s">
        <v>29</v>
      </c>
      <c r="J167" s="123">
        <f xml:space="preserve"> SUM(L167:AV167)</f>
        <v>1610</v>
      </c>
      <c r="L167" s="123">
        <f t="shared" ref="L167:AV167" si="94" xml:space="preserve"> L165 * (L157 &lt; $F162)</f>
        <v>0</v>
      </c>
      <c r="M167" s="123">
        <f t="shared" si="94"/>
        <v>0</v>
      </c>
      <c r="N167" s="123">
        <f t="shared" si="94"/>
        <v>0</v>
      </c>
      <c r="O167" s="123">
        <f t="shared" si="94"/>
        <v>0</v>
      </c>
      <c r="P167" s="123">
        <f t="shared" si="94"/>
        <v>0</v>
      </c>
      <c r="Q167" s="123">
        <f t="shared" si="94"/>
        <v>320</v>
      </c>
      <c r="R167" s="123">
        <f t="shared" si="94"/>
        <v>353</v>
      </c>
      <c r="S167" s="123">
        <f t="shared" si="94"/>
        <v>371</v>
      </c>
      <c r="T167" s="123">
        <f t="shared" si="94"/>
        <v>133</v>
      </c>
      <c r="U167" s="123">
        <f t="shared" si="94"/>
        <v>120</v>
      </c>
      <c r="V167" s="211">
        <f t="shared" si="94"/>
        <v>89</v>
      </c>
      <c r="W167" s="211">
        <f t="shared" si="94"/>
        <v>105</v>
      </c>
      <c r="X167" s="211">
        <f t="shared" si="94"/>
        <v>119</v>
      </c>
      <c r="Y167" s="123">
        <f t="shared" si="94"/>
        <v>0</v>
      </c>
      <c r="Z167" s="123">
        <f t="shared" si="94"/>
        <v>0</v>
      </c>
      <c r="AA167" s="123">
        <f t="shared" si="94"/>
        <v>0</v>
      </c>
      <c r="AB167" s="123">
        <f t="shared" si="94"/>
        <v>0</v>
      </c>
      <c r="AC167" s="123">
        <f t="shared" si="94"/>
        <v>0</v>
      </c>
      <c r="AD167" s="123">
        <f t="shared" si="94"/>
        <v>0</v>
      </c>
      <c r="AE167" s="123">
        <f t="shared" si="94"/>
        <v>0</v>
      </c>
      <c r="AF167" s="123">
        <f t="shared" si="94"/>
        <v>0</v>
      </c>
      <c r="AG167" s="123">
        <f t="shared" si="94"/>
        <v>0</v>
      </c>
      <c r="AH167" s="123">
        <f t="shared" si="94"/>
        <v>0</v>
      </c>
      <c r="AI167" s="123">
        <f t="shared" si="94"/>
        <v>0</v>
      </c>
      <c r="AJ167" s="123">
        <f t="shared" si="94"/>
        <v>0</v>
      </c>
      <c r="AK167" s="123">
        <f t="shared" si="94"/>
        <v>0</v>
      </c>
      <c r="AL167" s="123">
        <f t="shared" si="94"/>
        <v>0</v>
      </c>
      <c r="AM167" s="123">
        <f t="shared" si="94"/>
        <v>0</v>
      </c>
      <c r="AN167" s="123">
        <f t="shared" si="94"/>
        <v>0</v>
      </c>
      <c r="AO167" s="123">
        <f t="shared" si="94"/>
        <v>0</v>
      </c>
      <c r="AP167" s="123">
        <f t="shared" si="94"/>
        <v>0</v>
      </c>
      <c r="AQ167" s="123">
        <f t="shared" si="94"/>
        <v>0</v>
      </c>
      <c r="AR167" s="123">
        <f t="shared" si="94"/>
        <v>0</v>
      </c>
      <c r="AS167" s="123">
        <f t="shared" si="94"/>
        <v>0</v>
      </c>
      <c r="AT167" s="123">
        <f t="shared" si="94"/>
        <v>0</v>
      </c>
      <c r="AU167" s="123">
        <f t="shared" si="94"/>
        <v>0</v>
      </c>
      <c r="AV167" s="123">
        <f t="shared" si="94"/>
        <v>0</v>
      </c>
    </row>
    <row r="168" spans="1:48" s="123" customFormat="1" ht="15" customHeight="1">
      <c r="A168" s="134"/>
      <c r="B168" s="134"/>
      <c r="C168" s="151"/>
    </row>
    <row r="169" spans="1:48" s="62" customFormat="1" ht="15" customHeight="1">
      <c r="B169" s="203"/>
      <c r="C169" s="201"/>
      <c r="E169" s="202" t="s">
        <v>97</v>
      </c>
      <c r="F169" s="202"/>
      <c r="G169" s="202" t="s">
        <v>29</v>
      </c>
      <c r="H169" s="156"/>
      <c r="I169" s="202"/>
      <c r="J169" s="202">
        <f xml:space="preserve"> SUM(L169:AV169)</f>
        <v>4970.1499999999996</v>
      </c>
      <c r="K169" s="202">
        <f xml:space="preserve"> InputsTS!K$420</f>
        <v>0</v>
      </c>
      <c r="L169" s="202">
        <f t="shared" ref="L169:AV169" si="95" xml:space="preserve"> L167 + L160</f>
        <v>0</v>
      </c>
      <c r="M169" s="202">
        <f t="shared" si="95"/>
        <v>0</v>
      </c>
      <c r="N169" s="202">
        <f t="shared" si="95"/>
        <v>0</v>
      </c>
      <c r="O169" s="202">
        <f t="shared" si="95"/>
        <v>0</v>
      </c>
      <c r="P169" s="202">
        <f t="shared" si="95"/>
        <v>0</v>
      </c>
      <c r="Q169" s="202">
        <f t="shared" si="95"/>
        <v>320</v>
      </c>
      <c r="R169" s="202">
        <f t="shared" si="95"/>
        <v>353</v>
      </c>
      <c r="S169" s="202">
        <f t="shared" si="95"/>
        <v>371</v>
      </c>
      <c r="T169" s="202">
        <f t="shared" si="95"/>
        <v>133</v>
      </c>
      <c r="U169" s="202">
        <f t="shared" si="95"/>
        <v>120</v>
      </c>
      <c r="V169" s="202">
        <f t="shared" si="95"/>
        <v>89</v>
      </c>
      <c r="W169" s="202">
        <f t="shared" si="95"/>
        <v>105</v>
      </c>
      <c r="X169" s="202">
        <f t="shared" si="95"/>
        <v>119</v>
      </c>
      <c r="Y169" s="202">
        <f t="shared" si="95"/>
        <v>417.48</v>
      </c>
      <c r="Z169" s="202">
        <f t="shared" si="95"/>
        <v>360</v>
      </c>
      <c r="AA169" s="202">
        <f t="shared" si="95"/>
        <v>265.28999999999996</v>
      </c>
      <c r="AB169" s="202">
        <f t="shared" si="95"/>
        <v>200.13</v>
      </c>
      <c r="AC169" s="202">
        <f t="shared" si="95"/>
        <v>176.4375</v>
      </c>
      <c r="AD169" s="202">
        <f t="shared" si="95"/>
        <v>176.4375</v>
      </c>
      <c r="AE169" s="202">
        <f t="shared" si="95"/>
        <v>176.4375</v>
      </c>
      <c r="AF169" s="202">
        <f t="shared" si="95"/>
        <v>176.4375</v>
      </c>
      <c r="AG169" s="202">
        <f t="shared" si="95"/>
        <v>176.4375</v>
      </c>
      <c r="AH169" s="202">
        <f t="shared" si="95"/>
        <v>176.4375</v>
      </c>
      <c r="AI169" s="202">
        <f t="shared" si="95"/>
        <v>176.4375</v>
      </c>
      <c r="AJ169" s="202">
        <f t="shared" si="95"/>
        <v>176.4375</v>
      </c>
      <c r="AK169" s="202">
        <f t="shared" si="95"/>
        <v>176.4375</v>
      </c>
      <c r="AL169" s="202">
        <f t="shared" si="95"/>
        <v>176.4375</v>
      </c>
      <c r="AM169" s="202">
        <f t="shared" si="95"/>
        <v>176.4375</v>
      </c>
      <c r="AN169" s="202">
        <f t="shared" si="95"/>
        <v>176.4375</v>
      </c>
      <c r="AO169" s="202">
        <f t="shared" si="95"/>
        <v>0</v>
      </c>
      <c r="AP169" s="202">
        <f t="shared" si="95"/>
        <v>0</v>
      </c>
      <c r="AQ169" s="202">
        <f t="shared" si="95"/>
        <v>0</v>
      </c>
      <c r="AR169" s="202">
        <f t="shared" si="95"/>
        <v>0</v>
      </c>
      <c r="AS169" s="202">
        <f t="shared" si="95"/>
        <v>0</v>
      </c>
      <c r="AT169" s="202">
        <f t="shared" si="95"/>
        <v>0</v>
      </c>
      <c r="AU169" s="202">
        <f t="shared" si="95"/>
        <v>0</v>
      </c>
      <c r="AV169" s="202">
        <f t="shared" si="95"/>
        <v>0</v>
      </c>
    </row>
    <row r="170" spans="1:48" s="108" customFormat="1" ht="15" customHeight="1">
      <c r="B170" s="188"/>
      <c r="C170" s="149"/>
    </row>
    <row r="171" spans="1:48" s="123" customFormat="1" ht="15" customHeight="1">
      <c r="A171" s="134"/>
      <c r="B171" s="134" t="s">
        <v>98</v>
      </c>
      <c r="C171" s="151"/>
    </row>
    <row r="172" spans="1:48" s="123" customFormat="1" ht="15" customHeight="1">
      <c r="A172" s="134"/>
      <c r="B172" s="134"/>
      <c r="C172" s="151"/>
      <c r="E172" s="123" t="s">
        <v>99</v>
      </c>
      <c r="F172" s="137">
        <v>0.6</v>
      </c>
      <c r="G172" s="123" t="s">
        <v>26</v>
      </c>
      <c r="H172" s="132" t="str">
        <f xml:space="preserve"> Sources!I$63</f>
        <v>LI</v>
      </c>
    </row>
    <row r="173" spans="1:48" s="123" customFormat="1" ht="15" customHeight="1">
      <c r="A173" s="134"/>
      <c r="B173" s="134"/>
      <c r="C173" s="151"/>
      <c r="E173" s="123" t="s">
        <v>100</v>
      </c>
      <c r="F173" s="137">
        <v>0.3</v>
      </c>
      <c r="G173" s="123" t="s">
        <v>26</v>
      </c>
      <c r="H173" s="132" t="str">
        <f xml:space="preserve"> Sources!I$63</f>
        <v>LI</v>
      </c>
    </row>
    <row r="174" spans="1:48" s="123" customFormat="1" ht="15" customHeight="1">
      <c r="A174" s="134"/>
      <c r="B174" s="134"/>
      <c r="C174" s="151"/>
    </row>
    <row r="175" spans="1:48" s="123" customFormat="1" ht="15" customHeight="1">
      <c r="A175" s="134"/>
      <c r="B175" s="134"/>
      <c r="C175" s="151"/>
      <c r="E175" s="123" t="str">
        <f xml:space="preserve"> E169</f>
        <v xml:space="preserve">Capex aggregated historical + 2019TR capex </v>
      </c>
      <c r="G175" s="123" t="s">
        <v>29</v>
      </c>
      <c r="J175" s="123">
        <f xml:space="preserve"> SUM(L175:AV175)</f>
        <v>4970.1499999999996</v>
      </c>
      <c r="L175" s="123">
        <f t="shared" ref="L175:AV175" si="96" xml:space="preserve"> L169</f>
        <v>0</v>
      </c>
      <c r="M175" s="123">
        <f t="shared" si="96"/>
        <v>0</v>
      </c>
      <c r="N175" s="123">
        <f t="shared" si="96"/>
        <v>0</v>
      </c>
      <c r="O175" s="123">
        <f t="shared" si="96"/>
        <v>0</v>
      </c>
      <c r="P175" s="123">
        <f t="shared" si="96"/>
        <v>0</v>
      </c>
      <c r="Q175" s="123">
        <f t="shared" si="96"/>
        <v>320</v>
      </c>
      <c r="R175" s="123">
        <f t="shared" si="96"/>
        <v>353</v>
      </c>
      <c r="S175" s="123">
        <f t="shared" si="96"/>
        <v>371</v>
      </c>
      <c r="T175" s="123">
        <f t="shared" si="96"/>
        <v>133</v>
      </c>
      <c r="U175" s="123">
        <f t="shared" si="96"/>
        <v>120</v>
      </c>
      <c r="V175" s="123">
        <f t="shared" si="96"/>
        <v>89</v>
      </c>
      <c r="W175" s="123">
        <f t="shared" si="96"/>
        <v>105</v>
      </c>
      <c r="X175" s="123">
        <f t="shared" si="96"/>
        <v>119</v>
      </c>
      <c r="Y175" s="123">
        <f t="shared" si="96"/>
        <v>417.48</v>
      </c>
      <c r="Z175" s="123">
        <f t="shared" si="96"/>
        <v>360</v>
      </c>
      <c r="AA175" s="123">
        <f t="shared" si="96"/>
        <v>265.28999999999996</v>
      </c>
      <c r="AB175" s="123">
        <f t="shared" si="96"/>
        <v>200.13</v>
      </c>
      <c r="AC175" s="123">
        <f t="shared" si="96"/>
        <v>176.4375</v>
      </c>
      <c r="AD175" s="123">
        <f t="shared" si="96"/>
        <v>176.4375</v>
      </c>
      <c r="AE175" s="123">
        <f t="shared" si="96"/>
        <v>176.4375</v>
      </c>
      <c r="AF175" s="123">
        <f t="shared" si="96"/>
        <v>176.4375</v>
      </c>
      <c r="AG175" s="123">
        <f t="shared" si="96"/>
        <v>176.4375</v>
      </c>
      <c r="AH175" s="123">
        <f t="shared" si="96"/>
        <v>176.4375</v>
      </c>
      <c r="AI175" s="123">
        <f t="shared" si="96"/>
        <v>176.4375</v>
      </c>
      <c r="AJ175" s="123">
        <f t="shared" si="96"/>
        <v>176.4375</v>
      </c>
      <c r="AK175" s="123">
        <f t="shared" si="96"/>
        <v>176.4375</v>
      </c>
      <c r="AL175" s="123">
        <f t="shared" si="96"/>
        <v>176.4375</v>
      </c>
      <c r="AM175" s="123">
        <f t="shared" si="96"/>
        <v>176.4375</v>
      </c>
      <c r="AN175" s="123">
        <f t="shared" si="96"/>
        <v>176.4375</v>
      </c>
      <c r="AO175" s="123">
        <f t="shared" si="96"/>
        <v>0</v>
      </c>
      <c r="AP175" s="123">
        <f t="shared" si="96"/>
        <v>0</v>
      </c>
      <c r="AQ175" s="123">
        <f t="shared" si="96"/>
        <v>0</v>
      </c>
      <c r="AR175" s="123">
        <f t="shared" si="96"/>
        <v>0</v>
      </c>
      <c r="AS175" s="123">
        <f t="shared" si="96"/>
        <v>0</v>
      </c>
      <c r="AT175" s="123">
        <f t="shared" si="96"/>
        <v>0</v>
      </c>
      <c r="AU175" s="123">
        <f t="shared" si="96"/>
        <v>0</v>
      </c>
      <c r="AV175" s="123">
        <f t="shared" si="96"/>
        <v>0</v>
      </c>
    </row>
    <row r="176" spans="1:48" s="123" customFormat="1" ht="15" customHeight="1">
      <c r="A176" s="134"/>
      <c r="B176" s="134"/>
      <c r="C176" s="151"/>
      <c r="E176" s="146" t="s">
        <v>101</v>
      </c>
      <c r="F176" s="146"/>
      <c r="G176" s="146" t="s">
        <v>29</v>
      </c>
      <c r="H176" s="146"/>
      <c r="I176" s="146"/>
      <c r="J176" s="146"/>
      <c r="K176" s="146"/>
      <c r="L176" s="146">
        <f t="shared" ref="L176:AV176" si="97">K180</f>
        <v>0</v>
      </c>
      <c r="M176" s="146">
        <f t="shared" si="97"/>
        <v>0</v>
      </c>
      <c r="N176" s="146">
        <f t="shared" si="97"/>
        <v>0</v>
      </c>
      <c r="O176" s="146">
        <f t="shared" si="97"/>
        <v>0</v>
      </c>
      <c r="P176" s="146">
        <f t="shared" si="97"/>
        <v>0</v>
      </c>
      <c r="Q176" s="146">
        <f t="shared" si="97"/>
        <v>0</v>
      </c>
      <c r="R176" s="146">
        <f t="shared" si="97"/>
        <v>128</v>
      </c>
      <c r="S176" s="146">
        <f t="shared" si="97"/>
        <v>230.80000000000004</v>
      </c>
      <c r="T176" s="146">
        <f t="shared" si="97"/>
        <v>309.96000000000004</v>
      </c>
      <c r="U176" s="146">
        <f t="shared" si="97"/>
        <v>270.17200000000003</v>
      </c>
      <c r="V176" s="146">
        <f t="shared" si="97"/>
        <v>237.12040000000002</v>
      </c>
      <c r="W176" s="146">
        <f t="shared" si="97"/>
        <v>201.58428000000004</v>
      </c>
      <c r="X176" s="146">
        <f t="shared" si="97"/>
        <v>183.10899600000002</v>
      </c>
      <c r="Y176" s="146">
        <f t="shared" si="97"/>
        <v>175.77629720000007</v>
      </c>
      <c r="Z176" s="146">
        <f t="shared" si="97"/>
        <v>290.03540804000005</v>
      </c>
      <c r="AA176" s="146">
        <f t="shared" si="97"/>
        <v>347.02478562799996</v>
      </c>
      <c r="AB176" s="146">
        <f t="shared" si="97"/>
        <v>349.03334993960004</v>
      </c>
      <c r="AC176" s="146">
        <f t="shared" si="97"/>
        <v>324.37534495772007</v>
      </c>
      <c r="AD176" s="146">
        <f t="shared" si="97"/>
        <v>297.63774147040402</v>
      </c>
      <c r="AE176" s="146">
        <f t="shared" si="97"/>
        <v>278.92141902928279</v>
      </c>
      <c r="AF176" s="146">
        <f t="shared" si="97"/>
        <v>265.81999332049793</v>
      </c>
      <c r="AG176" s="146">
        <f t="shared" si="97"/>
        <v>256.64899532434856</v>
      </c>
      <c r="AH176" s="146">
        <f t="shared" si="97"/>
        <v>250.22929672704399</v>
      </c>
      <c r="AI176" s="146">
        <f t="shared" si="97"/>
        <v>245.73550770893081</v>
      </c>
      <c r="AJ176" s="146">
        <f t="shared" si="97"/>
        <v>242.58985539625155</v>
      </c>
      <c r="AK176" s="146">
        <f t="shared" si="97"/>
        <v>240.38789877737608</v>
      </c>
      <c r="AL176" s="146">
        <f t="shared" si="97"/>
        <v>238.84652914416327</v>
      </c>
      <c r="AM176" s="146">
        <f t="shared" si="97"/>
        <v>237.76757040091425</v>
      </c>
      <c r="AN176" s="146">
        <f t="shared" si="97"/>
        <v>237.01229928063992</v>
      </c>
      <c r="AO176" s="146">
        <f t="shared" si="97"/>
        <v>236.48360949644794</v>
      </c>
      <c r="AP176" s="146">
        <f t="shared" si="97"/>
        <v>165.53852664751355</v>
      </c>
      <c r="AQ176" s="146">
        <f t="shared" si="97"/>
        <v>115.8769686532595</v>
      </c>
      <c r="AR176" s="146">
        <f t="shared" si="97"/>
        <v>81.113878057281653</v>
      </c>
      <c r="AS176" s="146">
        <f t="shared" si="97"/>
        <v>56.779714640097154</v>
      </c>
      <c r="AT176" s="146">
        <f t="shared" si="97"/>
        <v>39.745800248068008</v>
      </c>
      <c r="AU176" s="146">
        <f t="shared" si="97"/>
        <v>27.822060173647607</v>
      </c>
      <c r="AV176" s="146">
        <f t="shared" si="97"/>
        <v>19.475442121553325</v>
      </c>
    </row>
    <row r="177" spans="1:48" s="123" customFormat="1" ht="15" customHeight="1">
      <c r="A177" s="134"/>
      <c r="B177" s="134"/>
      <c r="C177" s="151"/>
      <c r="E177" s="142" t="s">
        <v>102</v>
      </c>
      <c r="F177" s="142"/>
      <c r="G177" s="142" t="s">
        <v>29</v>
      </c>
      <c r="H177" s="142"/>
      <c r="I177" s="142"/>
      <c r="J177" s="142">
        <f xml:space="preserve"> SUM(L177:AV177)</f>
        <v>4970.1499999999996</v>
      </c>
      <c r="K177" s="142"/>
      <c r="L177" s="142">
        <f t="shared" ref="L177:AV177" si="98" xml:space="preserve"> L$175</f>
        <v>0</v>
      </c>
      <c r="M177" s="142">
        <f t="shared" si="98"/>
        <v>0</v>
      </c>
      <c r="N177" s="142">
        <f t="shared" si="98"/>
        <v>0</v>
      </c>
      <c r="O177" s="142">
        <f t="shared" si="98"/>
        <v>0</v>
      </c>
      <c r="P177" s="142">
        <f t="shared" si="98"/>
        <v>0</v>
      </c>
      <c r="Q177" s="142">
        <f t="shared" si="98"/>
        <v>320</v>
      </c>
      <c r="R177" s="142">
        <f t="shared" si="98"/>
        <v>353</v>
      </c>
      <c r="S177" s="142">
        <f t="shared" si="98"/>
        <v>371</v>
      </c>
      <c r="T177" s="142">
        <f t="shared" si="98"/>
        <v>133</v>
      </c>
      <c r="U177" s="142">
        <f t="shared" si="98"/>
        <v>120</v>
      </c>
      <c r="V177" s="142">
        <f t="shared" si="98"/>
        <v>89</v>
      </c>
      <c r="W177" s="142">
        <f t="shared" si="98"/>
        <v>105</v>
      </c>
      <c r="X177" s="142">
        <f t="shared" si="98"/>
        <v>119</v>
      </c>
      <c r="Y177" s="142">
        <f t="shared" si="98"/>
        <v>417.48</v>
      </c>
      <c r="Z177" s="142">
        <f t="shared" si="98"/>
        <v>360</v>
      </c>
      <c r="AA177" s="142">
        <f t="shared" si="98"/>
        <v>265.28999999999996</v>
      </c>
      <c r="AB177" s="142">
        <f t="shared" si="98"/>
        <v>200.13</v>
      </c>
      <c r="AC177" s="142">
        <f t="shared" si="98"/>
        <v>176.4375</v>
      </c>
      <c r="AD177" s="142">
        <f t="shared" si="98"/>
        <v>176.4375</v>
      </c>
      <c r="AE177" s="142">
        <f t="shared" si="98"/>
        <v>176.4375</v>
      </c>
      <c r="AF177" s="142">
        <f t="shared" si="98"/>
        <v>176.4375</v>
      </c>
      <c r="AG177" s="142">
        <f t="shared" si="98"/>
        <v>176.4375</v>
      </c>
      <c r="AH177" s="142">
        <f t="shared" si="98"/>
        <v>176.4375</v>
      </c>
      <c r="AI177" s="142">
        <f t="shared" si="98"/>
        <v>176.4375</v>
      </c>
      <c r="AJ177" s="142">
        <f t="shared" si="98"/>
        <v>176.4375</v>
      </c>
      <c r="AK177" s="142">
        <f t="shared" si="98"/>
        <v>176.4375</v>
      </c>
      <c r="AL177" s="142">
        <f t="shared" si="98"/>
        <v>176.4375</v>
      </c>
      <c r="AM177" s="142">
        <f t="shared" si="98"/>
        <v>176.4375</v>
      </c>
      <c r="AN177" s="142">
        <f t="shared" si="98"/>
        <v>176.4375</v>
      </c>
      <c r="AO177" s="142">
        <f t="shared" si="98"/>
        <v>0</v>
      </c>
      <c r="AP177" s="142">
        <f t="shared" si="98"/>
        <v>0</v>
      </c>
      <c r="AQ177" s="142">
        <f t="shared" si="98"/>
        <v>0</v>
      </c>
      <c r="AR177" s="142">
        <f t="shared" si="98"/>
        <v>0</v>
      </c>
      <c r="AS177" s="142">
        <f t="shared" si="98"/>
        <v>0</v>
      </c>
      <c r="AT177" s="142">
        <f t="shared" si="98"/>
        <v>0</v>
      </c>
      <c r="AU177" s="142">
        <f t="shared" si="98"/>
        <v>0</v>
      </c>
      <c r="AV177" s="142">
        <f t="shared" si="98"/>
        <v>0</v>
      </c>
    </row>
    <row r="178" spans="1:48" s="123" customFormat="1" ht="15" customHeight="1">
      <c r="A178" s="134"/>
      <c r="B178" s="134"/>
      <c r="C178" s="151"/>
      <c r="E178" s="143" t="s">
        <v>103</v>
      </c>
      <c r="F178" s="142"/>
      <c r="G178" s="143" t="s">
        <v>29</v>
      </c>
      <c r="H178" s="142"/>
      <c r="I178" s="142"/>
      <c r="J178" s="142">
        <f xml:space="preserve"> SUM(L178:AV178)</f>
        <v>2982.0900000000011</v>
      </c>
      <c r="K178" s="142"/>
      <c r="L178" s="142">
        <f t="shared" ref="L178:AV178" si="99" xml:space="preserve"> L177 * $F172</f>
        <v>0</v>
      </c>
      <c r="M178" s="142">
        <f t="shared" si="99"/>
        <v>0</v>
      </c>
      <c r="N178" s="142">
        <f t="shared" si="99"/>
        <v>0</v>
      </c>
      <c r="O178" s="142">
        <f t="shared" si="99"/>
        <v>0</v>
      </c>
      <c r="P178" s="142">
        <f t="shared" si="99"/>
        <v>0</v>
      </c>
      <c r="Q178" s="142">
        <f t="shared" si="99"/>
        <v>192</v>
      </c>
      <c r="R178" s="142">
        <f t="shared" si="99"/>
        <v>211.79999999999998</v>
      </c>
      <c r="S178" s="142">
        <f t="shared" si="99"/>
        <v>222.6</v>
      </c>
      <c r="T178" s="142">
        <f t="shared" si="99"/>
        <v>79.8</v>
      </c>
      <c r="U178" s="142">
        <f t="shared" si="99"/>
        <v>72</v>
      </c>
      <c r="V178" s="142">
        <f t="shared" si="99"/>
        <v>53.4</v>
      </c>
      <c r="W178" s="142">
        <f t="shared" si="99"/>
        <v>63</v>
      </c>
      <c r="X178" s="142">
        <f t="shared" si="99"/>
        <v>71.399999999999991</v>
      </c>
      <c r="Y178" s="142">
        <f t="shared" si="99"/>
        <v>250.488</v>
      </c>
      <c r="Z178" s="142">
        <f t="shared" si="99"/>
        <v>216</v>
      </c>
      <c r="AA178" s="142">
        <f t="shared" si="99"/>
        <v>159.17399999999998</v>
      </c>
      <c r="AB178" s="142">
        <f t="shared" si="99"/>
        <v>120.07799999999999</v>
      </c>
      <c r="AC178" s="142">
        <f t="shared" si="99"/>
        <v>105.8625</v>
      </c>
      <c r="AD178" s="142">
        <f t="shared" si="99"/>
        <v>105.8625</v>
      </c>
      <c r="AE178" s="142">
        <f t="shared" si="99"/>
        <v>105.8625</v>
      </c>
      <c r="AF178" s="142">
        <f t="shared" si="99"/>
        <v>105.8625</v>
      </c>
      <c r="AG178" s="142">
        <f t="shared" si="99"/>
        <v>105.8625</v>
      </c>
      <c r="AH178" s="142">
        <f t="shared" si="99"/>
        <v>105.8625</v>
      </c>
      <c r="AI178" s="142">
        <f t="shared" si="99"/>
        <v>105.8625</v>
      </c>
      <c r="AJ178" s="142">
        <f t="shared" si="99"/>
        <v>105.8625</v>
      </c>
      <c r="AK178" s="142">
        <f t="shared" si="99"/>
        <v>105.8625</v>
      </c>
      <c r="AL178" s="142">
        <f t="shared" si="99"/>
        <v>105.8625</v>
      </c>
      <c r="AM178" s="142">
        <f t="shared" si="99"/>
        <v>105.8625</v>
      </c>
      <c r="AN178" s="142">
        <f t="shared" si="99"/>
        <v>105.8625</v>
      </c>
      <c r="AO178" s="142">
        <f t="shared" si="99"/>
        <v>0</v>
      </c>
      <c r="AP178" s="142">
        <f t="shared" si="99"/>
        <v>0</v>
      </c>
      <c r="AQ178" s="142">
        <f t="shared" si="99"/>
        <v>0</v>
      </c>
      <c r="AR178" s="142">
        <f t="shared" si="99"/>
        <v>0</v>
      </c>
      <c r="AS178" s="142">
        <f t="shared" si="99"/>
        <v>0</v>
      </c>
      <c r="AT178" s="142">
        <f t="shared" si="99"/>
        <v>0</v>
      </c>
      <c r="AU178" s="142">
        <f t="shared" si="99"/>
        <v>0</v>
      </c>
      <c r="AV178" s="142">
        <f t="shared" si="99"/>
        <v>0</v>
      </c>
    </row>
    <row r="179" spans="1:48" s="123" customFormat="1" ht="15" customHeight="1">
      <c r="A179" s="134"/>
      <c r="B179" s="134"/>
      <c r="C179" s="151"/>
      <c r="E179" s="142" t="s">
        <v>104</v>
      </c>
      <c r="F179" s="142"/>
      <c r="G179" s="142" t="s">
        <v>29</v>
      </c>
      <c r="H179" s="142"/>
      <c r="I179" s="142"/>
      <c r="J179" s="142">
        <f xml:space="preserve"> SUM(L179:AV179)</f>
        <v>1974.4271905149128</v>
      </c>
      <c r="K179" s="142"/>
      <c r="L179" s="142">
        <f t="shared" ref="L179:AV179" si="100" xml:space="preserve"> L176 * $F173</f>
        <v>0</v>
      </c>
      <c r="M179" s="142">
        <f t="shared" si="100"/>
        <v>0</v>
      </c>
      <c r="N179" s="142">
        <f t="shared" si="100"/>
        <v>0</v>
      </c>
      <c r="O179" s="142">
        <f t="shared" si="100"/>
        <v>0</v>
      </c>
      <c r="P179" s="142">
        <f t="shared" si="100"/>
        <v>0</v>
      </c>
      <c r="Q179" s="142">
        <f t="shared" si="100"/>
        <v>0</v>
      </c>
      <c r="R179" s="142">
        <f t="shared" si="100"/>
        <v>38.4</v>
      </c>
      <c r="S179" s="142">
        <f t="shared" si="100"/>
        <v>69.240000000000009</v>
      </c>
      <c r="T179" s="142">
        <f t="shared" si="100"/>
        <v>92.988000000000014</v>
      </c>
      <c r="U179" s="142">
        <f t="shared" si="100"/>
        <v>81.051600000000008</v>
      </c>
      <c r="V179" s="142">
        <f t="shared" si="100"/>
        <v>71.136120000000005</v>
      </c>
      <c r="W179" s="142">
        <f t="shared" si="100"/>
        <v>60.475284000000009</v>
      </c>
      <c r="X179" s="142">
        <f t="shared" si="100"/>
        <v>54.932698800000004</v>
      </c>
      <c r="Y179" s="142">
        <f t="shared" si="100"/>
        <v>52.73288916000002</v>
      </c>
      <c r="Z179" s="142">
        <f t="shared" si="100"/>
        <v>87.010622412000018</v>
      </c>
      <c r="AA179" s="142">
        <f t="shared" si="100"/>
        <v>104.10743568839999</v>
      </c>
      <c r="AB179" s="142">
        <f t="shared" si="100"/>
        <v>104.71000498188</v>
      </c>
      <c r="AC179" s="142">
        <f t="shared" si="100"/>
        <v>97.312603487316025</v>
      </c>
      <c r="AD179" s="142">
        <f t="shared" si="100"/>
        <v>89.29132244112121</v>
      </c>
      <c r="AE179" s="142">
        <f t="shared" si="100"/>
        <v>83.676425708784834</v>
      </c>
      <c r="AF179" s="142">
        <f t="shared" si="100"/>
        <v>79.74599799614937</v>
      </c>
      <c r="AG179" s="142">
        <f t="shared" si="100"/>
        <v>76.994698597304563</v>
      </c>
      <c r="AH179" s="142">
        <f t="shared" si="100"/>
        <v>75.068789018113193</v>
      </c>
      <c r="AI179" s="142">
        <f t="shared" si="100"/>
        <v>73.720652312679235</v>
      </c>
      <c r="AJ179" s="142">
        <f t="shared" si="100"/>
        <v>72.77695661887546</v>
      </c>
      <c r="AK179" s="142">
        <f t="shared" si="100"/>
        <v>72.116369633212827</v>
      </c>
      <c r="AL179" s="142">
        <f t="shared" si="100"/>
        <v>71.653958743248978</v>
      </c>
      <c r="AM179" s="142">
        <f t="shared" si="100"/>
        <v>71.330271120274276</v>
      </c>
      <c r="AN179" s="142">
        <f t="shared" si="100"/>
        <v>71.103689784191971</v>
      </c>
      <c r="AO179" s="142">
        <f t="shared" si="100"/>
        <v>70.945082848934376</v>
      </c>
      <c r="AP179" s="142">
        <f t="shared" si="100"/>
        <v>49.661557994254061</v>
      </c>
      <c r="AQ179" s="142">
        <f t="shared" si="100"/>
        <v>34.76309059597785</v>
      </c>
      <c r="AR179" s="142">
        <f t="shared" si="100"/>
        <v>24.334163417184495</v>
      </c>
      <c r="AS179" s="142">
        <f t="shared" si="100"/>
        <v>17.033914392029146</v>
      </c>
      <c r="AT179" s="142">
        <f t="shared" si="100"/>
        <v>11.923740074420403</v>
      </c>
      <c r="AU179" s="142">
        <f t="shared" si="100"/>
        <v>8.3466180520942821</v>
      </c>
      <c r="AV179" s="142">
        <f t="shared" si="100"/>
        <v>5.8426326364659973</v>
      </c>
    </row>
    <row r="180" spans="1:48" s="123" customFormat="1" ht="15" customHeight="1">
      <c r="A180" s="134"/>
      <c r="B180" s="134"/>
      <c r="C180" s="151"/>
      <c r="E180" s="140" t="s">
        <v>105</v>
      </c>
      <c r="F180" s="140"/>
      <c r="G180" s="140" t="s">
        <v>29</v>
      </c>
      <c r="H180" s="140"/>
      <c r="I180" s="140"/>
      <c r="J180" s="140"/>
      <c r="K180" s="139"/>
      <c r="L180" s="140">
        <f t="shared" ref="L180:AV180" si="101" xml:space="preserve"> L176 + L177 - L178 - L179</f>
        <v>0</v>
      </c>
      <c r="M180" s="140">
        <f t="shared" si="101"/>
        <v>0</v>
      </c>
      <c r="N180" s="140">
        <f t="shared" si="101"/>
        <v>0</v>
      </c>
      <c r="O180" s="140">
        <f t="shared" si="101"/>
        <v>0</v>
      </c>
      <c r="P180" s="140">
        <f t="shared" si="101"/>
        <v>0</v>
      </c>
      <c r="Q180" s="140">
        <f t="shared" si="101"/>
        <v>128</v>
      </c>
      <c r="R180" s="140">
        <f t="shared" si="101"/>
        <v>230.80000000000004</v>
      </c>
      <c r="S180" s="140">
        <f t="shared" si="101"/>
        <v>309.96000000000004</v>
      </c>
      <c r="T180" s="140">
        <f t="shared" si="101"/>
        <v>270.17200000000003</v>
      </c>
      <c r="U180" s="140">
        <f t="shared" si="101"/>
        <v>237.12040000000002</v>
      </c>
      <c r="V180" s="140">
        <f t="shared" si="101"/>
        <v>201.58428000000004</v>
      </c>
      <c r="W180" s="140">
        <f t="shared" si="101"/>
        <v>183.10899600000002</v>
      </c>
      <c r="X180" s="140">
        <f t="shared" si="101"/>
        <v>175.77629720000007</v>
      </c>
      <c r="Y180" s="140">
        <f t="shared" si="101"/>
        <v>290.03540804000005</v>
      </c>
      <c r="Z180" s="140">
        <f t="shared" si="101"/>
        <v>347.02478562799996</v>
      </c>
      <c r="AA180" s="140">
        <f t="shared" si="101"/>
        <v>349.03334993960004</v>
      </c>
      <c r="AB180" s="140">
        <f t="shared" si="101"/>
        <v>324.37534495772007</v>
      </c>
      <c r="AC180" s="140">
        <f t="shared" si="101"/>
        <v>297.63774147040402</v>
      </c>
      <c r="AD180" s="140">
        <f t="shared" si="101"/>
        <v>278.92141902928279</v>
      </c>
      <c r="AE180" s="140">
        <f t="shared" si="101"/>
        <v>265.81999332049793</v>
      </c>
      <c r="AF180" s="140">
        <f t="shared" si="101"/>
        <v>256.64899532434856</v>
      </c>
      <c r="AG180" s="140">
        <f t="shared" si="101"/>
        <v>250.22929672704399</v>
      </c>
      <c r="AH180" s="140">
        <f t="shared" si="101"/>
        <v>245.73550770893081</v>
      </c>
      <c r="AI180" s="140">
        <f t="shared" si="101"/>
        <v>242.58985539625155</v>
      </c>
      <c r="AJ180" s="140">
        <f t="shared" si="101"/>
        <v>240.38789877737608</v>
      </c>
      <c r="AK180" s="140">
        <f t="shared" si="101"/>
        <v>238.84652914416327</v>
      </c>
      <c r="AL180" s="140">
        <f t="shared" si="101"/>
        <v>237.76757040091425</v>
      </c>
      <c r="AM180" s="140">
        <f t="shared" si="101"/>
        <v>237.01229928063992</v>
      </c>
      <c r="AN180" s="140">
        <f t="shared" si="101"/>
        <v>236.48360949644794</v>
      </c>
      <c r="AO180" s="140">
        <f t="shared" si="101"/>
        <v>165.53852664751355</v>
      </c>
      <c r="AP180" s="140">
        <f t="shared" si="101"/>
        <v>115.8769686532595</v>
      </c>
      <c r="AQ180" s="140">
        <f t="shared" si="101"/>
        <v>81.113878057281653</v>
      </c>
      <c r="AR180" s="140">
        <f t="shared" si="101"/>
        <v>56.779714640097154</v>
      </c>
      <c r="AS180" s="140">
        <f t="shared" si="101"/>
        <v>39.745800248068008</v>
      </c>
      <c r="AT180" s="140">
        <f t="shared" si="101"/>
        <v>27.822060173647607</v>
      </c>
      <c r="AU180" s="140">
        <f t="shared" si="101"/>
        <v>19.475442121553325</v>
      </c>
      <c r="AV180" s="140">
        <f t="shared" si="101"/>
        <v>13.632809485087328</v>
      </c>
    </row>
    <row r="181" spans="1:48" s="123" customFormat="1" ht="15" customHeight="1">
      <c r="A181" s="134"/>
      <c r="B181" s="134"/>
      <c r="C181" s="151"/>
    </row>
    <row r="182" spans="1:48" s="123" customFormat="1" ht="15" customHeight="1">
      <c r="A182" s="134"/>
      <c r="B182" s="134"/>
      <c r="C182" s="151"/>
      <c r="E182" s="123" t="s">
        <v>106</v>
      </c>
      <c r="G182" s="123" t="s">
        <v>29</v>
      </c>
      <c r="J182" s="123">
        <f xml:space="preserve"> SUM(L182:AV182)</f>
        <v>4956.5171905149127</v>
      </c>
      <c r="L182" s="123">
        <f t="shared" ref="L182:AV182" si="102" xml:space="preserve"> L178 + L179</f>
        <v>0</v>
      </c>
      <c r="M182" s="123">
        <f t="shared" si="102"/>
        <v>0</v>
      </c>
      <c r="N182" s="123">
        <f t="shared" si="102"/>
        <v>0</v>
      </c>
      <c r="O182" s="123">
        <f t="shared" si="102"/>
        <v>0</v>
      </c>
      <c r="P182" s="123">
        <f t="shared" si="102"/>
        <v>0</v>
      </c>
      <c r="Q182" s="123">
        <f t="shared" si="102"/>
        <v>192</v>
      </c>
      <c r="R182" s="123">
        <f t="shared" si="102"/>
        <v>250.2</v>
      </c>
      <c r="S182" s="123">
        <f t="shared" si="102"/>
        <v>291.84000000000003</v>
      </c>
      <c r="T182" s="123">
        <f t="shared" si="102"/>
        <v>172.78800000000001</v>
      </c>
      <c r="U182" s="123">
        <f t="shared" si="102"/>
        <v>153.05160000000001</v>
      </c>
      <c r="V182" s="123">
        <f t="shared" si="102"/>
        <v>124.53612000000001</v>
      </c>
      <c r="W182" s="123">
        <f t="shared" si="102"/>
        <v>123.47528400000002</v>
      </c>
      <c r="X182" s="123">
        <f t="shared" si="102"/>
        <v>126.3326988</v>
      </c>
      <c r="Y182" s="123">
        <f t="shared" si="102"/>
        <v>303.22088916000001</v>
      </c>
      <c r="Z182" s="123">
        <f t="shared" si="102"/>
        <v>303.01062241200003</v>
      </c>
      <c r="AA182" s="123">
        <f t="shared" si="102"/>
        <v>263.28143568839994</v>
      </c>
      <c r="AB182" s="123">
        <f t="shared" si="102"/>
        <v>224.78800498187999</v>
      </c>
      <c r="AC182" s="123">
        <f t="shared" si="102"/>
        <v>203.17510348731602</v>
      </c>
      <c r="AD182" s="123">
        <f t="shared" si="102"/>
        <v>195.15382244112121</v>
      </c>
      <c r="AE182" s="123">
        <f t="shared" si="102"/>
        <v>189.53892570878483</v>
      </c>
      <c r="AF182" s="123">
        <f t="shared" si="102"/>
        <v>185.60849799614937</v>
      </c>
      <c r="AG182" s="123">
        <f t="shared" si="102"/>
        <v>182.85719859730455</v>
      </c>
      <c r="AH182" s="123">
        <f t="shared" si="102"/>
        <v>180.9312890181132</v>
      </c>
      <c r="AI182" s="123">
        <f t="shared" si="102"/>
        <v>179.58315231267923</v>
      </c>
      <c r="AJ182" s="123">
        <f t="shared" si="102"/>
        <v>178.63945661887544</v>
      </c>
      <c r="AK182" s="123">
        <f t="shared" si="102"/>
        <v>177.97886963321281</v>
      </c>
      <c r="AL182" s="123">
        <f t="shared" si="102"/>
        <v>177.51645874324896</v>
      </c>
      <c r="AM182" s="123">
        <f t="shared" si="102"/>
        <v>177.19277112027427</v>
      </c>
      <c r="AN182" s="123">
        <f t="shared" si="102"/>
        <v>176.96618978419195</v>
      </c>
      <c r="AO182" s="123">
        <f t="shared" si="102"/>
        <v>70.945082848934376</v>
      </c>
      <c r="AP182" s="123">
        <f t="shared" si="102"/>
        <v>49.661557994254061</v>
      </c>
      <c r="AQ182" s="123">
        <f t="shared" si="102"/>
        <v>34.76309059597785</v>
      </c>
      <c r="AR182" s="123">
        <f t="shared" si="102"/>
        <v>24.334163417184495</v>
      </c>
      <c r="AS182" s="123">
        <f t="shared" si="102"/>
        <v>17.033914392029146</v>
      </c>
      <c r="AT182" s="123">
        <f t="shared" si="102"/>
        <v>11.923740074420403</v>
      </c>
      <c r="AU182" s="123">
        <f t="shared" si="102"/>
        <v>8.3466180520942821</v>
      </c>
      <c r="AV182" s="123">
        <f t="shared" si="102"/>
        <v>5.8426326364659973</v>
      </c>
    </row>
    <row r="183" spans="1:48" s="123" customFormat="1" ht="15" customHeight="1">
      <c r="A183" s="134"/>
      <c r="B183" s="134"/>
      <c r="C183" s="151"/>
      <c r="E183" s="136" t="s">
        <v>107</v>
      </c>
    </row>
    <row r="184" spans="1:48" s="123" customFormat="1" ht="15" customHeight="1">
      <c r="A184" s="134"/>
      <c r="B184" s="134"/>
      <c r="C184" s="151"/>
    </row>
    <row r="185" spans="1:48" s="123" customFormat="1" ht="15" customHeight="1">
      <c r="A185" s="134"/>
      <c r="B185" s="134"/>
      <c r="C185" s="151" t="s">
        <v>108</v>
      </c>
    </row>
    <row r="186" spans="1:48" s="123" customFormat="1" ht="15" customHeight="1">
      <c r="A186" s="134"/>
      <c r="B186" s="134"/>
      <c r="C186" s="151"/>
      <c r="E186" s="146" t="s">
        <v>101</v>
      </c>
      <c r="F186" s="146"/>
      <c r="G186" s="146" t="s">
        <v>29</v>
      </c>
      <c r="H186" s="146"/>
      <c r="I186" s="146"/>
      <c r="J186" s="146"/>
      <c r="K186" s="146"/>
      <c r="L186" s="145">
        <f t="shared" ref="L186:AV186" si="103">K190</f>
        <v>0</v>
      </c>
      <c r="M186" s="145">
        <f t="shared" si="103"/>
        <v>0</v>
      </c>
      <c r="N186" s="145">
        <f t="shared" si="103"/>
        <v>0</v>
      </c>
      <c r="O186" s="145">
        <f t="shared" si="103"/>
        <v>0</v>
      </c>
      <c r="P186" s="145">
        <f t="shared" si="103"/>
        <v>0</v>
      </c>
      <c r="Q186" s="145">
        <f t="shared" si="103"/>
        <v>0</v>
      </c>
      <c r="R186" s="145">
        <f t="shared" si="103"/>
        <v>0.4</v>
      </c>
      <c r="S186" s="145">
        <f t="shared" si="103"/>
        <v>0.28000000000000003</v>
      </c>
      <c r="T186" s="145">
        <f t="shared" si="103"/>
        <v>0.19600000000000001</v>
      </c>
      <c r="U186" s="145">
        <f t="shared" si="103"/>
        <v>0.13720000000000002</v>
      </c>
      <c r="V186" s="145">
        <f t="shared" si="103"/>
        <v>9.6040000000000014E-2</v>
      </c>
      <c r="W186" s="145">
        <f t="shared" si="103"/>
        <v>6.722800000000001E-2</v>
      </c>
      <c r="X186" s="145">
        <f t="shared" si="103"/>
        <v>4.7059600000000007E-2</v>
      </c>
      <c r="Y186" s="145">
        <f t="shared" si="103"/>
        <v>3.2941720000000008E-2</v>
      </c>
      <c r="Z186" s="145">
        <f t="shared" si="103"/>
        <v>2.3059204000000007E-2</v>
      </c>
      <c r="AA186" s="145">
        <f t="shared" si="103"/>
        <v>1.6141442800000006E-2</v>
      </c>
      <c r="AB186" s="145">
        <f t="shared" si="103"/>
        <v>1.1299009960000005E-2</v>
      </c>
      <c r="AC186" s="145">
        <f t="shared" si="103"/>
        <v>7.9093069720000044E-3</v>
      </c>
      <c r="AD186" s="145">
        <f t="shared" si="103"/>
        <v>5.5365148804000031E-3</v>
      </c>
      <c r="AE186" s="145">
        <f t="shared" si="103"/>
        <v>3.8755604162800019E-3</v>
      </c>
      <c r="AF186" s="145">
        <f t="shared" si="103"/>
        <v>2.7128922913960017E-3</v>
      </c>
      <c r="AG186" s="145">
        <f t="shared" si="103"/>
        <v>1.8990246039772012E-3</v>
      </c>
      <c r="AH186" s="145">
        <f t="shared" si="103"/>
        <v>1.3293172227840408E-3</v>
      </c>
      <c r="AI186" s="145">
        <f t="shared" si="103"/>
        <v>9.305220559488285E-4</v>
      </c>
      <c r="AJ186" s="145">
        <f t="shared" si="103"/>
        <v>6.5136543916417995E-4</v>
      </c>
      <c r="AK186" s="145">
        <f t="shared" si="103"/>
        <v>4.5595580741492601E-4</v>
      </c>
      <c r="AL186" s="145">
        <f t="shared" si="103"/>
        <v>3.1916906519044821E-4</v>
      </c>
      <c r="AM186" s="145">
        <f t="shared" si="103"/>
        <v>2.2341834563331377E-4</v>
      </c>
      <c r="AN186" s="145">
        <f t="shared" si="103"/>
        <v>1.5639284194331963E-4</v>
      </c>
      <c r="AO186" s="145">
        <f t="shared" si="103"/>
        <v>1.0947498936032374E-4</v>
      </c>
      <c r="AP186" s="145">
        <f t="shared" si="103"/>
        <v>7.663249255222662E-5</v>
      </c>
      <c r="AQ186" s="145">
        <f t="shared" si="103"/>
        <v>5.3642744786558638E-5</v>
      </c>
      <c r="AR186" s="145">
        <f t="shared" si="103"/>
        <v>3.7549921350591052E-5</v>
      </c>
      <c r="AS186" s="145">
        <f t="shared" si="103"/>
        <v>2.6284944945413737E-5</v>
      </c>
      <c r="AT186" s="145">
        <f t="shared" si="103"/>
        <v>1.8399461461789616E-5</v>
      </c>
      <c r="AU186" s="145">
        <f t="shared" si="103"/>
        <v>1.2879623023252732E-5</v>
      </c>
      <c r="AV186" s="145">
        <f t="shared" si="103"/>
        <v>9.0157361162769129E-6</v>
      </c>
    </row>
    <row r="187" spans="1:48" s="123" customFormat="1" ht="15" customHeight="1">
      <c r="A187" s="134"/>
      <c r="B187" s="134"/>
      <c r="C187" s="151"/>
      <c r="E187" s="142" t="s">
        <v>102</v>
      </c>
      <c r="F187" s="142"/>
      <c r="G187" s="142" t="s">
        <v>29</v>
      </c>
      <c r="H187" s="142"/>
      <c r="I187" s="142"/>
      <c r="J187" s="141">
        <f xml:space="preserve"> SUM(L187:AV187)</f>
        <v>1</v>
      </c>
      <c r="K187" s="142"/>
      <c r="L187" s="141">
        <f xml:space="preserve"> L$175</f>
        <v>0</v>
      </c>
      <c r="M187" s="141">
        <f xml:space="preserve"> M$175</f>
        <v>0</v>
      </c>
      <c r="N187" s="141">
        <f xml:space="preserve"> N$175</f>
        <v>0</v>
      </c>
      <c r="O187" s="141">
        <f xml:space="preserve"> O$175</f>
        <v>0</v>
      </c>
      <c r="P187" s="141">
        <f xml:space="preserve"> P$175</f>
        <v>0</v>
      </c>
      <c r="Q187" s="144">
        <v>1</v>
      </c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</row>
    <row r="188" spans="1:48" s="123" customFormat="1" ht="15" customHeight="1">
      <c r="A188" s="134"/>
      <c r="B188" s="134"/>
      <c r="C188" s="151"/>
      <c r="E188" s="143" t="s">
        <v>103</v>
      </c>
      <c r="F188" s="142"/>
      <c r="G188" s="143" t="s">
        <v>29</v>
      </c>
      <c r="H188" s="142"/>
      <c r="I188" s="142"/>
      <c r="J188" s="141">
        <f xml:space="preserve"> SUM(L188:AV188)</f>
        <v>0.6</v>
      </c>
      <c r="K188" s="142"/>
      <c r="L188" s="141">
        <f t="shared" ref="L188:AV188" si="104" xml:space="preserve"> L187 * $F172</f>
        <v>0</v>
      </c>
      <c r="M188" s="141">
        <f t="shared" si="104"/>
        <v>0</v>
      </c>
      <c r="N188" s="141">
        <f t="shared" si="104"/>
        <v>0</v>
      </c>
      <c r="O188" s="141">
        <f t="shared" si="104"/>
        <v>0</v>
      </c>
      <c r="P188" s="141">
        <f t="shared" si="104"/>
        <v>0</v>
      </c>
      <c r="Q188" s="141">
        <f t="shared" si="104"/>
        <v>0.6</v>
      </c>
      <c r="R188" s="141">
        <f t="shared" si="104"/>
        <v>0</v>
      </c>
      <c r="S188" s="141">
        <f t="shared" si="104"/>
        <v>0</v>
      </c>
      <c r="T188" s="141">
        <f t="shared" si="104"/>
        <v>0</v>
      </c>
      <c r="U188" s="141">
        <f t="shared" si="104"/>
        <v>0</v>
      </c>
      <c r="V188" s="141">
        <f t="shared" si="104"/>
        <v>0</v>
      </c>
      <c r="W188" s="141">
        <f t="shared" si="104"/>
        <v>0</v>
      </c>
      <c r="X188" s="141">
        <f t="shared" si="104"/>
        <v>0</v>
      </c>
      <c r="Y188" s="141">
        <f t="shared" si="104"/>
        <v>0</v>
      </c>
      <c r="Z188" s="141">
        <f t="shared" si="104"/>
        <v>0</v>
      </c>
      <c r="AA188" s="141">
        <f t="shared" si="104"/>
        <v>0</v>
      </c>
      <c r="AB188" s="141">
        <f t="shared" si="104"/>
        <v>0</v>
      </c>
      <c r="AC188" s="141">
        <f t="shared" si="104"/>
        <v>0</v>
      </c>
      <c r="AD188" s="141">
        <f t="shared" si="104"/>
        <v>0</v>
      </c>
      <c r="AE188" s="141">
        <f t="shared" si="104"/>
        <v>0</v>
      </c>
      <c r="AF188" s="141">
        <f t="shared" si="104"/>
        <v>0</v>
      </c>
      <c r="AG188" s="141">
        <f t="shared" si="104"/>
        <v>0</v>
      </c>
      <c r="AH188" s="141">
        <f t="shared" si="104"/>
        <v>0</v>
      </c>
      <c r="AI188" s="141">
        <f t="shared" si="104"/>
        <v>0</v>
      </c>
      <c r="AJ188" s="141">
        <f t="shared" si="104"/>
        <v>0</v>
      </c>
      <c r="AK188" s="141">
        <f t="shared" si="104"/>
        <v>0</v>
      </c>
      <c r="AL188" s="141">
        <f t="shared" si="104"/>
        <v>0</v>
      </c>
      <c r="AM188" s="141">
        <f t="shared" si="104"/>
        <v>0</v>
      </c>
      <c r="AN188" s="141">
        <f t="shared" si="104"/>
        <v>0</v>
      </c>
      <c r="AO188" s="141">
        <f t="shared" si="104"/>
        <v>0</v>
      </c>
      <c r="AP188" s="141">
        <f t="shared" si="104"/>
        <v>0</v>
      </c>
      <c r="AQ188" s="141">
        <f t="shared" si="104"/>
        <v>0</v>
      </c>
      <c r="AR188" s="141">
        <f t="shared" si="104"/>
        <v>0</v>
      </c>
      <c r="AS188" s="141">
        <f t="shared" si="104"/>
        <v>0</v>
      </c>
      <c r="AT188" s="141">
        <f t="shared" si="104"/>
        <v>0</v>
      </c>
      <c r="AU188" s="141">
        <f t="shared" si="104"/>
        <v>0</v>
      </c>
      <c r="AV188" s="141">
        <f t="shared" si="104"/>
        <v>0</v>
      </c>
    </row>
    <row r="189" spans="1:48" s="123" customFormat="1" ht="15" customHeight="1">
      <c r="A189" s="134"/>
      <c r="B189" s="134"/>
      <c r="C189" s="151"/>
      <c r="E189" s="142" t="s">
        <v>104</v>
      </c>
      <c r="F189" s="142"/>
      <c r="G189" s="142" t="s">
        <v>29</v>
      </c>
      <c r="H189" s="142"/>
      <c r="I189" s="142"/>
      <c r="J189" s="141">
        <f xml:space="preserve"> SUM(L189:AV189)</f>
        <v>0.39999368898471871</v>
      </c>
      <c r="K189" s="142"/>
      <c r="L189" s="141">
        <f t="shared" ref="L189:AV189" si="105" xml:space="preserve"> L186 * $F173</f>
        <v>0</v>
      </c>
      <c r="M189" s="141">
        <f t="shared" si="105"/>
        <v>0</v>
      </c>
      <c r="N189" s="141">
        <f t="shared" si="105"/>
        <v>0</v>
      </c>
      <c r="O189" s="141">
        <f t="shared" si="105"/>
        <v>0</v>
      </c>
      <c r="P189" s="141">
        <f t="shared" si="105"/>
        <v>0</v>
      </c>
      <c r="Q189" s="141">
        <f t="shared" si="105"/>
        <v>0</v>
      </c>
      <c r="R189" s="141">
        <f t="shared" si="105"/>
        <v>0.12</v>
      </c>
      <c r="S189" s="141">
        <f t="shared" si="105"/>
        <v>8.4000000000000005E-2</v>
      </c>
      <c r="T189" s="141">
        <f t="shared" si="105"/>
        <v>5.8799999999999998E-2</v>
      </c>
      <c r="U189" s="141">
        <f t="shared" si="105"/>
        <v>4.1160000000000002E-2</v>
      </c>
      <c r="V189" s="141">
        <f t="shared" si="105"/>
        <v>2.8812000000000004E-2</v>
      </c>
      <c r="W189" s="141">
        <f t="shared" si="105"/>
        <v>2.0168400000000003E-2</v>
      </c>
      <c r="X189" s="141">
        <f t="shared" si="105"/>
        <v>1.4117880000000001E-2</v>
      </c>
      <c r="Y189" s="141">
        <f t="shared" si="105"/>
        <v>9.8825160000000026E-3</v>
      </c>
      <c r="Z189" s="141">
        <f t="shared" si="105"/>
        <v>6.9177612000000015E-3</v>
      </c>
      <c r="AA189" s="141">
        <f t="shared" si="105"/>
        <v>4.8424328400000017E-3</v>
      </c>
      <c r="AB189" s="141">
        <f t="shared" si="105"/>
        <v>3.3897029880000013E-3</v>
      </c>
      <c r="AC189" s="141">
        <f t="shared" si="105"/>
        <v>2.3727920916000013E-3</v>
      </c>
      <c r="AD189" s="141">
        <f t="shared" si="105"/>
        <v>1.660954464120001E-3</v>
      </c>
      <c r="AE189" s="141">
        <f t="shared" si="105"/>
        <v>1.1626681248840004E-3</v>
      </c>
      <c r="AF189" s="141">
        <f t="shared" si="105"/>
        <v>8.138676874188005E-4</v>
      </c>
      <c r="AG189" s="141">
        <f t="shared" si="105"/>
        <v>5.6970738119316029E-4</v>
      </c>
      <c r="AH189" s="141">
        <f t="shared" si="105"/>
        <v>3.9879516683521222E-4</v>
      </c>
      <c r="AI189" s="141">
        <f t="shared" si="105"/>
        <v>2.7915661678464855E-4</v>
      </c>
      <c r="AJ189" s="141">
        <f t="shared" si="105"/>
        <v>1.9540963174925397E-4</v>
      </c>
      <c r="AK189" s="141">
        <f t="shared" si="105"/>
        <v>1.367867422244778E-4</v>
      </c>
      <c r="AL189" s="141">
        <f t="shared" si="105"/>
        <v>9.5750719557134454E-5</v>
      </c>
      <c r="AM189" s="141">
        <f t="shared" si="105"/>
        <v>6.7025503689994122E-5</v>
      </c>
      <c r="AN189" s="141">
        <f t="shared" si="105"/>
        <v>4.6917852582995887E-5</v>
      </c>
      <c r="AO189" s="141">
        <f t="shared" si="105"/>
        <v>3.2842496808097125E-5</v>
      </c>
      <c r="AP189" s="141">
        <f t="shared" si="105"/>
        <v>2.2989747765667985E-5</v>
      </c>
      <c r="AQ189" s="141">
        <f t="shared" si="105"/>
        <v>1.6092823435967589E-5</v>
      </c>
      <c r="AR189" s="141">
        <f t="shared" si="105"/>
        <v>1.1264976405177315E-5</v>
      </c>
      <c r="AS189" s="141">
        <f t="shared" si="105"/>
        <v>7.8854834836241215E-6</v>
      </c>
      <c r="AT189" s="141">
        <f t="shared" si="105"/>
        <v>5.5198384385368842E-6</v>
      </c>
      <c r="AU189" s="141">
        <f t="shared" si="105"/>
        <v>3.8638869069758193E-6</v>
      </c>
      <c r="AV189" s="141">
        <f t="shared" si="105"/>
        <v>2.7047208348830739E-6</v>
      </c>
    </row>
    <row r="190" spans="1:48" s="123" customFormat="1" ht="15" customHeight="1">
      <c r="A190" s="134"/>
      <c r="B190" s="134"/>
      <c r="C190" s="151"/>
      <c r="E190" s="140" t="s">
        <v>105</v>
      </c>
      <c r="F190" s="140"/>
      <c r="G190" s="140" t="s">
        <v>29</v>
      </c>
      <c r="H190" s="140"/>
      <c r="I190" s="140"/>
      <c r="J190" s="140"/>
      <c r="K190" s="139"/>
      <c r="L190" s="138">
        <f t="shared" ref="L190:AV190" si="106" xml:space="preserve"> L186 + L187 - L188 - L189</f>
        <v>0</v>
      </c>
      <c r="M190" s="138">
        <f t="shared" si="106"/>
        <v>0</v>
      </c>
      <c r="N190" s="138">
        <f t="shared" si="106"/>
        <v>0</v>
      </c>
      <c r="O190" s="138">
        <f t="shared" si="106"/>
        <v>0</v>
      </c>
      <c r="P190" s="138">
        <f t="shared" si="106"/>
        <v>0</v>
      </c>
      <c r="Q190" s="138">
        <f t="shared" si="106"/>
        <v>0.4</v>
      </c>
      <c r="R190" s="138">
        <f t="shared" si="106"/>
        <v>0.28000000000000003</v>
      </c>
      <c r="S190" s="138">
        <f t="shared" si="106"/>
        <v>0.19600000000000001</v>
      </c>
      <c r="T190" s="138">
        <f t="shared" si="106"/>
        <v>0.13720000000000002</v>
      </c>
      <c r="U190" s="138">
        <f t="shared" si="106"/>
        <v>9.6040000000000014E-2</v>
      </c>
      <c r="V190" s="138">
        <f t="shared" si="106"/>
        <v>6.722800000000001E-2</v>
      </c>
      <c r="W190" s="138">
        <f t="shared" si="106"/>
        <v>4.7059600000000007E-2</v>
      </c>
      <c r="X190" s="138">
        <f t="shared" si="106"/>
        <v>3.2941720000000008E-2</v>
      </c>
      <c r="Y190" s="138">
        <f t="shared" si="106"/>
        <v>2.3059204000000007E-2</v>
      </c>
      <c r="Z190" s="138">
        <f t="shared" si="106"/>
        <v>1.6141442800000006E-2</v>
      </c>
      <c r="AA190" s="138">
        <f t="shared" si="106"/>
        <v>1.1299009960000005E-2</v>
      </c>
      <c r="AB190" s="138">
        <f t="shared" si="106"/>
        <v>7.9093069720000044E-3</v>
      </c>
      <c r="AC190" s="138">
        <f t="shared" si="106"/>
        <v>5.5365148804000031E-3</v>
      </c>
      <c r="AD190" s="138">
        <f t="shared" si="106"/>
        <v>3.8755604162800019E-3</v>
      </c>
      <c r="AE190" s="138">
        <f t="shared" si="106"/>
        <v>2.7128922913960017E-3</v>
      </c>
      <c r="AF190" s="138">
        <f t="shared" si="106"/>
        <v>1.8990246039772012E-3</v>
      </c>
      <c r="AG190" s="138">
        <f t="shared" si="106"/>
        <v>1.3293172227840408E-3</v>
      </c>
      <c r="AH190" s="138">
        <f t="shared" si="106"/>
        <v>9.305220559488285E-4</v>
      </c>
      <c r="AI190" s="138">
        <f t="shared" si="106"/>
        <v>6.5136543916417995E-4</v>
      </c>
      <c r="AJ190" s="138">
        <f t="shared" si="106"/>
        <v>4.5595580741492601E-4</v>
      </c>
      <c r="AK190" s="138">
        <f t="shared" si="106"/>
        <v>3.1916906519044821E-4</v>
      </c>
      <c r="AL190" s="138">
        <f t="shared" si="106"/>
        <v>2.2341834563331377E-4</v>
      </c>
      <c r="AM190" s="138">
        <f t="shared" si="106"/>
        <v>1.5639284194331963E-4</v>
      </c>
      <c r="AN190" s="138">
        <f t="shared" si="106"/>
        <v>1.0947498936032374E-4</v>
      </c>
      <c r="AO190" s="138">
        <f t="shared" si="106"/>
        <v>7.663249255222662E-5</v>
      </c>
      <c r="AP190" s="138">
        <f t="shared" si="106"/>
        <v>5.3642744786558638E-5</v>
      </c>
      <c r="AQ190" s="138">
        <f t="shared" si="106"/>
        <v>3.7549921350591052E-5</v>
      </c>
      <c r="AR190" s="138">
        <f t="shared" si="106"/>
        <v>2.6284944945413737E-5</v>
      </c>
      <c r="AS190" s="138">
        <f t="shared" si="106"/>
        <v>1.8399461461789616E-5</v>
      </c>
      <c r="AT190" s="138">
        <f t="shared" si="106"/>
        <v>1.2879623023252732E-5</v>
      </c>
      <c r="AU190" s="138">
        <f t="shared" si="106"/>
        <v>9.0157361162769129E-6</v>
      </c>
      <c r="AV190" s="138">
        <f t="shared" si="106"/>
        <v>6.311015281393839E-6</v>
      </c>
    </row>
    <row r="191" spans="1:48" s="123" customFormat="1" ht="15" customHeight="1">
      <c r="A191" s="134"/>
      <c r="B191" s="134"/>
      <c r="C191" s="151"/>
    </row>
    <row r="192" spans="1:48" s="123" customFormat="1" ht="15" customHeight="1">
      <c r="A192" s="134"/>
      <c r="B192" s="134"/>
      <c r="C192" s="151"/>
      <c r="E192" s="123" t="s">
        <v>109</v>
      </c>
      <c r="F192" s="78">
        <f xml:space="preserve"> SUM(Q192:Z192)</f>
        <v>0.98385855719999993</v>
      </c>
      <c r="G192" s="123" t="s">
        <v>26</v>
      </c>
      <c r="I192" s="136" t="s">
        <v>110</v>
      </c>
      <c r="Q192" s="78">
        <f t="shared" ref="Q192:AB192" si="107">Q188 + Q189</f>
        <v>0.6</v>
      </c>
      <c r="R192" s="78">
        <f t="shared" si="107"/>
        <v>0.12</v>
      </c>
      <c r="S192" s="78">
        <f t="shared" si="107"/>
        <v>8.4000000000000005E-2</v>
      </c>
      <c r="T192" s="78">
        <f t="shared" si="107"/>
        <v>5.8799999999999998E-2</v>
      </c>
      <c r="U192" s="78">
        <f t="shared" si="107"/>
        <v>4.1160000000000002E-2</v>
      </c>
      <c r="V192" s="78">
        <f t="shared" si="107"/>
        <v>2.8812000000000004E-2</v>
      </c>
      <c r="W192" s="78">
        <f t="shared" si="107"/>
        <v>2.0168400000000003E-2</v>
      </c>
      <c r="X192" s="78">
        <f t="shared" si="107"/>
        <v>1.4117880000000001E-2</v>
      </c>
      <c r="Y192" s="78">
        <f t="shared" si="107"/>
        <v>9.8825160000000026E-3</v>
      </c>
      <c r="Z192" s="78">
        <f t="shared" si="107"/>
        <v>6.9177612000000015E-3</v>
      </c>
      <c r="AA192" s="78">
        <f t="shared" si="107"/>
        <v>4.8424328400000017E-3</v>
      </c>
      <c r="AB192" s="78">
        <f t="shared" si="107"/>
        <v>3.3897029880000013E-3</v>
      </c>
    </row>
    <row r="193" spans="1:48" s="123" customFormat="1" ht="15" customHeight="1">
      <c r="A193" s="134"/>
      <c r="B193" s="134"/>
      <c r="C193" s="151"/>
    </row>
    <row r="194" spans="1:48" s="123" customFormat="1" ht="15" customHeight="1">
      <c r="A194" s="134"/>
      <c r="B194" s="134"/>
      <c r="C194" s="151"/>
    </row>
    <row r="195" spans="1:48" s="160" customFormat="1" ht="15" customHeight="1">
      <c r="A195" s="164" t="s">
        <v>111</v>
      </c>
      <c r="B195" s="162"/>
      <c r="C195" s="192"/>
      <c r="D195" s="163"/>
      <c r="E195" s="162"/>
      <c r="F195" s="162"/>
      <c r="G195" s="162"/>
      <c r="H195" s="162"/>
    </row>
    <row r="196" spans="1:48" s="229" customFormat="1" ht="15" customHeight="1">
      <c r="A196" s="225"/>
      <c r="B196" s="226"/>
      <c r="C196" s="227"/>
      <c r="D196" s="228"/>
      <c r="E196" s="226"/>
      <c r="F196" s="226"/>
      <c r="G196" s="226"/>
      <c r="H196" s="226"/>
    </row>
    <row r="197" spans="1:48" s="93" customFormat="1" ht="15" customHeight="1">
      <c r="A197" s="92"/>
      <c r="B197" s="92"/>
      <c r="C197" s="149"/>
      <c r="E197" s="93" t="str">
        <f t="shared" ref="E197:AV197" si="108" xml:space="preserve"> E$49</f>
        <v>Copper plus Cobalt revenue</v>
      </c>
      <c r="F197" s="93">
        <f t="shared" si="108"/>
        <v>0</v>
      </c>
      <c r="G197" s="93" t="str">
        <f t="shared" si="108"/>
        <v>$ mn</v>
      </c>
      <c r="H197" s="93">
        <f t="shared" si="108"/>
        <v>0</v>
      </c>
      <c r="I197" s="93">
        <f t="shared" si="108"/>
        <v>0</v>
      </c>
      <c r="J197" s="93">
        <f t="shared" si="108"/>
        <v>45974.030823591449</v>
      </c>
      <c r="K197" s="93">
        <f t="shared" si="108"/>
        <v>0</v>
      </c>
      <c r="L197" s="93">
        <f t="shared" si="108"/>
        <v>0</v>
      </c>
      <c r="M197" s="93">
        <f t="shared" si="108"/>
        <v>0</v>
      </c>
      <c r="N197" s="93">
        <f t="shared" si="108"/>
        <v>0</v>
      </c>
      <c r="O197" s="93">
        <f t="shared" si="108"/>
        <v>273.71386050000001</v>
      </c>
      <c r="P197" s="93">
        <f t="shared" si="108"/>
        <v>481.30707799999993</v>
      </c>
      <c r="Q197" s="93">
        <f t="shared" si="108"/>
        <v>537.72667949999993</v>
      </c>
      <c r="R197" s="93">
        <f t="shared" si="108"/>
        <v>510.18154649999997</v>
      </c>
      <c r="S197" s="93">
        <f t="shared" si="108"/>
        <v>657.37101899999993</v>
      </c>
      <c r="T197" s="93">
        <f t="shared" si="108"/>
        <v>1083.1798799999999</v>
      </c>
      <c r="U197" s="93">
        <f t="shared" si="108"/>
        <v>620.90155500000003</v>
      </c>
      <c r="V197" s="93">
        <f t="shared" si="108"/>
        <v>0</v>
      </c>
      <c r="W197" s="93">
        <f t="shared" si="108"/>
        <v>12.958000000000002</v>
      </c>
      <c r="X197" s="93">
        <f t="shared" si="108"/>
        <v>1472.7453599999999</v>
      </c>
      <c r="Y197" s="93">
        <f t="shared" si="108"/>
        <v>1992.5295064019367</v>
      </c>
      <c r="Z197" s="93">
        <f t="shared" si="108"/>
        <v>2833.4906926708927</v>
      </c>
      <c r="AA197" s="93">
        <f t="shared" si="108"/>
        <v>3607.4965899794461</v>
      </c>
      <c r="AB197" s="93">
        <f t="shared" si="108"/>
        <v>3624.207780137509</v>
      </c>
      <c r="AC197" s="93">
        <f t="shared" si="108"/>
        <v>3696.7846213091261</v>
      </c>
      <c r="AD197" s="93">
        <f t="shared" si="108"/>
        <v>3866.245014780653</v>
      </c>
      <c r="AE197" s="93">
        <f t="shared" si="108"/>
        <v>3730.4387030324156</v>
      </c>
      <c r="AF197" s="93">
        <f t="shared" si="108"/>
        <v>3534.2504473371064</v>
      </c>
      <c r="AG197" s="93">
        <f t="shared" si="108"/>
        <v>3462.7560979444261</v>
      </c>
      <c r="AH197" s="93">
        <f t="shared" si="108"/>
        <v>3205.8393072513068</v>
      </c>
      <c r="AI197" s="93">
        <f t="shared" si="108"/>
        <v>1967.2683273226162</v>
      </c>
      <c r="AJ197" s="93">
        <f t="shared" si="108"/>
        <v>1170.9322228004435</v>
      </c>
      <c r="AK197" s="93">
        <f t="shared" si="108"/>
        <v>1300.9467988737988</v>
      </c>
      <c r="AL197" s="93">
        <f t="shared" si="108"/>
        <v>1293.5202584999997</v>
      </c>
      <c r="AM197" s="93">
        <f t="shared" si="108"/>
        <v>793.58351990089398</v>
      </c>
      <c r="AN197" s="93">
        <f t="shared" si="108"/>
        <v>243.65595684888783</v>
      </c>
      <c r="AO197" s="93">
        <f t="shared" si="108"/>
        <v>0</v>
      </c>
      <c r="AP197" s="93">
        <f t="shared" si="108"/>
        <v>0</v>
      </c>
      <c r="AQ197" s="93">
        <f t="shared" si="108"/>
        <v>0</v>
      </c>
      <c r="AR197" s="93">
        <f t="shared" si="108"/>
        <v>0</v>
      </c>
      <c r="AS197" s="93">
        <f t="shared" si="108"/>
        <v>0</v>
      </c>
      <c r="AT197" s="93">
        <f t="shared" si="108"/>
        <v>0</v>
      </c>
      <c r="AU197" s="93">
        <f t="shared" si="108"/>
        <v>0</v>
      </c>
      <c r="AV197" s="93">
        <f t="shared" si="108"/>
        <v>0</v>
      </c>
    </row>
    <row r="198" spans="1:48" s="93" customFormat="1" ht="15" customHeight="1">
      <c r="A198" s="92"/>
      <c r="B198" s="92"/>
      <c r="C198" s="149"/>
      <c r="E198" s="93" t="str">
        <f t="shared" ref="E198:AV198" si="109" xml:space="preserve"> E$57</f>
        <v>Freight, Insurance &amp; Sales 2019TR: Cu</v>
      </c>
      <c r="F198" s="93">
        <f t="shared" si="109"/>
        <v>0</v>
      </c>
      <c r="G198" s="93" t="str">
        <f t="shared" si="109"/>
        <v>$ mn</v>
      </c>
      <c r="H198" s="93">
        <f t="shared" si="109"/>
        <v>0</v>
      </c>
      <c r="I198" s="93">
        <f t="shared" si="109"/>
        <v>0</v>
      </c>
      <c r="J198" s="93">
        <f t="shared" si="109"/>
        <v>3285.328913091369</v>
      </c>
      <c r="K198" s="93">
        <f t="shared" si="109"/>
        <v>0</v>
      </c>
      <c r="L198" s="93">
        <f t="shared" si="109"/>
        <v>0</v>
      </c>
      <c r="M198" s="93">
        <f t="shared" si="109"/>
        <v>0</v>
      </c>
      <c r="N198" s="93">
        <f t="shared" si="109"/>
        <v>17.145175361520248</v>
      </c>
      <c r="O198" s="93">
        <f t="shared" si="109"/>
        <v>32.523126499520323</v>
      </c>
      <c r="P198" s="93">
        <f t="shared" si="109"/>
        <v>40.444631571615112</v>
      </c>
      <c r="Q198" s="93">
        <f t="shared" si="109"/>
        <v>44.653415577630255</v>
      </c>
      <c r="R198" s="93">
        <f t="shared" si="109"/>
        <v>47.622042233806681</v>
      </c>
      <c r="S198" s="93">
        <f t="shared" si="109"/>
        <v>67.805603102431775</v>
      </c>
      <c r="T198" s="93">
        <f t="shared" si="109"/>
        <v>121.70594191979697</v>
      </c>
      <c r="U198" s="93">
        <f t="shared" si="109"/>
        <v>82.780503101734269</v>
      </c>
      <c r="V198" s="93">
        <f t="shared" si="109"/>
        <v>0</v>
      </c>
      <c r="W198" s="93">
        <f t="shared" si="109"/>
        <v>1.7052163560282343</v>
      </c>
      <c r="X198" s="93">
        <f t="shared" si="109"/>
        <v>118.12498757213767</v>
      </c>
      <c r="Y198" s="93">
        <f t="shared" si="109"/>
        <v>190.16844200231918</v>
      </c>
      <c r="Z198" s="93">
        <f t="shared" si="109"/>
        <v>221.07406011944323</v>
      </c>
      <c r="AA198" s="93">
        <f t="shared" si="109"/>
        <v>232.38786127031764</v>
      </c>
      <c r="AB198" s="93">
        <f t="shared" si="109"/>
        <v>229.59796460680786</v>
      </c>
      <c r="AC198" s="93">
        <f t="shared" si="109"/>
        <v>230.15974236901016</v>
      </c>
      <c r="AD198" s="93">
        <f t="shared" si="109"/>
        <v>232.26497092935696</v>
      </c>
      <c r="AE198" s="93">
        <f t="shared" si="109"/>
        <v>232.26707611832481</v>
      </c>
      <c r="AF198" s="93">
        <f t="shared" si="109"/>
        <v>232.37458666923206</v>
      </c>
      <c r="AG198" s="93">
        <f t="shared" si="109"/>
        <v>232.01403649596708</v>
      </c>
      <c r="AH198" s="93">
        <f t="shared" si="109"/>
        <v>233.87332904268027</v>
      </c>
      <c r="AI198" s="93">
        <f t="shared" si="109"/>
        <v>139.72052504126921</v>
      </c>
      <c r="AJ198" s="93">
        <f t="shared" si="109"/>
        <v>75.432289415102247</v>
      </c>
      <c r="AK198" s="93">
        <f t="shared" si="109"/>
        <v>77.183331649589277</v>
      </c>
      <c r="AL198" s="93">
        <f t="shared" si="109"/>
        <v>79.990149064597148</v>
      </c>
      <c r="AM198" s="93">
        <f t="shared" si="109"/>
        <v>54.587290667336305</v>
      </c>
      <c r="AN198" s="93">
        <f t="shared" si="109"/>
        <v>17.722614333793771</v>
      </c>
      <c r="AO198" s="93">
        <f t="shared" si="109"/>
        <v>0</v>
      </c>
      <c r="AP198" s="93">
        <f t="shared" si="109"/>
        <v>0</v>
      </c>
      <c r="AQ198" s="93">
        <f t="shared" si="109"/>
        <v>0</v>
      </c>
      <c r="AR198" s="93">
        <f t="shared" si="109"/>
        <v>0</v>
      </c>
      <c r="AS198" s="93">
        <f t="shared" si="109"/>
        <v>0</v>
      </c>
      <c r="AT198" s="93">
        <f t="shared" si="109"/>
        <v>0</v>
      </c>
      <c r="AU198" s="93">
        <f t="shared" si="109"/>
        <v>0</v>
      </c>
      <c r="AV198" s="93">
        <f t="shared" si="109"/>
        <v>0</v>
      </c>
    </row>
    <row r="199" spans="1:48" s="93" customFormat="1" ht="15" customHeight="1">
      <c r="A199" s="92"/>
      <c r="B199" s="92"/>
      <c r="C199" s="149"/>
      <c r="E199" s="93" t="str">
        <f t="shared" ref="E199:AV199" si="110" xml:space="preserve"> E$60</f>
        <v>Freight, Insurance &amp; Sales 2019TR: Co</v>
      </c>
      <c r="F199" s="93">
        <f t="shared" si="110"/>
        <v>0</v>
      </c>
      <c r="G199" s="93" t="str">
        <f t="shared" si="110"/>
        <v>$ mn</v>
      </c>
      <c r="H199" s="93">
        <f t="shared" si="110"/>
        <v>0</v>
      </c>
      <c r="I199" s="93">
        <f t="shared" si="110"/>
        <v>0</v>
      </c>
      <c r="J199" s="93">
        <f t="shared" si="110"/>
        <v>368.43475658086072</v>
      </c>
      <c r="K199" s="93">
        <f t="shared" si="110"/>
        <v>0</v>
      </c>
      <c r="L199" s="93">
        <f t="shared" si="110"/>
        <v>0</v>
      </c>
      <c r="M199" s="93">
        <f t="shared" si="110"/>
        <v>0</v>
      </c>
      <c r="N199" s="93">
        <f t="shared" si="110"/>
        <v>0.58132375773689793</v>
      </c>
      <c r="O199" s="93">
        <f t="shared" si="110"/>
        <v>1.9609988094324691</v>
      </c>
      <c r="P199" s="93">
        <f t="shared" si="110"/>
        <v>2.6663383021532385</v>
      </c>
      <c r="Q199" s="93">
        <f t="shared" si="110"/>
        <v>1.8834889750675494</v>
      </c>
      <c r="R199" s="93">
        <f t="shared" si="110"/>
        <v>1.6509594719727902</v>
      </c>
      <c r="S199" s="93">
        <f t="shared" si="110"/>
        <v>1.7827261903931537</v>
      </c>
      <c r="T199" s="93">
        <f t="shared" si="110"/>
        <v>2.1547733953447681</v>
      </c>
      <c r="U199" s="93">
        <f t="shared" si="110"/>
        <v>2.2477851965826723</v>
      </c>
      <c r="V199" s="93">
        <f t="shared" si="110"/>
        <v>0</v>
      </c>
      <c r="W199" s="93">
        <f t="shared" si="110"/>
        <v>0</v>
      </c>
      <c r="X199" s="93">
        <f t="shared" si="110"/>
        <v>8.6113425979425813</v>
      </c>
      <c r="Y199" s="93">
        <f t="shared" si="110"/>
        <v>21.522694478825255</v>
      </c>
      <c r="Z199" s="93">
        <f t="shared" si="110"/>
        <v>25.132120165744787</v>
      </c>
      <c r="AA199" s="93">
        <f t="shared" si="110"/>
        <v>30.489722161888416</v>
      </c>
      <c r="AB199" s="93">
        <f t="shared" si="110"/>
        <v>31.16575317485534</v>
      </c>
      <c r="AC199" s="93">
        <f t="shared" si="110"/>
        <v>32.348123434074445</v>
      </c>
      <c r="AD199" s="93">
        <f t="shared" si="110"/>
        <v>34.999092514242463</v>
      </c>
      <c r="AE199" s="93">
        <f t="shared" si="110"/>
        <v>32.640941447754997</v>
      </c>
      <c r="AF199" s="93">
        <f t="shared" si="110"/>
        <v>29.219863765103788</v>
      </c>
      <c r="AG199" s="93">
        <f t="shared" si="110"/>
        <v>28.028454288984953</v>
      </c>
      <c r="AH199" s="93">
        <f t="shared" si="110"/>
        <v>23.310709243863474</v>
      </c>
      <c r="AI199" s="93">
        <f t="shared" si="110"/>
        <v>14.829737011119507</v>
      </c>
      <c r="AJ199" s="93">
        <f t="shared" si="110"/>
        <v>9.8960138653796772</v>
      </c>
      <c r="AK199" s="93">
        <f t="shared" si="110"/>
        <v>11.911117652852539</v>
      </c>
      <c r="AL199" s="93">
        <f t="shared" si="110"/>
        <v>11.393945651643202</v>
      </c>
      <c r="AM199" s="93">
        <f t="shared" si="110"/>
        <v>6.2277466915813751</v>
      </c>
      <c r="AN199" s="93">
        <f t="shared" si="110"/>
        <v>1.7789843363203646</v>
      </c>
      <c r="AO199" s="93">
        <f t="shared" si="110"/>
        <v>0</v>
      </c>
      <c r="AP199" s="93">
        <f t="shared" si="110"/>
        <v>0</v>
      </c>
      <c r="AQ199" s="93">
        <f t="shared" si="110"/>
        <v>0</v>
      </c>
      <c r="AR199" s="93">
        <f t="shared" si="110"/>
        <v>0</v>
      </c>
      <c r="AS199" s="93">
        <f t="shared" si="110"/>
        <v>0</v>
      </c>
      <c r="AT199" s="93">
        <f t="shared" si="110"/>
        <v>0</v>
      </c>
      <c r="AU199" s="93">
        <f t="shared" si="110"/>
        <v>0</v>
      </c>
      <c r="AV199" s="93">
        <f t="shared" si="110"/>
        <v>0</v>
      </c>
    </row>
    <row r="200" spans="1:48" s="222" customFormat="1" ht="15" customHeight="1">
      <c r="A200" s="220"/>
      <c r="B200" s="220"/>
      <c r="C200" s="221"/>
      <c r="E200" s="222" t="str">
        <f t="shared" ref="E200:AV200" si="111" xml:space="preserve"> E$65</f>
        <v>Copper &amp; Cobalt net revenue</v>
      </c>
      <c r="F200" s="222">
        <f t="shared" si="111"/>
        <v>0</v>
      </c>
      <c r="G200" s="222" t="str">
        <f t="shared" si="111"/>
        <v>$ mn</v>
      </c>
      <c r="H200" s="222">
        <f t="shared" si="111"/>
        <v>0</v>
      </c>
      <c r="I200" s="222">
        <f t="shared" si="111"/>
        <v>0</v>
      </c>
      <c r="J200" s="222">
        <f t="shared" si="111"/>
        <v>42320.267153919238</v>
      </c>
      <c r="K200" s="222">
        <f t="shared" si="111"/>
        <v>0</v>
      </c>
      <c r="L200" s="222">
        <f xml:space="preserve"> L$65</f>
        <v>0</v>
      </c>
      <c r="M200" s="222">
        <f t="shared" si="111"/>
        <v>0</v>
      </c>
      <c r="N200" s="222">
        <f t="shared" si="111"/>
        <v>-17.726499119257145</v>
      </c>
      <c r="O200" s="222">
        <f t="shared" si="111"/>
        <v>239.22973519104721</v>
      </c>
      <c r="P200" s="222">
        <f t="shared" si="111"/>
        <v>438.19610812623159</v>
      </c>
      <c r="Q200" s="222">
        <f t="shared" si="111"/>
        <v>491.18977494730217</v>
      </c>
      <c r="R200" s="222">
        <f t="shared" si="111"/>
        <v>460.90854479422052</v>
      </c>
      <c r="S200" s="222">
        <f t="shared" si="111"/>
        <v>587.78268970717511</v>
      </c>
      <c r="T200" s="222">
        <f t="shared" si="111"/>
        <v>959.31916468485826</v>
      </c>
      <c r="U200" s="222">
        <f t="shared" si="111"/>
        <v>535.87326670168306</v>
      </c>
      <c r="V200" s="222">
        <f t="shared" si="111"/>
        <v>0</v>
      </c>
      <c r="W200" s="222">
        <f t="shared" si="111"/>
        <v>11.252783643971767</v>
      </c>
      <c r="X200" s="222">
        <f t="shared" si="111"/>
        <v>1346.0090298299197</v>
      </c>
      <c r="Y200" s="222">
        <f t="shared" si="111"/>
        <v>1780.8383699207925</v>
      </c>
      <c r="Z200" s="222">
        <f t="shared" si="111"/>
        <v>2587.2845123857051</v>
      </c>
      <c r="AA200" s="222">
        <f t="shared" si="111"/>
        <v>3344.6190065472397</v>
      </c>
      <c r="AB200" s="222">
        <f t="shared" si="111"/>
        <v>3363.4440623558457</v>
      </c>
      <c r="AC200" s="222">
        <f t="shared" si="111"/>
        <v>3434.2767555060418</v>
      </c>
      <c r="AD200" s="222">
        <f t="shared" si="111"/>
        <v>3598.9809513370537</v>
      </c>
      <c r="AE200" s="222">
        <f t="shared" si="111"/>
        <v>3465.5306854663359</v>
      </c>
      <c r="AF200" s="222">
        <f t="shared" si="111"/>
        <v>3272.6559969027703</v>
      </c>
      <c r="AG200" s="222">
        <f t="shared" si="111"/>
        <v>3202.7136071594741</v>
      </c>
      <c r="AH200" s="222">
        <f t="shared" si="111"/>
        <v>2948.6552689647629</v>
      </c>
      <c r="AI200" s="222">
        <f t="shared" si="111"/>
        <v>1812.7180652702277</v>
      </c>
      <c r="AJ200" s="222">
        <f t="shared" si="111"/>
        <v>1085.6039195199614</v>
      </c>
      <c r="AK200" s="222">
        <f t="shared" si="111"/>
        <v>1211.8523495713571</v>
      </c>
      <c r="AL200" s="222">
        <f t="shared" si="111"/>
        <v>1202.1361637837595</v>
      </c>
      <c r="AM200" s="222">
        <f t="shared" si="111"/>
        <v>732.76848254197625</v>
      </c>
      <c r="AN200" s="222">
        <f t="shared" si="111"/>
        <v>224.15435817877369</v>
      </c>
      <c r="AO200" s="222">
        <f t="shared" si="111"/>
        <v>0</v>
      </c>
      <c r="AP200" s="222">
        <f t="shared" si="111"/>
        <v>0</v>
      </c>
      <c r="AQ200" s="222">
        <f t="shared" si="111"/>
        <v>0</v>
      </c>
      <c r="AR200" s="222">
        <f t="shared" si="111"/>
        <v>0</v>
      </c>
      <c r="AS200" s="222">
        <f t="shared" si="111"/>
        <v>0</v>
      </c>
      <c r="AT200" s="222">
        <f t="shared" si="111"/>
        <v>0</v>
      </c>
      <c r="AU200" s="222">
        <f t="shared" si="111"/>
        <v>0</v>
      </c>
      <c r="AV200" s="222">
        <f t="shared" si="111"/>
        <v>0</v>
      </c>
    </row>
    <row r="201" spans="1:48" s="3" customFormat="1" ht="15" customHeight="1">
      <c r="A201" s="95"/>
      <c r="B201" s="95"/>
      <c r="C201" s="201"/>
      <c r="E201" s="3" t="s">
        <v>112</v>
      </c>
      <c r="G201" s="3" t="s">
        <v>29</v>
      </c>
      <c r="I201" s="97"/>
      <c r="L201" s="3">
        <f xml:space="preserve"> L197 - L198 - L199 - L200</f>
        <v>0</v>
      </c>
      <c r="M201" s="3">
        <f t="shared" ref="M201:AV201" si="112" xml:space="preserve"> M197 - M198 - M199 - M200</f>
        <v>0</v>
      </c>
      <c r="N201" s="3">
        <f t="shared" si="112"/>
        <v>0</v>
      </c>
      <c r="O201" s="3">
        <f t="shared" si="112"/>
        <v>0</v>
      </c>
      <c r="P201" s="3">
        <f t="shared" si="112"/>
        <v>0</v>
      </c>
      <c r="Q201" s="3">
        <f t="shared" si="112"/>
        <v>0</v>
      </c>
      <c r="R201" s="3">
        <f t="shared" si="112"/>
        <v>0</v>
      </c>
      <c r="S201" s="3">
        <f t="shared" si="112"/>
        <v>0</v>
      </c>
      <c r="T201" s="3">
        <f t="shared" si="112"/>
        <v>0</v>
      </c>
      <c r="U201" s="3">
        <f t="shared" si="112"/>
        <v>0</v>
      </c>
      <c r="V201" s="3">
        <f t="shared" si="112"/>
        <v>0</v>
      </c>
      <c r="W201" s="3">
        <f t="shared" si="112"/>
        <v>0</v>
      </c>
      <c r="X201" s="3">
        <f t="shared" si="112"/>
        <v>0</v>
      </c>
      <c r="Y201" s="3">
        <f t="shared" si="112"/>
        <v>0</v>
      </c>
      <c r="Z201" s="3">
        <f t="shared" si="112"/>
        <v>0</v>
      </c>
      <c r="AA201" s="3">
        <f t="shared" si="112"/>
        <v>0</v>
      </c>
      <c r="AB201" s="3">
        <f t="shared" si="112"/>
        <v>0</v>
      </c>
      <c r="AC201" s="3">
        <f t="shared" si="112"/>
        <v>0</v>
      </c>
      <c r="AD201" s="3">
        <f t="shared" si="112"/>
        <v>0</v>
      </c>
      <c r="AE201" s="3">
        <f t="shared" si="112"/>
        <v>0</v>
      </c>
      <c r="AF201" s="3">
        <f t="shared" si="112"/>
        <v>0</v>
      </c>
      <c r="AG201" s="3">
        <f t="shared" si="112"/>
        <v>0</v>
      </c>
      <c r="AH201" s="3">
        <f t="shared" si="112"/>
        <v>0</v>
      </c>
      <c r="AI201" s="3">
        <f t="shared" si="112"/>
        <v>0</v>
      </c>
      <c r="AJ201" s="3">
        <f t="shared" si="112"/>
        <v>0</v>
      </c>
      <c r="AK201" s="3">
        <f t="shared" si="112"/>
        <v>0</v>
      </c>
      <c r="AL201" s="3">
        <f t="shared" si="112"/>
        <v>0</v>
      </c>
      <c r="AM201" s="3">
        <f t="shared" si="112"/>
        <v>0</v>
      </c>
      <c r="AN201" s="3">
        <f t="shared" si="112"/>
        <v>0</v>
      </c>
      <c r="AO201" s="3">
        <f t="shared" si="112"/>
        <v>0</v>
      </c>
      <c r="AP201" s="3">
        <f t="shared" si="112"/>
        <v>0</v>
      </c>
      <c r="AQ201" s="3">
        <f t="shared" si="112"/>
        <v>0</v>
      </c>
      <c r="AR201" s="3">
        <f t="shared" si="112"/>
        <v>0</v>
      </c>
      <c r="AS201" s="3">
        <f t="shared" si="112"/>
        <v>0</v>
      </c>
      <c r="AT201" s="3">
        <f t="shared" si="112"/>
        <v>0</v>
      </c>
      <c r="AU201" s="3">
        <f t="shared" si="112"/>
        <v>0</v>
      </c>
      <c r="AV201" s="3">
        <f t="shared" si="112"/>
        <v>0</v>
      </c>
    </row>
    <row r="202" spans="1:48" ht="15" customHeight="1">
      <c r="E202" s="3" t="str">
        <f xml:space="preserve"> E201</f>
        <v>check: net revenue</v>
      </c>
      <c r="F202" s="169">
        <f xml:space="preserve"> IF( ABS(SUM(L202:AV202)) &gt; CHK_TOL, 1, 0)</f>
        <v>0</v>
      </c>
      <c r="G202" s="110" t="s">
        <v>113</v>
      </c>
      <c r="L202" s="169">
        <f xml:space="preserve"> IF( ABS(L201) &gt; CHK_TOL, 1, 0)</f>
        <v>0</v>
      </c>
      <c r="M202" s="169">
        <f t="shared" ref="M202:AV202" si="113" xml:space="preserve"> IF( ABS(M201) &gt; CHK_TOL, 1, 0)</f>
        <v>0</v>
      </c>
      <c r="N202" s="169">
        <f t="shared" si="113"/>
        <v>0</v>
      </c>
      <c r="O202" s="169">
        <f t="shared" si="113"/>
        <v>0</v>
      </c>
      <c r="P202" s="169">
        <f t="shared" si="113"/>
        <v>0</v>
      </c>
      <c r="Q202" s="169">
        <f t="shared" si="113"/>
        <v>0</v>
      </c>
      <c r="R202" s="169">
        <f t="shared" si="113"/>
        <v>0</v>
      </c>
      <c r="S202" s="169">
        <f t="shared" si="113"/>
        <v>0</v>
      </c>
      <c r="T202" s="169">
        <f t="shared" si="113"/>
        <v>0</v>
      </c>
      <c r="U202" s="169">
        <f t="shared" si="113"/>
        <v>0</v>
      </c>
      <c r="V202" s="169">
        <f t="shared" si="113"/>
        <v>0</v>
      </c>
      <c r="W202" s="169">
        <f t="shared" si="113"/>
        <v>0</v>
      </c>
      <c r="X202" s="169">
        <f t="shared" si="113"/>
        <v>0</v>
      </c>
      <c r="Y202" s="169">
        <f t="shared" si="113"/>
        <v>0</v>
      </c>
      <c r="Z202" s="169">
        <f t="shared" si="113"/>
        <v>0</v>
      </c>
      <c r="AA202" s="169">
        <f t="shared" si="113"/>
        <v>0</v>
      </c>
      <c r="AB202" s="169">
        <f t="shared" si="113"/>
        <v>0</v>
      </c>
      <c r="AC202" s="169">
        <f t="shared" si="113"/>
        <v>0</v>
      </c>
      <c r="AD202" s="169">
        <f t="shared" si="113"/>
        <v>0</v>
      </c>
      <c r="AE202" s="169">
        <f t="shared" si="113"/>
        <v>0</v>
      </c>
      <c r="AF202" s="169">
        <f t="shared" si="113"/>
        <v>0</v>
      </c>
      <c r="AG202" s="169">
        <f t="shared" si="113"/>
        <v>0</v>
      </c>
      <c r="AH202" s="169">
        <f t="shared" si="113"/>
        <v>0</v>
      </c>
      <c r="AI202" s="169">
        <f t="shared" si="113"/>
        <v>0</v>
      </c>
      <c r="AJ202" s="169">
        <f t="shared" si="113"/>
        <v>0</v>
      </c>
      <c r="AK202" s="169">
        <f t="shared" si="113"/>
        <v>0</v>
      </c>
      <c r="AL202" s="169">
        <f t="shared" si="113"/>
        <v>0</v>
      </c>
      <c r="AM202" s="169">
        <f t="shared" si="113"/>
        <v>0</v>
      </c>
      <c r="AN202" s="169">
        <f t="shared" si="113"/>
        <v>0</v>
      </c>
      <c r="AO202" s="169">
        <f t="shared" si="113"/>
        <v>0</v>
      </c>
      <c r="AP202" s="169">
        <f t="shared" si="113"/>
        <v>0</v>
      </c>
      <c r="AQ202" s="169">
        <f t="shared" si="113"/>
        <v>0</v>
      </c>
      <c r="AR202" s="169">
        <f t="shared" si="113"/>
        <v>0</v>
      </c>
      <c r="AS202" s="169">
        <f t="shared" si="113"/>
        <v>0</v>
      </c>
      <c r="AT202" s="169">
        <f t="shared" si="113"/>
        <v>0</v>
      </c>
      <c r="AU202" s="169">
        <f t="shared" si="113"/>
        <v>0</v>
      </c>
      <c r="AV202" s="169">
        <f t="shared" si="113"/>
        <v>0</v>
      </c>
    </row>
    <row r="204" spans="1:48" s="3" customFormat="1" ht="15" customHeight="1">
      <c r="A204" s="95"/>
      <c r="B204" s="95"/>
      <c r="C204" s="201"/>
      <c r="E204" s="3" t="str">
        <f t="shared" ref="E204:AV204" si="114" xml:space="preserve"> E$91</f>
        <v>Cu + Co government royalty</v>
      </c>
      <c r="F204" s="3">
        <f t="shared" si="114"/>
        <v>0</v>
      </c>
      <c r="G204" s="3" t="str">
        <f t="shared" si="114"/>
        <v>$ mn</v>
      </c>
      <c r="H204" s="3">
        <f t="shared" si="114"/>
        <v>0</v>
      </c>
      <c r="I204" s="3">
        <f t="shared" si="114"/>
        <v>0</v>
      </c>
      <c r="J204" s="3">
        <f t="shared" si="114"/>
        <v>2886.1136273051079</v>
      </c>
      <c r="K204" s="3">
        <f t="shared" si="114"/>
        <v>0</v>
      </c>
      <c r="L204" s="3">
        <f t="shared" si="114"/>
        <v>0</v>
      </c>
      <c r="M204" s="3">
        <f t="shared" si="114"/>
        <v>0</v>
      </c>
      <c r="N204" s="3">
        <f t="shared" si="114"/>
        <v>-0.35452998238514294</v>
      </c>
      <c r="O204" s="3">
        <f t="shared" si="114"/>
        <v>4.7845947038209449</v>
      </c>
      <c r="P204" s="3">
        <f t="shared" si="114"/>
        <v>23.777962630000001</v>
      </c>
      <c r="Q204" s="3">
        <f t="shared" si="114"/>
        <v>22.374901094999998</v>
      </c>
      <c r="R204" s="3">
        <f t="shared" si="114"/>
        <v>20.845108889999999</v>
      </c>
      <c r="S204" s="3">
        <f t="shared" si="114"/>
        <v>26.03861229</v>
      </c>
      <c r="T204" s="3">
        <f t="shared" si="114"/>
        <v>42.094410450000005</v>
      </c>
      <c r="U204" s="3">
        <f t="shared" si="114"/>
        <v>25.864369800000002</v>
      </c>
      <c r="V204" s="3">
        <f t="shared" si="114"/>
        <v>0</v>
      </c>
      <c r="W204" s="3">
        <f t="shared" si="114"/>
        <v>0.4535300000000001</v>
      </c>
      <c r="X204" s="3">
        <f t="shared" si="114"/>
        <v>84.740434499999992</v>
      </c>
      <c r="Y204" s="3">
        <f t="shared" si="114"/>
        <v>107.63964156208955</v>
      </c>
      <c r="Z204" s="3">
        <f t="shared" si="114"/>
        <v>168.86862738834679</v>
      </c>
      <c r="AA204" s="3">
        <f t="shared" si="114"/>
        <v>240.410506448305</v>
      </c>
      <c r="AB204" s="3">
        <f t="shared" si="114"/>
        <v>243.52633861888881</v>
      </c>
      <c r="AC204" s="3">
        <f t="shared" si="114"/>
        <v>250.49311313580245</v>
      </c>
      <c r="AD204" s="3">
        <f t="shared" si="114"/>
        <v>266.34898615718163</v>
      </c>
      <c r="AE204" s="3">
        <f t="shared" si="114"/>
        <v>252.76726483653454</v>
      </c>
      <c r="AF204" s="3">
        <f t="shared" si="114"/>
        <v>233.09276627050716</v>
      </c>
      <c r="AG204" s="3">
        <f t="shared" si="114"/>
        <v>226.13003773692296</v>
      </c>
      <c r="AH204" s="3">
        <f t="shared" si="114"/>
        <v>199.47554723593706</v>
      </c>
      <c r="AI204" s="3">
        <f t="shared" si="114"/>
        <v>124.37430327850126</v>
      </c>
      <c r="AJ204" s="3">
        <f t="shared" si="114"/>
        <v>78.031552993740718</v>
      </c>
      <c r="AK204" s="3">
        <f t="shared" si="114"/>
        <v>90.126255242061703</v>
      </c>
      <c r="AL204" s="3">
        <f t="shared" si="114"/>
        <v>87.930125849999996</v>
      </c>
      <c r="AM204" s="3">
        <f t="shared" si="114"/>
        <v>51.091005051313886</v>
      </c>
      <c r="AN204" s="3">
        <f t="shared" si="114"/>
        <v>15.188161122538663</v>
      </c>
      <c r="AO204" s="3">
        <f t="shared" si="114"/>
        <v>0</v>
      </c>
      <c r="AP204" s="3">
        <f t="shared" si="114"/>
        <v>0</v>
      </c>
      <c r="AQ204" s="3">
        <f t="shared" si="114"/>
        <v>0</v>
      </c>
      <c r="AR204" s="3">
        <f t="shared" si="114"/>
        <v>0</v>
      </c>
      <c r="AS204" s="3">
        <f t="shared" si="114"/>
        <v>0</v>
      </c>
      <c r="AT204" s="3">
        <f t="shared" si="114"/>
        <v>0</v>
      </c>
      <c r="AU204" s="3">
        <f t="shared" si="114"/>
        <v>0</v>
      </c>
      <c r="AV204" s="3">
        <f t="shared" si="114"/>
        <v>0</v>
      </c>
    </row>
    <row r="205" spans="1:48" s="3" customFormat="1" ht="15" customHeight="1">
      <c r="A205" s="95"/>
      <c r="B205" s="95"/>
      <c r="C205" s="201"/>
      <c r="E205" s="3" t="str">
        <f t="shared" ref="E205:AV205" si="115" xml:space="preserve"> E$99</f>
        <v>Cu + Co private royalty</v>
      </c>
      <c r="F205" s="3">
        <f t="shared" si="115"/>
        <v>0</v>
      </c>
      <c r="G205" s="3" t="str">
        <f t="shared" si="115"/>
        <v>$ mn</v>
      </c>
      <c r="H205" s="3">
        <f t="shared" si="115"/>
        <v>0</v>
      </c>
      <c r="I205" s="3">
        <f t="shared" si="115"/>
        <v>0</v>
      </c>
      <c r="J205" s="3">
        <f t="shared" si="115"/>
        <v>1058.006678847981</v>
      </c>
      <c r="K205" s="3">
        <f t="shared" si="115"/>
        <v>0</v>
      </c>
      <c r="L205" s="3">
        <f t="shared" si="115"/>
        <v>0</v>
      </c>
      <c r="M205" s="3">
        <f t="shared" si="115"/>
        <v>0</v>
      </c>
      <c r="N205" s="3">
        <f t="shared" si="115"/>
        <v>-0.44316247798142866</v>
      </c>
      <c r="O205" s="3">
        <f t="shared" si="115"/>
        <v>5.9807433797761806</v>
      </c>
      <c r="P205" s="3">
        <f t="shared" si="115"/>
        <v>10.95490270315579</v>
      </c>
      <c r="Q205" s="3">
        <f t="shared" si="115"/>
        <v>12.279744373682554</v>
      </c>
      <c r="R205" s="3">
        <f t="shared" si="115"/>
        <v>11.522713619855514</v>
      </c>
      <c r="S205" s="3">
        <f t="shared" si="115"/>
        <v>14.694567242679378</v>
      </c>
      <c r="T205" s="3">
        <f t="shared" si="115"/>
        <v>23.982979117121456</v>
      </c>
      <c r="U205" s="3">
        <f t="shared" si="115"/>
        <v>13.396831667542077</v>
      </c>
      <c r="V205" s="3">
        <f t="shared" si="115"/>
        <v>0</v>
      </c>
      <c r="W205" s="3">
        <f t="shared" si="115"/>
        <v>0.28131959109929422</v>
      </c>
      <c r="X205" s="3">
        <f t="shared" si="115"/>
        <v>33.650225745747989</v>
      </c>
      <c r="Y205" s="3">
        <f t="shared" si="115"/>
        <v>44.520959248019814</v>
      </c>
      <c r="Z205" s="3">
        <f t="shared" si="115"/>
        <v>64.682112809642632</v>
      </c>
      <c r="AA205" s="3">
        <f t="shared" si="115"/>
        <v>83.615475163680998</v>
      </c>
      <c r="AB205" s="3">
        <f t="shared" si="115"/>
        <v>84.086101558896146</v>
      </c>
      <c r="AC205" s="3">
        <f t="shared" si="115"/>
        <v>85.856918887651048</v>
      </c>
      <c r="AD205" s="3">
        <f t="shared" si="115"/>
        <v>89.974523783426349</v>
      </c>
      <c r="AE205" s="3">
        <f t="shared" si="115"/>
        <v>86.638267136658385</v>
      </c>
      <c r="AF205" s="3">
        <f t="shared" si="115"/>
        <v>81.816399922569261</v>
      </c>
      <c r="AG205" s="3">
        <f t="shared" si="115"/>
        <v>80.067840178986856</v>
      </c>
      <c r="AH205" s="3">
        <f t="shared" si="115"/>
        <v>73.716381724119074</v>
      </c>
      <c r="AI205" s="3">
        <f t="shared" si="115"/>
        <v>45.31795163175569</v>
      </c>
      <c r="AJ205" s="3">
        <f t="shared" si="115"/>
        <v>27.140097987999042</v>
      </c>
      <c r="AK205" s="3">
        <f t="shared" si="115"/>
        <v>30.29630873928393</v>
      </c>
      <c r="AL205" s="3">
        <f t="shared" si="115"/>
        <v>30.053404094593986</v>
      </c>
      <c r="AM205" s="3">
        <f t="shared" si="115"/>
        <v>18.319212063549408</v>
      </c>
      <c r="AN205" s="3">
        <f t="shared" si="115"/>
        <v>5.6038589544693433</v>
      </c>
      <c r="AO205" s="3">
        <f t="shared" si="115"/>
        <v>0</v>
      </c>
      <c r="AP205" s="3">
        <f t="shared" si="115"/>
        <v>0</v>
      </c>
      <c r="AQ205" s="3">
        <f t="shared" si="115"/>
        <v>0</v>
      </c>
      <c r="AR205" s="3">
        <f t="shared" si="115"/>
        <v>0</v>
      </c>
      <c r="AS205" s="3">
        <f t="shared" si="115"/>
        <v>0</v>
      </c>
      <c r="AT205" s="3">
        <f t="shared" si="115"/>
        <v>0</v>
      </c>
      <c r="AU205" s="3">
        <f t="shared" si="115"/>
        <v>0</v>
      </c>
      <c r="AV205" s="3">
        <f t="shared" si="115"/>
        <v>0</v>
      </c>
    </row>
    <row r="206" spans="1:48" s="3" customFormat="1" ht="15" customHeight="1">
      <c r="A206" s="95"/>
      <c r="B206" s="95"/>
      <c r="C206" s="201"/>
      <c r="E206" s="3" t="str">
        <f t="shared" ref="E206:AV206" si="116" xml:space="preserve"> E$129</f>
        <v>Total project operating costs</v>
      </c>
      <c r="F206" s="3">
        <f t="shared" si="116"/>
        <v>0</v>
      </c>
      <c r="G206" s="3" t="str">
        <f t="shared" si="116"/>
        <v>$ mn</v>
      </c>
      <c r="H206" s="3">
        <f t="shared" si="116"/>
        <v>0</v>
      </c>
      <c r="I206" s="3">
        <f t="shared" si="116"/>
        <v>0</v>
      </c>
      <c r="J206" s="3">
        <f t="shared" si="116"/>
        <v>18944.830000000002</v>
      </c>
      <c r="K206" s="3">
        <f t="shared" si="116"/>
        <v>0</v>
      </c>
      <c r="L206" s="3">
        <f t="shared" si="116"/>
        <v>0</v>
      </c>
      <c r="M206" s="3">
        <f t="shared" si="116"/>
        <v>0</v>
      </c>
      <c r="N206" s="3">
        <f t="shared" si="116"/>
        <v>0</v>
      </c>
      <c r="O206" s="3">
        <f t="shared" si="116"/>
        <v>0</v>
      </c>
      <c r="P206" s="3">
        <f t="shared" si="116"/>
        <v>0</v>
      </c>
      <c r="Q206" s="3">
        <f t="shared" si="116"/>
        <v>0</v>
      </c>
      <c r="R206" s="3">
        <f t="shared" si="116"/>
        <v>0</v>
      </c>
      <c r="S206" s="3">
        <f t="shared" si="116"/>
        <v>0</v>
      </c>
      <c r="T206" s="3">
        <f t="shared" si="116"/>
        <v>0</v>
      </c>
      <c r="U206" s="3">
        <f t="shared" si="116"/>
        <v>0</v>
      </c>
      <c r="V206" s="3">
        <f t="shared" si="116"/>
        <v>0</v>
      </c>
      <c r="W206" s="3">
        <f t="shared" si="116"/>
        <v>0</v>
      </c>
      <c r="X206" s="3">
        <f t="shared" si="116"/>
        <v>0</v>
      </c>
      <c r="Y206" s="3">
        <f t="shared" si="116"/>
        <v>1256</v>
      </c>
      <c r="Z206" s="3">
        <f t="shared" si="116"/>
        <v>1229.3399999999999</v>
      </c>
      <c r="AA206" s="3">
        <f t="shared" si="116"/>
        <v>1203.49</v>
      </c>
      <c r="AB206" s="3">
        <f t="shared" si="116"/>
        <v>1168.6200000000001</v>
      </c>
      <c r="AC206" s="3">
        <f t="shared" si="116"/>
        <v>1173.9483333333335</v>
      </c>
      <c r="AD206" s="3">
        <f t="shared" si="116"/>
        <v>1173.9483333333335</v>
      </c>
      <c r="AE206" s="3">
        <f t="shared" si="116"/>
        <v>1173.9483333333335</v>
      </c>
      <c r="AF206" s="3">
        <f t="shared" si="116"/>
        <v>1173.9483333333335</v>
      </c>
      <c r="AG206" s="3">
        <f t="shared" si="116"/>
        <v>1173.9483333333335</v>
      </c>
      <c r="AH206" s="3">
        <f t="shared" si="116"/>
        <v>1173.9483333333335</v>
      </c>
      <c r="AI206" s="3">
        <f t="shared" si="116"/>
        <v>1173.9483333333335</v>
      </c>
      <c r="AJ206" s="3">
        <f t="shared" si="116"/>
        <v>1173.9483333333335</v>
      </c>
      <c r="AK206" s="3">
        <f t="shared" si="116"/>
        <v>1173.9483333333335</v>
      </c>
      <c r="AL206" s="3">
        <f t="shared" si="116"/>
        <v>1173.9483333333335</v>
      </c>
      <c r="AM206" s="3">
        <f t="shared" si="116"/>
        <v>1173.9483333333335</v>
      </c>
      <c r="AN206" s="3">
        <f t="shared" si="116"/>
        <v>1173.9483333333335</v>
      </c>
      <c r="AO206" s="3">
        <f t="shared" si="116"/>
        <v>0</v>
      </c>
      <c r="AP206" s="3">
        <f t="shared" si="116"/>
        <v>0</v>
      </c>
      <c r="AQ206" s="3">
        <f t="shared" si="116"/>
        <v>0</v>
      </c>
      <c r="AR206" s="3">
        <f t="shared" si="116"/>
        <v>0</v>
      </c>
      <c r="AS206" s="3">
        <f t="shared" si="116"/>
        <v>0</v>
      </c>
      <c r="AT206" s="3">
        <f t="shared" si="116"/>
        <v>0</v>
      </c>
      <c r="AU206" s="3">
        <f t="shared" si="116"/>
        <v>0</v>
      </c>
      <c r="AV206" s="3">
        <f t="shared" si="116"/>
        <v>0</v>
      </c>
    </row>
    <row r="207" spans="1:48" s="3" customFormat="1" ht="15" customHeight="1">
      <c r="A207" s="95"/>
      <c r="B207" s="95"/>
      <c r="C207" s="201"/>
      <c r="E207" s="6" t="str">
        <f t="shared" ref="E207:AV207" si="117" xml:space="preserve"> E$182</f>
        <v>Amortization charge</v>
      </c>
      <c r="F207" s="6">
        <f t="shared" si="117"/>
        <v>0</v>
      </c>
      <c r="G207" s="6" t="str">
        <f t="shared" si="117"/>
        <v>$ mn</v>
      </c>
      <c r="H207" s="6">
        <f t="shared" si="117"/>
        <v>0</v>
      </c>
      <c r="I207" s="6">
        <f t="shared" si="117"/>
        <v>0</v>
      </c>
      <c r="J207" s="6">
        <f t="shared" si="117"/>
        <v>4956.5171905149127</v>
      </c>
      <c r="K207" s="6">
        <f t="shared" si="117"/>
        <v>0</v>
      </c>
      <c r="L207" s="6">
        <f t="shared" si="117"/>
        <v>0</v>
      </c>
      <c r="M207" s="6">
        <f t="shared" si="117"/>
        <v>0</v>
      </c>
      <c r="N207" s="6">
        <f t="shared" si="117"/>
        <v>0</v>
      </c>
      <c r="O207" s="6">
        <f t="shared" si="117"/>
        <v>0</v>
      </c>
      <c r="P207" s="6">
        <f t="shared" si="117"/>
        <v>0</v>
      </c>
      <c r="Q207" s="6">
        <f t="shared" si="117"/>
        <v>192</v>
      </c>
      <c r="R207" s="6">
        <f t="shared" si="117"/>
        <v>250.2</v>
      </c>
      <c r="S207" s="6">
        <f t="shared" si="117"/>
        <v>291.84000000000003</v>
      </c>
      <c r="T207" s="6">
        <f t="shared" si="117"/>
        <v>172.78800000000001</v>
      </c>
      <c r="U207" s="6">
        <f t="shared" si="117"/>
        <v>153.05160000000001</v>
      </c>
      <c r="V207" s="6">
        <f t="shared" si="117"/>
        <v>124.53612000000001</v>
      </c>
      <c r="W207" s="6">
        <f t="shared" si="117"/>
        <v>123.47528400000002</v>
      </c>
      <c r="X207" s="6">
        <f t="shared" si="117"/>
        <v>126.3326988</v>
      </c>
      <c r="Y207" s="6">
        <f t="shared" si="117"/>
        <v>303.22088916000001</v>
      </c>
      <c r="Z207" s="6">
        <f t="shared" si="117"/>
        <v>303.01062241200003</v>
      </c>
      <c r="AA207" s="6">
        <f t="shared" si="117"/>
        <v>263.28143568839994</v>
      </c>
      <c r="AB207" s="6">
        <f t="shared" si="117"/>
        <v>224.78800498187999</v>
      </c>
      <c r="AC207" s="6">
        <f t="shared" si="117"/>
        <v>203.17510348731602</v>
      </c>
      <c r="AD207" s="6">
        <f t="shared" si="117"/>
        <v>195.15382244112121</v>
      </c>
      <c r="AE207" s="6">
        <f t="shared" si="117"/>
        <v>189.53892570878483</v>
      </c>
      <c r="AF207" s="6">
        <f t="shared" si="117"/>
        <v>185.60849799614937</v>
      </c>
      <c r="AG207" s="6">
        <f t="shared" si="117"/>
        <v>182.85719859730455</v>
      </c>
      <c r="AH207" s="6">
        <f t="shared" si="117"/>
        <v>180.9312890181132</v>
      </c>
      <c r="AI207" s="6">
        <f t="shared" si="117"/>
        <v>179.58315231267923</v>
      </c>
      <c r="AJ207" s="6">
        <f t="shared" si="117"/>
        <v>178.63945661887544</v>
      </c>
      <c r="AK207" s="6">
        <f t="shared" si="117"/>
        <v>177.97886963321281</v>
      </c>
      <c r="AL207" s="6">
        <f t="shared" si="117"/>
        <v>177.51645874324896</v>
      </c>
      <c r="AM207" s="6">
        <f t="shared" si="117"/>
        <v>177.19277112027427</v>
      </c>
      <c r="AN207" s="6">
        <f t="shared" si="117"/>
        <v>176.96618978419195</v>
      </c>
      <c r="AO207" s="6">
        <f t="shared" si="117"/>
        <v>70.945082848934376</v>
      </c>
      <c r="AP207" s="6">
        <f t="shared" si="117"/>
        <v>49.661557994254061</v>
      </c>
      <c r="AQ207" s="6">
        <f t="shared" si="117"/>
        <v>34.76309059597785</v>
      </c>
      <c r="AR207" s="6">
        <f t="shared" si="117"/>
        <v>24.334163417184495</v>
      </c>
      <c r="AS207" s="6">
        <f t="shared" si="117"/>
        <v>17.033914392029146</v>
      </c>
      <c r="AT207" s="6">
        <f t="shared" si="117"/>
        <v>11.923740074420403</v>
      </c>
      <c r="AU207" s="6">
        <f t="shared" si="117"/>
        <v>8.3466180520942821</v>
      </c>
      <c r="AV207" s="6">
        <f t="shared" si="117"/>
        <v>5.8426326364659973</v>
      </c>
    </row>
    <row r="208" spans="1:48" s="3" customFormat="1" ht="15" customHeight="1">
      <c r="A208" s="95"/>
      <c r="B208" s="95"/>
      <c r="C208" s="201"/>
      <c r="E208" s="223" t="s">
        <v>114</v>
      </c>
      <c r="F208" s="6"/>
      <c r="G208" s="6"/>
      <c r="H208" s="6"/>
      <c r="I208" s="6"/>
      <c r="J208" s="6"/>
      <c r="K208" s="6"/>
      <c r="L208" s="223"/>
      <c r="M208" s="223"/>
      <c r="N208" s="223"/>
      <c r="O208" s="223"/>
      <c r="P208" s="223"/>
      <c r="Q208" s="223"/>
      <c r="R208" s="223"/>
      <c r="S208" s="223"/>
      <c r="T208" s="223"/>
      <c r="U208" s="223"/>
      <c r="V208" s="223"/>
      <c r="W208" s="223"/>
      <c r="X208" s="223"/>
      <c r="Y208" s="223"/>
      <c r="Z208" s="223"/>
      <c r="AA208" s="223"/>
      <c r="AB208" s="223"/>
      <c r="AC208" s="223"/>
      <c r="AD208" s="223"/>
      <c r="AE208" s="223"/>
      <c r="AF208" s="223"/>
      <c r="AG208" s="223"/>
      <c r="AH208" s="223"/>
      <c r="AI208" s="223"/>
      <c r="AJ208" s="223"/>
      <c r="AK208" s="223"/>
      <c r="AL208" s="223"/>
      <c r="AM208" s="223"/>
      <c r="AN208" s="223"/>
      <c r="AO208" s="223"/>
      <c r="AP208" s="223"/>
      <c r="AQ208" s="223"/>
      <c r="AR208" s="223"/>
      <c r="AS208" s="223"/>
      <c r="AT208" s="223"/>
      <c r="AU208" s="223"/>
      <c r="AV208" s="223"/>
    </row>
    <row r="209" spans="1:48" s="3" customFormat="1" ht="15" customHeight="1">
      <c r="A209" s="95"/>
      <c r="B209" s="95"/>
      <c r="C209" s="201"/>
      <c r="E209" s="3" t="s">
        <v>115</v>
      </c>
      <c r="G209" s="3" t="s">
        <v>29</v>
      </c>
      <c r="I209" s="97"/>
      <c r="J209" s="3">
        <f xml:space="preserve"> SUM(L209:AV209)</f>
        <v>27845.467496668003</v>
      </c>
      <c r="L209" s="97">
        <f t="shared" ref="L209:AV209" si="118">SUM(L204:L208)</f>
        <v>0</v>
      </c>
      <c r="M209" s="97">
        <f t="shared" si="118"/>
        <v>0</v>
      </c>
      <c r="N209" s="97">
        <f t="shared" si="118"/>
        <v>-0.7976924603665716</v>
      </c>
      <c r="O209" s="97">
        <f t="shared" si="118"/>
        <v>10.765338083597126</v>
      </c>
      <c r="P209" s="97">
        <f t="shared" si="118"/>
        <v>34.732865333155793</v>
      </c>
      <c r="Q209" s="97">
        <f t="shared" si="118"/>
        <v>226.65464546868256</v>
      </c>
      <c r="R209" s="97">
        <f t="shared" si="118"/>
        <v>282.56782250985549</v>
      </c>
      <c r="S209" s="97">
        <f t="shared" si="118"/>
        <v>332.57317953267943</v>
      </c>
      <c r="T209" s="97">
        <f t="shared" si="118"/>
        <v>238.86538956712147</v>
      </c>
      <c r="U209" s="97">
        <f t="shared" si="118"/>
        <v>192.3128014675421</v>
      </c>
      <c r="V209" s="97">
        <f t="shared" si="118"/>
        <v>124.53612000000001</v>
      </c>
      <c r="W209" s="97">
        <f t="shared" si="118"/>
        <v>124.21013359109931</v>
      </c>
      <c r="X209" s="97">
        <f t="shared" si="118"/>
        <v>244.723359045748</v>
      </c>
      <c r="Y209" s="97">
        <f t="shared" si="118"/>
        <v>1711.3814899701094</v>
      </c>
      <c r="Z209" s="97">
        <f t="shared" si="118"/>
        <v>1765.9013626099893</v>
      </c>
      <c r="AA209" s="97">
        <f t="shared" si="118"/>
        <v>1790.7974173003859</v>
      </c>
      <c r="AB209" s="97">
        <f t="shared" si="118"/>
        <v>1721.0204451596651</v>
      </c>
      <c r="AC209" s="97">
        <f t="shared" si="118"/>
        <v>1713.4734688441029</v>
      </c>
      <c r="AD209" s="97">
        <f t="shared" si="118"/>
        <v>1725.4256657150629</v>
      </c>
      <c r="AE209" s="97">
        <f t="shared" si="118"/>
        <v>1702.8927910153111</v>
      </c>
      <c r="AF209" s="97">
        <f t="shared" si="118"/>
        <v>1674.4659975225591</v>
      </c>
      <c r="AG209" s="97">
        <f t="shared" si="118"/>
        <v>1663.003409846548</v>
      </c>
      <c r="AH209" s="97">
        <f t="shared" si="118"/>
        <v>1628.0715513115028</v>
      </c>
      <c r="AI209" s="97">
        <f t="shared" si="118"/>
        <v>1523.2237405562696</v>
      </c>
      <c r="AJ209" s="97">
        <f t="shared" si="118"/>
        <v>1457.7594409339486</v>
      </c>
      <c r="AK209" s="97">
        <f t="shared" si="118"/>
        <v>1472.3497669478918</v>
      </c>
      <c r="AL209" s="97">
        <f t="shared" si="118"/>
        <v>1469.4483220211764</v>
      </c>
      <c r="AM209" s="97">
        <f t="shared" si="118"/>
        <v>1420.5513215684712</v>
      </c>
      <c r="AN209" s="97">
        <f t="shared" si="118"/>
        <v>1371.7065431945334</v>
      </c>
      <c r="AO209" s="97">
        <f t="shared" si="118"/>
        <v>70.945082848934376</v>
      </c>
      <c r="AP209" s="97">
        <f t="shared" si="118"/>
        <v>49.661557994254061</v>
      </c>
      <c r="AQ209" s="97">
        <f t="shared" si="118"/>
        <v>34.76309059597785</v>
      </c>
      <c r="AR209" s="97">
        <f t="shared" si="118"/>
        <v>24.334163417184495</v>
      </c>
      <c r="AS209" s="97">
        <f t="shared" si="118"/>
        <v>17.033914392029146</v>
      </c>
      <c r="AT209" s="97">
        <f t="shared" si="118"/>
        <v>11.923740074420403</v>
      </c>
      <c r="AU209" s="97">
        <f t="shared" si="118"/>
        <v>8.3466180520942821</v>
      </c>
      <c r="AV209" s="97">
        <f t="shared" si="118"/>
        <v>5.8426326364659973</v>
      </c>
    </row>
    <row r="210" spans="1:48" s="3" customFormat="1" ht="15" customHeight="1">
      <c r="A210" s="95"/>
      <c r="B210" s="95"/>
      <c r="C210" s="201"/>
      <c r="I210" s="97"/>
      <c r="L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  <c r="AB210" s="97"/>
      <c r="AC210" s="97"/>
      <c r="AD210" s="97"/>
      <c r="AE210" s="97"/>
      <c r="AF210" s="97"/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  <c r="AR210" s="97"/>
      <c r="AS210" s="97"/>
      <c r="AT210" s="97"/>
      <c r="AU210" s="97"/>
      <c r="AV210" s="97"/>
    </row>
    <row r="211" spans="1:48" s="3" customFormat="1" ht="15" customHeight="1">
      <c r="A211" s="95"/>
      <c r="B211" s="95"/>
      <c r="C211" s="201"/>
      <c r="E211" s="3" t="s">
        <v>116</v>
      </c>
      <c r="G211" s="3" t="s">
        <v>29</v>
      </c>
      <c r="I211" s="97"/>
      <c r="J211" s="3">
        <f xml:space="preserve"> SUM(L211:AV211)</f>
        <v>14474.799657251227</v>
      </c>
      <c r="L211" s="97">
        <f t="shared" ref="L211:AV211" si="119" xml:space="preserve"> L200 - L209</f>
        <v>0</v>
      </c>
      <c r="M211" s="97">
        <f t="shared" si="119"/>
        <v>0</v>
      </c>
      <c r="N211" s="97">
        <f t="shared" si="119"/>
        <v>-16.928806658890572</v>
      </c>
      <c r="O211" s="97">
        <f t="shared" si="119"/>
        <v>228.46439710745008</v>
      </c>
      <c r="P211" s="97">
        <f t="shared" si="119"/>
        <v>403.46324279307578</v>
      </c>
      <c r="Q211" s="97">
        <f t="shared" si="119"/>
        <v>264.53512947861964</v>
      </c>
      <c r="R211" s="97">
        <f t="shared" si="119"/>
        <v>178.34072228436503</v>
      </c>
      <c r="S211" s="97">
        <f t="shared" si="119"/>
        <v>255.20951017449568</v>
      </c>
      <c r="T211" s="97">
        <f t="shared" si="119"/>
        <v>720.45377511773677</v>
      </c>
      <c r="U211" s="97">
        <f t="shared" si="119"/>
        <v>343.56046523414096</v>
      </c>
      <c r="V211" s="97">
        <f t="shared" si="119"/>
        <v>-124.53612000000001</v>
      </c>
      <c r="W211" s="97">
        <f t="shared" si="119"/>
        <v>-112.95734994712754</v>
      </c>
      <c r="X211" s="97">
        <f t="shared" si="119"/>
        <v>1101.2856707841715</v>
      </c>
      <c r="Y211" s="97">
        <f t="shared" si="119"/>
        <v>69.45687995068306</v>
      </c>
      <c r="Z211" s="97">
        <f t="shared" si="119"/>
        <v>821.38314977571576</v>
      </c>
      <c r="AA211" s="97">
        <f t="shared" si="119"/>
        <v>1553.8215892468538</v>
      </c>
      <c r="AB211" s="97">
        <f t="shared" si="119"/>
        <v>1642.4236171961807</v>
      </c>
      <c r="AC211" s="97">
        <f t="shared" si="119"/>
        <v>1720.803286661939</v>
      </c>
      <c r="AD211" s="97">
        <f t="shared" si="119"/>
        <v>1873.5552856219908</v>
      </c>
      <c r="AE211" s="97">
        <f t="shared" si="119"/>
        <v>1762.6378944510247</v>
      </c>
      <c r="AF211" s="97">
        <f t="shared" si="119"/>
        <v>1598.1899993802112</v>
      </c>
      <c r="AG211" s="97">
        <f t="shared" si="119"/>
        <v>1539.7101973129261</v>
      </c>
      <c r="AH211" s="97">
        <f t="shared" si="119"/>
        <v>1320.58371765326</v>
      </c>
      <c r="AI211" s="97">
        <f t="shared" si="119"/>
        <v>289.49432471395812</v>
      </c>
      <c r="AJ211" s="97">
        <f t="shared" si="119"/>
        <v>-372.15552141398712</v>
      </c>
      <c r="AK211" s="97">
        <f t="shared" si="119"/>
        <v>-260.49741737653471</v>
      </c>
      <c r="AL211" s="97">
        <f t="shared" si="119"/>
        <v>-267.31215823741695</v>
      </c>
      <c r="AM211" s="97">
        <f t="shared" si="119"/>
        <v>-687.78283902649491</v>
      </c>
      <c r="AN211" s="97">
        <f t="shared" si="119"/>
        <v>-1147.5521850157597</v>
      </c>
      <c r="AO211" s="97">
        <f t="shared" si="119"/>
        <v>-70.945082848934376</v>
      </c>
      <c r="AP211" s="97">
        <f t="shared" si="119"/>
        <v>-49.661557994254061</v>
      </c>
      <c r="AQ211" s="97">
        <f t="shared" si="119"/>
        <v>-34.76309059597785</v>
      </c>
      <c r="AR211" s="97">
        <f t="shared" si="119"/>
        <v>-24.334163417184495</v>
      </c>
      <c r="AS211" s="97">
        <f t="shared" si="119"/>
        <v>-17.033914392029146</v>
      </c>
      <c r="AT211" s="97">
        <f t="shared" si="119"/>
        <v>-11.923740074420403</v>
      </c>
      <c r="AU211" s="97">
        <f t="shared" si="119"/>
        <v>-8.3466180520942821</v>
      </c>
      <c r="AV211" s="97">
        <f t="shared" si="119"/>
        <v>-5.8426326364659973</v>
      </c>
    </row>
    <row r="212" spans="1:48" s="123" customFormat="1" ht="15" customHeight="1">
      <c r="A212" s="134"/>
      <c r="B212" s="134"/>
      <c r="C212" s="151"/>
    </row>
    <row r="213" spans="1:48" s="123" customFormat="1" ht="15" customHeight="1">
      <c r="A213" s="134"/>
      <c r="B213" s="134"/>
      <c r="C213" s="151"/>
      <c r="E213" s="132" t="str">
        <f xml:space="preserve"> Kamoto_2011TR!E$127</f>
        <v>Opening balance of losses 2011TR</v>
      </c>
      <c r="F213" s="132">
        <f xml:space="preserve"> Kamoto_2011TR!F$127</f>
        <v>750</v>
      </c>
      <c r="G213" s="132" t="str">
        <f xml:space="preserve"> Kamoto_2011TR!G$127</f>
        <v>$ mn</v>
      </c>
      <c r="H213" s="132">
        <f xml:space="preserve"> Kamoto_2011TR!H$127</f>
        <v>0</v>
      </c>
      <c r="I213" s="132" t="str">
        <f xml:space="preserve"> Kamoto_2011TR!I$127</f>
        <v>assumed</v>
      </c>
      <c r="J213" s="132"/>
    </row>
    <row r="214" spans="1:48" s="123" customFormat="1" ht="15" customHeight="1">
      <c r="A214" s="134"/>
      <c r="B214" s="134"/>
      <c r="C214" s="151"/>
    </row>
    <row r="215" spans="1:48" s="123" customFormat="1" ht="15" customHeight="1">
      <c r="A215" s="134"/>
      <c r="B215" s="134"/>
      <c r="C215" s="151"/>
      <c r="E215" s="132" t="str">
        <f xml:space="preserve"> 'T&amp;E'!E$11</f>
        <v>model column</v>
      </c>
      <c r="F215" s="132">
        <f xml:space="preserve"> 'T&amp;E'!F$11</f>
        <v>0</v>
      </c>
      <c r="G215" s="132" t="str">
        <f xml:space="preserve"> 'T&amp;E'!G$11</f>
        <v>#</v>
      </c>
      <c r="H215" s="132">
        <f xml:space="preserve"> 'T&amp;E'!H$11</f>
        <v>0</v>
      </c>
      <c r="I215" s="132">
        <f xml:space="preserve"> 'T&amp;E'!I$11</f>
        <v>0</v>
      </c>
      <c r="J215" s="132">
        <f xml:space="preserve"> 'T&amp;E'!J$11</f>
        <v>0</v>
      </c>
      <c r="K215" s="132">
        <f xml:space="preserve"> 'T&amp;E'!K$11</f>
        <v>0</v>
      </c>
      <c r="L215" s="132">
        <f xml:space="preserve"> 'T&amp;E'!L$11</f>
        <v>1</v>
      </c>
      <c r="M215" s="132">
        <f xml:space="preserve"> 'T&amp;E'!M$11</f>
        <v>2</v>
      </c>
      <c r="N215" s="132">
        <f xml:space="preserve"> 'T&amp;E'!N$11</f>
        <v>3</v>
      </c>
      <c r="O215" s="132">
        <f xml:space="preserve"> 'T&amp;E'!O$11</f>
        <v>4</v>
      </c>
      <c r="P215" s="132">
        <f xml:space="preserve"> 'T&amp;E'!P$11</f>
        <v>5</v>
      </c>
      <c r="Q215" s="132">
        <f xml:space="preserve"> 'T&amp;E'!Q$11</f>
        <v>6</v>
      </c>
      <c r="R215" s="132">
        <f xml:space="preserve"> 'T&amp;E'!R$11</f>
        <v>7</v>
      </c>
      <c r="S215" s="132">
        <f xml:space="preserve"> 'T&amp;E'!S$11</f>
        <v>8</v>
      </c>
      <c r="T215" s="132">
        <f xml:space="preserve"> 'T&amp;E'!T$11</f>
        <v>9</v>
      </c>
      <c r="U215" s="132">
        <f xml:space="preserve"> 'T&amp;E'!U$11</f>
        <v>10</v>
      </c>
      <c r="V215" s="132">
        <f xml:space="preserve"> 'T&amp;E'!V$11</f>
        <v>11</v>
      </c>
      <c r="W215" s="132">
        <f xml:space="preserve"> 'T&amp;E'!W$11</f>
        <v>12</v>
      </c>
      <c r="X215" s="132">
        <f xml:space="preserve"> 'T&amp;E'!X$11</f>
        <v>13</v>
      </c>
      <c r="Y215" s="132">
        <f xml:space="preserve"> 'T&amp;E'!Y$11</f>
        <v>14</v>
      </c>
      <c r="Z215" s="132">
        <f xml:space="preserve"> 'T&amp;E'!Z$11</f>
        <v>15</v>
      </c>
      <c r="AA215" s="132">
        <f xml:space="preserve"> 'T&amp;E'!AA$11</f>
        <v>16</v>
      </c>
      <c r="AB215" s="132">
        <f xml:space="preserve"> 'T&amp;E'!AB$11</f>
        <v>17</v>
      </c>
      <c r="AC215" s="132">
        <f xml:space="preserve"> 'T&amp;E'!AC$11</f>
        <v>18</v>
      </c>
      <c r="AD215" s="132">
        <f xml:space="preserve"> 'T&amp;E'!AD$11</f>
        <v>19</v>
      </c>
      <c r="AE215" s="132">
        <f xml:space="preserve"> 'T&amp;E'!AE$11</f>
        <v>20</v>
      </c>
      <c r="AF215" s="132">
        <f xml:space="preserve"> 'T&amp;E'!AF$11</f>
        <v>21</v>
      </c>
      <c r="AG215" s="132">
        <f xml:space="preserve"> 'T&amp;E'!AG$11</f>
        <v>22</v>
      </c>
      <c r="AH215" s="132">
        <f xml:space="preserve"> 'T&amp;E'!AH$11</f>
        <v>23</v>
      </c>
      <c r="AI215" s="132">
        <f xml:space="preserve"> 'T&amp;E'!AI$11</f>
        <v>24</v>
      </c>
      <c r="AJ215" s="132">
        <f xml:space="preserve"> 'T&amp;E'!AJ$11</f>
        <v>25</v>
      </c>
      <c r="AK215" s="132">
        <f xml:space="preserve"> 'T&amp;E'!AK$11</f>
        <v>26</v>
      </c>
      <c r="AL215" s="132">
        <f xml:space="preserve"> 'T&amp;E'!AL$11</f>
        <v>27</v>
      </c>
      <c r="AM215" s="132">
        <f xml:space="preserve"> 'T&amp;E'!AM$11</f>
        <v>28</v>
      </c>
      <c r="AN215" s="132">
        <f xml:space="preserve"> 'T&amp;E'!AN$11</f>
        <v>29</v>
      </c>
      <c r="AO215" s="132">
        <f xml:space="preserve"> 'T&amp;E'!AO$11</f>
        <v>30</v>
      </c>
      <c r="AP215" s="132">
        <f xml:space="preserve"> 'T&amp;E'!AP$11</f>
        <v>31</v>
      </c>
      <c r="AQ215" s="132">
        <f xml:space="preserve"> 'T&amp;E'!AQ$11</f>
        <v>32</v>
      </c>
      <c r="AR215" s="132">
        <f xml:space="preserve"> 'T&amp;E'!AR$11</f>
        <v>33</v>
      </c>
      <c r="AS215" s="132">
        <f xml:space="preserve"> 'T&amp;E'!AS$11</f>
        <v>34</v>
      </c>
      <c r="AT215" s="132">
        <f xml:space="preserve"> 'T&amp;E'!AT$11</f>
        <v>35</v>
      </c>
      <c r="AU215" s="132">
        <f xml:space="preserve"> 'T&amp;E'!AU$11</f>
        <v>36</v>
      </c>
      <c r="AV215" s="132">
        <f xml:space="preserve"> 'T&amp;E'!AV$11</f>
        <v>37</v>
      </c>
    </row>
    <row r="216" spans="1:48" s="123" customFormat="1" ht="15" customHeight="1">
      <c r="A216" s="134"/>
      <c r="B216" s="134"/>
      <c r="C216" s="151"/>
      <c r="E216" s="123" t="str">
        <f t="shared" ref="E216:AV216" si="120" xml:space="preserve"> E$211</f>
        <v>Taxable income before losses</v>
      </c>
      <c r="F216" s="123">
        <f t="shared" si="120"/>
        <v>0</v>
      </c>
      <c r="G216" s="123" t="str">
        <f t="shared" si="120"/>
        <v>$ mn</v>
      </c>
      <c r="H216" s="123">
        <f t="shared" si="120"/>
        <v>0</v>
      </c>
      <c r="I216" s="123">
        <f t="shared" si="120"/>
        <v>0</v>
      </c>
      <c r="J216" s="123">
        <f t="shared" si="120"/>
        <v>14474.799657251227</v>
      </c>
      <c r="K216" s="123">
        <f t="shared" si="120"/>
        <v>0</v>
      </c>
      <c r="L216" s="123">
        <f t="shared" si="120"/>
        <v>0</v>
      </c>
      <c r="M216" s="123">
        <f t="shared" si="120"/>
        <v>0</v>
      </c>
      <c r="N216" s="123">
        <f t="shared" si="120"/>
        <v>-16.928806658890572</v>
      </c>
      <c r="O216" s="123">
        <f t="shared" si="120"/>
        <v>228.46439710745008</v>
      </c>
      <c r="P216" s="123">
        <f t="shared" si="120"/>
        <v>403.46324279307578</v>
      </c>
      <c r="Q216" s="123">
        <f t="shared" si="120"/>
        <v>264.53512947861964</v>
      </c>
      <c r="R216" s="123">
        <f t="shared" si="120"/>
        <v>178.34072228436503</v>
      </c>
      <c r="S216" s="123">
        <f t="shared" si="120"/>
        <v>255.20951017449568</v>
      </c>
      <c r="T216" s="123">
        <f t="shared" si="120"/>
        <v>720.45377511773677</v>
      </c>
      <c r="U216" s="123">
        <f t="shared" si="120"/>
        <v>343.56046523414096</v>
      </c>
      <c r="V216" s="123">
        <f t="shared" si="120"/>
        <v>-124.53612000000001</v>
      </c>
      <c r="W216" s="123">
        <f t="shared" si="120"/>
        <v>-112.95734994712754</v>
      </c>
      <c r="X216" s="123">
        <f t="shared" si="120"/>
        <v>1101.2856707841715</v>
      </c>
      <c r="Y216" s="123">
        <f t="shared" si="120"/>
        <v>69.45687995068306</v>
      </c>
      <c r="Z216" s="123">
        <f t="shared" si="120"/>
        <v>821.38314977571576</v>
      </c>
      <c r="AA216" s="123">
        <f t="shared" si="120"/>
        <v>1553.8215892468538</v>
      </c>
      <c r="AB216" s="123">
        <f t="shared" si="120"/>
        <v>1642.4236171961807</v>
      </c>
      <c r="AC216" s="123">
        <f t="shared" si="120"/>
        <v>1720.803286661939</v>
      </c>
      <c r="AD216" s="123">
        <f t="shared" si="120"/>
        <v>1873.5552856219908</v>
      </c>
      <c r="AE216" s="123">
        <f t="shared" si="120"/>
        <v>1762.6378944510247</v>
      </c>
      <c r="AF216" s="123">
        <f t="shared" si="120"/>
        <v>1598.1899993802112</v>
      </c>
      <c r="AG216" s="123">
        <f t="shared" si="120"/>
        <v>1539.7101973129261</v>
      </c>
      <c r="AH216" s="123">
        <f t="shared" si="120"/>
        <v>1320.58371765326</v>
      </c>
      <c r="AI216" s="123">
        <f t="shared" si="120"/>
        <v>289.49432471395812</v>
      </c>
      <c r="AJ216" s="123">
        <f t="shared" si="120"/>
        <v>-372.15552141398712</v>
      </c>
      <c r="AK216" s="123">
        <f t="shared" si="120"/>
        <v>-260.49741737653471</v>
      </c>
      <c r="AL216" s="123">
        <f t="shared" si="120"/>
        <v>-267.31215823741695</v>
      </c>
      <c r="AM216" s="123">
        <f t="shared" si="120"/>
        <v>-687.78283902649491</v>
      </c>
      <c r="AN216" s="123">
        <f t="shared" si="120"/>
        <v>-1147.5521850157597</v>
      </c>
      <c r="AO216" s="123">
        <f t="shared" si="120"/>
        <v>-70.945082848934376</v>
      </c>
      <c r="AP216" s="123">
        <f t="shared" si="120"/>
        <v>-49.661557994254061</v>
      </c>
      <c r="AQ216" s="123">
        <f t="shared" si="120"/>
        <v>-34.76309059597785</v>
      </c>
      <c r="AR216" s="123">
        <f t="shared" si="120"/>
        <v>-24.334163417184495</v>
      </c>
      <c r="AS216" s="123">
        <f t="shared" si="120"/>
        <v>-17.033914392029146</v>
      </c>
      <c r="AT216" s="123">
        <f t="shared" si="120"/>
        <v>-11.923740074420403</v>
      </c>
      <c r="AU216" s="123">
        <f t="shared" si="120"/>
        <v>-8.3466180520942821</v>
      </c>
      <c r="AV216" s="123">
        <f t="shared" si="120"/>
        <v>-5.8426326364659973</v>
      </c>
    </row>
    <row r="217" spans="1:48" s="123" customFormat="1" ht="15" customHeight="1">
      <c r="A217" s="134"/>
      <c r="B217" s="134"/>
      <c r="C217" s="151"/>
      <c r="E217" s="123" t="s">
        <v>117</v>
      </c>
      <c r="G217" s="123" t="s">
        <v>29</v>
      </c>
      <c r="L217" s="123">
        <f t="shared" ref="L217:AV217" si="121" xml:space="preserve"> IF(L215 = 1, $F213 * -1, K218 * (K218 &lt; 0))</f>
        <v>-750</v>
      </c>
      <c r="M217" s="123">
        <f t="shared" si="121"/>
        <v>-750</v>
      </c>
      <c r="N217" s="123">
        <f t="shared" si="121"/>
        <v>-750</v>
      </c>
      <c r="O217" s="123">
        <f t="shared" si="121"/>
        <v>-766.92880665889061</v>
      </c>
      <c r="P217" s="123">
        <f t="shared" si="121"/>
        <v>-538.46440955144055</v>
      </c>
      <c r="Q217" s="123">
        <f t="shared" si="121"/>
        <v>-135.00116675836477</v>
      </c>
      <c r="R217" s="123">
        <f t="shared" si="121"/>
        <v>0</v>
      </c>
      <c r="S217" s="123">
        <f t="shared" si="121"/>
        <v>0</v>
      </c>
      <c r="T217" s="123">
        <f t="shared" si="121"/>
        <v>0</v>
      </c>
      <c r="U217" s="123">
        <f t="shared" si="121"/>
        <v>0</v>
      </c>
      <c r="V217" s="123">
        <f t="shared" si="121"/>
        <v>0</v>
      </c>
      <c r="W217" s="123">
        <f t="shared" si="121"/>
        <v>-124.53612000000001</v>
      </c>
      <c r="X217" s="123">
        <f t="shared" si="121"/>
        <v>-237.49346994712755</v>
      </c>
      <c r="Y217" s="123">
        <f t="shared" si="121"/>
        <v>0</v>
      </c>
      <c r="Z217" s="123">
        <f t="shared" si="121"/>
        <v>0</v>
      </c>
      <c r="AA217" s="123">
        <f t="shared" si="121"/>
        <v>0</v>
      </c>
      <c r="AB217" s="123">
        <f t="shared" si="121"/>
        <v>0</v>
      </c>
      <c r="AC217" s="123">
        <f t="shared" si="121"/>
        <v>0</v>
      </c>
      <c r="AD217" s="123">
        <f t="shared" si="121"/>
        <v>0</v>
      </c>
      <c r="AE217" s="123">
        <f t="shared" si="121"/>
        <v>0</v>
      </c>
      <c r="AF217" s="123">
        <f t="shared" si="121"/>
        <v>0</v>
      </c>
      <c r="AG217" s="123">
        <f t="shared" si="121"/>
        <v>0</v>
      </c>
      <c r="AH217" s="123">
        <f t="shared" si="121"/>
        <v>0</v>
      </c>
      <c r="AI217" s="123">
        <f t="shared" si="121"/>
        <v>0</v>
      </c>
      <c r="AJ217" s="123">
        <f t="shared" si="121"/>
        <v>0</v>
      </c>
      <c r="AK217" s="123">
        <f t="shared" si="121"/>
        <v>-372.15552141398712</v>
      </c>
      <c r="AL217" s="123">
        <f t="shared" si="121"/>
        <v>-632.65293879052183</v>
      </c>
      <c r="AM217" s="123">
        <f t="shared" si="121"/>
        <v>-899.96509702793878</v>
      </c>
      <c r="AN217" s="123">
        <f t="shared" si="121"/>
        <v>-1587.7479360544337</v>
      </c>
      <c r="AO217" s="123">
        <f t="shared" si="121"/>
        <v>-2735.3001210701932</v>
      </c>
      <c r="AP217" s="123">
        <f t="shared" si="121"/>
        <v>-2806.2452039191276</v>
      </c>
      <c r="AQ217" s="123">
        <f t="shared" si="121"/>
        <v>-2855.9067619133816</v>
      </c>
      <c r="AR217" s="123">
        <f t="shared" si="121"/>
        <v>-2890.6698525093593</v>
      </c>
      <c r="AS217" s="123">
        <f t="shared" si="121"/>
        <v>-2915.0040159265436</v>
      </c>
      <c r="AT217" s="123">
        <f t="shared" si="121"/>
        <v>-2932.0379303185728</v>
      </c>
      <c r="AU217" s="123">
        <f t="shared" si="121"/>
        <v>-2943.9616703929933</v>
      </c>
      <c r="AV217" s="123">
        <f t="shared" si="121"/>
        <v>-2952.3082884450873</v>
      </c>
    </row>
    <row r="218" spans="1:48" s="123" customFormat="1" ht="15" customHeight="1">
      <c r="A218" s="134"/>
      <c r="B218" s="134"/>
      <c r="C218" s="151"/>
      <c r="E218" s="123" t="s">
        <v>118</v>
      </c>
      <c r="G218" s="123" t="s">
        <v>29</v>
      </c>
      <c r="K218" s="177"/>
      <c r="L218" s="123">
        <f t="shared" ref="L218:AV218" si="122" xml:space="preserve"> L216 + L217</f>
        <v>-750</v>
      </c>
      <c r="M218" s="123">
        <f t="shared" si="122"/>
        <v>-750</v>
      </c>
      <c r="N218" s="123">
        <f t="shared" si="122"/>
        <v>-766.92880665889061</v>
      </c>
      <c r="O218" s="123">
        <f t="shared" si="122"/>
        <v>-538.46440955144055</v>
      </c>
      <c r="P218" s="123">
        <f t="shared" si="122"/>
        <v>-135.00116675836477</v>
      </c>
      <c r="Q218" s="123">
        <f t="shared" si="122"/>
        <v>129.53396272025486</v>
      </c>
      <c r="R218" s="123">
        <f t="shared" si="122"/>
        <v>178.34072228436503</v>
      </c>
      <c r="S218" s="123">
        <f t="shared" si="122"/>
        <v>255.20951017449568</v>
      </c>
      <c r="T218" s="123">
        <f t="shared" si="122"/>
        <v>720.45377511773677</v>
      </c>
      <c r="U218" s="123">
        <f t="shared" si="122"/>
        <v>343.56046523414096</v>
      </c>
      <c r="V218" s="123">
        <f t="shared" si="122"/>
        <v>-124.53612000000001</v>
      </c>
      <c r="W218" s="123">
        <f t="shared" si="122"/>
        <v>-237.49346994712755</v>
      </c>
      <c r="X218" s="123">
        <f t="shared" si="122"/>
        <v>863.79220083704399</v>
      </c>
      <c r="Y218" s="123">
        <f t="shared" si="122"/>
        <v>69.45687995068306</v>
      </c>
      <c r="Z218" s="123">
        <f t="shared" si="122"/>
        <v>821.38314977571576</v>
      </c>
      <c r="AA218" s="123">
        <f t="shared" si="122"/>
        <v>1553.8215892468538</v>
      </c>
      <c r="AB218" s="123">
        <f t="shared" si="122"/>
        <v>1642.4236171961807</v>
      </c>
      <c r="AC218" s="123">
        <f t="shared" si="122"/>
        <v>1720.803286661939</v>
      </c>
      <c r="AD218" s="123">
        <f t="shared" si="122"/>
        <v>1873.5552856219908</v>
      </c>
      <c r="AE218" s="123">
        <f t="shared" si="122"/>
        <v>1762.6378944510247</v>
      </c>
      <c r="AF218" s="123">
        <f t="shared" si="122"/>
        <v>1598.1899993802112</v>
      </c>
      <c r="AG218" s="123">
        <f t="shared" si="122"/>
        <v>1539.7101973129261</v>
      </c>
      <c r="AH218" s="123">
        <f t="shared" si="122"/>
        <v>1320.58371765326</v>
      </c>
      <c r="AI218" s="123">
        <f t="shared" si="122"/>
        <v>289.49432471395812</v>
      </c>
      <c r="AJ218" s="123">
        <f t="shared" si="122"/>
        <v>-372.15552141398712</v>
      </c>
      <c r="AK218" s="123">
        <f t="shared" si="122"/>
        <v>-632.65293879052183</v>
      </c>
      <c r="AL218" s="123">
        <f t="shared" si="122"/>
        <v>-899.96509702793878</v>
      </c>
      <c r="AM218" s="123">
        <f t="shared" si="122"/>
        <v>-1587.7479360544337</v>
      </c>
      <c r="AN218" s="123">
        <f t="shared" si="122"/>
        <v>-2735.3001210701932</v>
      </c>
      <c r="AO218" s="123">
        <f t="shared" si="122"/>
        <v>-2806.2452039191276</v>
      </c>
      <c r="AP218" s="123">
        <f t="shared" si="122"/>
        <v>-2855.9067619133816</v>
      </c>
      <c r="AQ218" s="123">
        <f t="shared" si="122"/>
        <v>-2890.6698525093593</v>
      </c>
      <c r="AR218" s="123">
        <f t="shared" si="122"/>
        <v>-2915.0040159265436</v>
      </c>
      <c r="AS218" s="123">
        <f t="shared" si="122"/>
        <v>-2932.0379303185728</v>
      </c>
      <c r="AT218" s="123">
        <f t="shared" si="122"/>
        <v>-2943.9616703929933</v>
      </c>
      <c r="AU218" s="123">
        <f t="shared" si="122"/>
        <v>-2952.3082884450873</v>
      </c>
      <c r="AV218" s="123">
        <f t="shared" si="122"/>
        <v>-2958.1509210815534</v>
      </c>
    </row>
    <row r="219" spans="1:48" s="123" customFormat="1" ht="15" customHeight="1">
      <c r="A219" s="134"/>
      <c r="B219" s="134"/>
      <c r="C219" s="151"/>
    </row>
    <row r="220" spans="1:48" s="123" customFormat="1" ht="15" customHeight="1">
      <c r="A220" s="134"/>
      <c r="B220" s="134"/>
      <c r="C220" s="151"/>
      <c r="E220" s="123" t="s">
        <v>119</v>
      </c>
      <c r="F220" s="137">
        <v>0.3</v>
      </c>
      <c r="G220" s="123" t="s">
        <v>26</v>
      </c>
    </row>
    <row r="221" spans="1:48" s="123" customFormat="1" ht="15" customHeight="1">
      <c r="A221" s="134"/>
      <c r="B221" s="134"/>
      <c r="C221" s="151"/>
      <c r="E221" s="123" t="s">
        <v>120</v>
      </c>
      <c r="G221" s="123" t="s">
        <v>29</v>
      </c>
      <c r="J221" s="123">
        <f xml:space="preserve"> SUM(L221:AV221)</f>
        <v>5004.8851734998325</v>
      </c>
      <c r="L221" s="123">
        <f xml:space="preserve"> L218 * $F220 * (L218 &gt; 0)</f>
        <v>0</v>
      </c>
      <c r="M221" s="123">
        <f t="shared" ref="M221:AV221" si="123" xml:space="preserve"> M218 * $F220 * (M218 &gt; 0)</f>
        <v>0</v>
      </c>
      <c r="N221" s="123">
        <f t="shared" si="123"/>
        <v>0</v>
      </c>
      <c r="O221" s="123">
        <f t="shared" si="123"/>
        <v>0</v>
      </c>
      <c r="P221" s="123">
        <f t="shared" si="123"/>
        <v>0</v>
      </c>
      <c r="Q221" s="123">
        <f xml:space="preserve"> Q218 * $F220 * (Q218 &gt; 0)</f>
        <v>38.860188816076459</v>
      </c>
      <c r="R221" s="123">
        <f t="shared" si="123"/>
        <v>53.502216685309506</v>
      </c>
      <c r="S221" s="123">
        <f t="shared" si="123"/>
        <v>76.5628530523487</v>
      </c>
      <c r="T221" s="123">
        <f t="shared" si="123"/>
        <v>216.13613253532102</v>
      </c>
      <c r="U221" s="123">
        <f t="shared" si="123"/>
        <v>103.06813957024228</v>
      </c>
      <c r="V221" s="123">
        <f t="shared" si="123"/>
        <v>0</v>
      </c>
      <c r="W221" s="123">
        <f t="shared" si="123"/>
        <v>0</v>
      </c>
      <c r="X221" s="123">
        <f t="shared" si="123"/>
        <v>259.13766025111318</v>
      </c>
      <c r="Y221" s="123">
        <f t="shared" si="123"/>
        <v>20.837063985204917</v>
      </c>
      <c r="Z221" s="123">
        <f t="shared" si="123"/>
        <v>246.41494493271472</v>
      </c>
      <c r="AA221" s="123">
        <f t="shared" si="123"/>
        <v>466.14647677405611</v>
      </c>
      <c r="AB221" s="123">
        <f t="shared" si="123"/>
        <v>492.72708515885415</v>
      </c>
      <c r="AC221" s="123">
        <f t="shared" si="123"/>
        <v>516.24098599858166</v>
      </c>
      <c r="AD221" s="123">
        <f t="shared" si="123"/>
        <v>562.06658568659725</v>
      </c>
      <c r="AE221" s="123">
        <f t="shared" si="123"/>
        <v>528.79136833530742</v>
      </c>
      <c r="AF221" s="123">
        <f t="shared" si="123"/>
        <v>479.45699981406335</v>
      </c>
      <c r="AG221" s="123">
        <f t="shared" si="123"/>
        <v>461.91305919387781</v>
      </c>
      <c r="AH221" s="123">
        <f t="shared" si="123"/>
        <v>396.175115295978</v>
      </c>
      <c r="AI221" s="123">
        <f t="shared" si="123"/>
        <v>86.848297414187428</v>
      </c>
      <c r="AJ221" s="123">
        <f t="shared" si="123"/>
        <v>0</v>
      </c>
      <c r="AK221" s="123">
        <f t="shared" si="123"/>
        <v>0</v>
      </c>
      <c r="AL221" s="123">
        <f t="shared" si="123"/>
        <v>0</v>
      </c>
      <c r="AM221" s="123">
        <f t="shared" si="123"/>
        <v>0</v>
      </c>
      <c r="AN221" s="123">
        <f t="shared" si="123"/>
        <v>0</v>
      </c>
      <c r="AO221" s="123">
        <f t="shared" si="123"/>
        <v>0</v>
      </c>
      <c r="AP221" s="123">
        <f t="shared" si="123"/>
        <v>0</v>
      </c>
      <c r="AQ221" s="123">
        <f t="shared" si="123"/>
        <v>0</v>
      </c>
      <c r="AR221" s="123">
        <f t="shared" si="123"/>
        <v>0</v>
      </c>
      <c r="AS221" s="123">
        <f t="shared" si="123"/>
        <v>0</v>
      </c>
      <c r="AT221" s="123">
        <f t="shared" si="123"/>
        <v>0</v>
      </c>
      <c r="AU221" s="123">
        <f t="shared" si="123"/>
        <v>0</v>
      </c>
      <c r="AV221" s="123">
        <f t="shared" si="123"/>
        <v>0</v>
      </c>
    </row>
    <row r="222" spans="1:48" s="123" customFormat="1" ht="15" customHeight="1">
      <c r="A222" s="134"/>
      <c r="B222" s="134"/>
      <c r="C222" s="151"/>
      <c r="E222" s="123" t="str">
        <f xml:space="preserve"> E221</f>
        <v>CIT payable (calculated)</v>
      </c>
      <c r="F222" s="123">
        <f xml:space="preserve"> SUM(L221:AV221)</f>
        <v>5004.8851734998325</v>
      </c>
      <c r="G222" s="123" t="s">
        <v>29</v>
      </c>
    </row>
    <row r="223" spans="1:48" s="123" customFormat="1" ht="15" customHeight="1">
      <c r="A223" s="134"/>
      <c r="B223" s="134"/>
      <c r="C223" s="151"/>
    </row>
    <row r="224" spans="1:48" s="123" customFormat="1" ht="15" customHeight="1">
      <c r="A224" s="134"/>
      <c r="B224" s="134"/>
      <c r="C224" s="151" t="s">
        <v>121</v>
      </c>
    </row>
    <row r="225" spans="1:48" s="132" customFormat="1" ht="15" customHeight="1">
      <c r="A225" s="133"/>
      <c r="B225" s="133"/>
      <c r="C225" s="151"/>
      <c r="E225" s="170" t="str">
        <f xml:space="preserve"> InputsTS!E$419</f>
        <v>Taxation 2011TR</v>
      </c>
      <c r="F225" s="170">
        <f xml:space="preserve"> InputsTS!F$419</f>
        <v>0</v>
      </c>
      <c r="G225" s="170" t="str">
        <f xml:space="preserve"> InputsTS!G$419</f>
        <v>$ mn</v>
      </c>
      <c r="H225" s="170">
        <f xml:space="preserve"> InputsTS!H$419</f>
        <v>0</v>
      </c>
      <c r="I225" s="170" t="str">
        <f xml:space="preserve"> InputsTS!I$419</f>
        <v>XVII</v>
      </c>
      <c r="J225" s="170">
        <f xml:space="preserve"> InputsTS!J$419</f>
        <v>-6829</v>
      </c>
      <c r="K225" s="170">
        <f xml:space="preserve"> InputsTS!K$419</f>
        <v>0</v>
      </c>
      <c r="L225" s="170">
        <f xml:space="preserve"> InputsTS!L$419</f>
        <v>0</v>
      </c>
      <c r="M225" s="170">
        <f xml:space="preserve"> InputsTS!M$419</f>
        <v>0</v>
      </c>
      <c r="N225" s="170">
        <f xml:space="preserve"> InputsTS!N$419</f>
        <v>0</v>
      </c>
      <c r="O225" s="170">
        <f xml:space="preserve"> InputsTS!O$419</f>
        <v>0</v>
      </c>
      <c r="P225" s="170">
        <f xml:space="preserve"> InputsTS!P$419</f>
        <v>0</v>
      </c>
      <c r="Q225" s="170">
        <f xml:space="preserve"> InputsTS!Q$419</f>
        <v>-1</v>
      </c>
      <c r="R225" s="170">
        <f xml:space="preserve"> InputsTS!R$419</f>
        <v>-2</v>
      </c>
      <c r="S225" s="170">
        <f xml:space="preserve"> InputsTS!S$419</f>
        <v>-2</v>
      </c>
      <c r="T225" s="170">
        <f xml:space="preserve"> InputsTS!T$419</f>
        <v>-284</v>
      </c>
      <c r="U225" s="170">
        <f xml:space="preserve"> InputsTS!U$419</f>
        <v>-653</v>
      </c>
      <c r="V225" s="170">
        <f xml:space="preserve"> InputsTS!V$419</f>
        <v>-544</v>
      </c>
      <c r="W225" s="170">
        <f xml:space="preserve"> InputsTS!W$419</f>
        <v>-452</v>
      </c>
      <c r="X225" s="170">
        <f xml:space="preserve"> InputsTS!X$419</f>
        <v>-414</v>
      </c>
      <c r="Y225" s="170">
        <f xml:space="preserve"> InputsTS!Y$419</f>
        <v>-359</v>
      </c>
      <c r="Z225" s="170">
        <f xml:space="preserve"> InputsTS!Z$419</f>
        <v>-330</v>
      </c>
      <c r="AA225" s="170">
        <f xml:space="preserve"> InputsTS!AA$419</f>
        <v>-335</v>
      </c>
      <c r="AB225" s="170">
        <f xml:space="preserve"> InputsTS!AB$419</f>
        <v>-356</v>
      </c>
      <c r="AC225" s="170">
        <f xml:space="preserve"> InputsTS!AC$419</f>
        <v>-355</v>
      </c>
      <c r="AD225" s="170">
        <f xml:space="preserve"> InputsTS!AD$419</f>
        <v>-346</v>
      </c>
      <c r="AE225" s="170">
        <f xml:space="preserve"> InputsTS!AE$419</f>
        <v>-362</v>
      </c>
      <c r="AF225" s="170">
        <f xml:space="preserve"> InputsTS!AF$419</f>
        <v>-369</v>
      </c>
      <c r="AG225" s="170">
        <f xml:space="preserve"> InputsTS!AG$419</f>
        <v>-354</v>
      </c>
      <c r="AH225" s="170">
        <f xml:space="preserve"> InputsTS!AH$419</f>
        <v>-342</v>
      </c>
      <c r="AI225" s="170">
        <f xml:space="preserve"> InputsTS!AI$419</f>
        <v>-348</v>
      </c>
      <c r="AJ225" s="170">
        <f xml:space="preserve"> InputsTS!AJ$419</f>
        <v>-358</v>
      </c>
      <c r="AK225" s="170">
        <f xml:space="preserve"> InputsTS!AK$419</f>
        <v>-263</v>
      </c>
      <c r="AL225" s="170">
        <f xml:space="preserve"> InputsTS!AL$419</f>
        <v>0</v>
      </c>
      <c r="AM225" s="170">
        <f xml:space="preserve"> InputsTS!AM$419</f>
        <v>0</v>
      </c>
      <c r="AN225" s="170">
        <f xml:space="preserve"> InputsTS!AN$419</f>
        <v>0</v>
      </c>
      <c r="AO225" s="170">
        <f xml:space="preserve"> InputsTS!AO$419</f>
        <v>0</v>
      </c>
      <c r="AP225" s="170">
        <f xml:space="preserve"> InputsTS!AP$419</f>
        <v>0</v>
      </c>
      <c r="AQ225" s="170">
        <f xml:space="preserve"> InputsTS!AQ$419</f>
        <v>0</v>
      </c>
      <c r="AR225" s="170">
        <f xml:space="preserve"> InputsTS!AR$419</f>
        <v>0</v>
      </c>
      <c r="AS225" s="170">
        <f xml:space="preserve"> InputsTS!AS$419</f>
        <v>0</v>
      </c>
      <c r="AT225" s="170">
        <f xml:space="preserve"> InputsTS!AT$419</f>
        <v>0</v>
      </c>
      <c r="AU225" s="170">
        <f xml:space="preserve"> InputsTS!AU$419</f>
        <v>0</v>
      </c>
      <c r="AV225" s="170">
        <f xml:space="preserve"> InputsTS!AV$419</f>
        <v>0</v>
      </c>
    </row>
    <row r="226" spans="1:48" s="123" customFormat="1" ht="15" customHeight="1">
      <c r="A226" s="134"/>
      <c r="B226" s="134"/>
      <c r="C226" s="151"/>
      <c r="E226" s="123" t="str">
        <f xml:space="preserve"> E225 &amp; " POS"</f>
        <v>Taxation 2011TR POS</v>
      </c>
      <c r="G226" s="123" t="str">
        <f xml:space="preserve"> G225</f>
        <v>$ mn</v>
      </c>
      <c r="J226" s="123">
        <f xml:space="preserve"> SUM(L226:AV226)</f>
        <v>6829</v>
      </c>
      <c r="L226" s="123">
        <f t="shared" ref="L226:AV226" si="124" xml:space="preserve"> L225 * -1</f>
        <v>0</v>
      </c>
      <c r="M226" s="123">
        <f t="shared" si="124"/>
        <v>0</v>
      </c>
      <c r="N226" s="123">
        <f t="shared" si="124"/>
        <v>0</v>
      </c>
      <c r="O226" s="123">
        <f t="shared" si="124"/>
        <v>0</v>
      </c>
      <c r="P226" s="123">
        <f t="shared" si="124"/>
        <v>0</v>
      </c>
      <c r="Q226" s="123">
        <f t="shared" si="124"/>
        <v>1</v>
      </c>
      <c r="R226" s="123">
        <f t="shared" si="124"/>
        <v>2</v>
      </c>
      <c r="S226" s="123">
        <f t="shared" si="124"/>
        <v>2</v>
      </c>
      <c r="T226" s="123">
        <f t="shared" si="124"/>
        <v>284</v>
      </c>
      <c r="U226" s="123">
        <f t="shared" si="124"/>
        <v>653</v>
      </c>
      <c r="V226" s="123">
        <f t="shared" si="124"/>
        <v>544</v>
      </c>
      <c r="W226" s="123">
        <f t="shared" si="124"/>
        <v>452</v>
      </c>
      <c r="X226" s="123">
        <f t="shared" si="124"/>
        <v>414</v>
      </c>
      <c r="Y226" s="123">
        <f t="shared" si="124"/>
        <v>359</v>
      </c>
      <c r="Z226" s="123">
        <f t="shared" si="124"/>
        <v>330</v>
      </c>
      <c r="AA226" s="123">
        <f t="shared" si="124"/>
        <v>335</v>
      </c>
      <c r="AB226" s="123">
        <f t="shared" si="124"/>
        <v>356</v>
      </c>
      <c r="AC226" s="123">
        <f t="shared" si="124"/>
        <v>355</v>
      </c>
      <c r="AD226" s="123">
        <f t="shared" si="124"/>
        <v>346</v>
      </c>
      <c r="AE226" s="123">
        <f t="shared" si="124"/>
        <v>362</v>
      </c>
      <c r="AF226" s="123">
        <f t="shared" si="124"/>
        <v>369</v>
      </c>
      <c r="AG226" s="123">
        <f t="shared" si="124"/>
        <v>354</v>
      </c>
      <c r="AH226" s="123">
        <f t="shared" si="124"/>
        <v>342</v>
      </c>
      <c r="AI226" s="123">
        <f t="shared" si="124"/>
        <v>348</v>
      </c>
      <c r="AJ226" s="123">
        <f t="shared" si="124"/>
        <v>358</v>
      </c>
      <c r="AK226" s="123">
        <f t="shared" si="124"/>
        <v>263</v>
      </c>
      <c r="AL226" s="123">
        <f t="shared" si="124"/>
        <v>0</v>
      </c>
      <c r="AM226" s="123">
        <f t="shared" si="124"/>
        <v>0</v>
      </c>
      <c r="AN226" s="123">
        <f t="shared" si="124"/>
        <v>0</v>
      </c>
      <c r="AO226" s="123">
        <f t="shared" si="124"/>
        <v>0</v>
      </c>
      <c r="AP226" s="123">
        <f t="shared" si="124"/>
        <v>0</v>
      </c>
      <c r="AQ226" s="123">
        <f t="shared" si="124"/>
        <v>0</v>
      </c>
      <c r="AR226" s="123">
        <f t="shared" si="124"/>
        <v>0</v>
      </c>
      <c r="AS226" s="123">
        <f t="shared" si="124"/>
        <v>0</v>
      </c>
      <c r="AT226" s="123">
        <f t="shared" si="124"/>
        <v>0</v>
      </c>
      <c r="AU226" s="123">
        <f t="shared" si="124"/>
        <v>0</v>
      </c>
      <c r="AV226" s="123">
        <f t="shared" si="124"/>
        <v>0</v>
      </c>
    </row>
    <row r="227" spans="1:48" s="123" customFormat="1" ht="15" customHeight="1">
      <c r="A227" s="134"/>
      <c r="B227" s="134"/>
      <c r="C227" s="151"/>
    </row>
    <row r="228" spans="1:48" s="160" customFormat="1" ht="15" customHeight="1">
      <c r="A228" s="164" t="s">
        <v>122</v>
      </c>
      <c r="B228" s="162"/>
      <c r="C228" s="192"/>
      <c r="D228" s="163"/>
      <c r="E228" s="162"/>
      <c r="F228" s="162"/>
      <c r="G228" s="162"/>
      <c r="H228" s="162"/>
    </row>
    <row r="229" spans="1:48" s="123" customFormat="1" ht="15" customHeight="1">
      <c r="A229" s="134"/>
      <c r="B229" s="134"/>
      <c r="C229" s="151"/>
    </row>
    <row r="230" spans="1:48" s="93" customFormat="1" ht="15" customHeight="1">
      <c r="A230" s="92"/>
      <c r="B230" s="92"/>
      <c r="C230" s="149"/>
      <c r="E230" s="93" t="str">
        <f t="shared" ref="E230:AV230" si="125" xml:space="preserve"> E$49</f>
        <v>Copper plus Cobalt revenue</v>
      </c>
      <c r="F230" s="93">
        <f t="shared" si="125"/>
        <v>0</v>
      </c>
      <c r="G230" s="93" t="str">
        <f t="shared" si="125"/>
        <v>$ mn</v>
      </c>
      <c r="H230" s="93">
        <f t="shared" si="125"/>
        <v>0</v>
      </c>
      <c r="I230" s="93">
        <f t="shared" si="125"/>
        <v>0</v>
      </c>
      <c r="J230" s="93">
        <f t="shared" si="125"/>
        <v>45974.030823591449</v>
      </c>
      <c r="K230" s="93">
        <f t="shared" si="125"/>
        <v>0</v>
      </c>
      <c r="L230" s="93">
        <f t="shared" si="125"/>
        <v>0</v>
      </c>
      <c r="M230" s="93">
        <f t="shared" si="125"/>
        <v>0</v>
      </c>
      <c r="N230" s="93">
        <f t="shared" si="125"/>
        <v>0</v>
      </c>
      <c r="O230" s="93">
        <f t="shared" si="125"/>
        <v>273.71386050000001</v>
      </c>
      <c r="P230" s="93">
        <f t="shared" si="125"/>
        <v>481.30707799999993</v>
      </c>
      <c r="Q230" s="93">
        <f t="shared" si="125"/>
        <v>537.72667949999993</v>
      </c>
      <c r="R230" s="93">
        <f t="shared" si="125"/>
        <v>510.18154649999997</v>
      </c>
      <c r="S230" s="93">
        <f t="shared" si="125"/>
        <v>657.37101899999993</v>
      </c>
      <c r="T230" s="93">
        <f t="shared" si="125"/>
        <v>1083.1798799999999</v>
      </c>
      <c r="U230" s="93">
        <f t="shared" si="125"/>
        <v>620.90155500000003</v>
      </c>
      <c r="V230" s="93">
        <f t="shared" si="125"/>
        <v>0</v>
      </c>
      <c r="W230" s="93">
        <f t="shared" si="125"/>
        <v>12.958000000000002</v>
      </c>
      <c r="X230" s="93">
        <f t="shared" si="125"/>
        <v>1472.7453599999999</v>
      </c>
      <c r="Y230" s="93">
        <f t="shared" si="125"/>
        <v>1992.5295064019367</v>
      </c>
      <c r="Z230" s="93">
        <f t="shared" si="125"/>
        <v>2833.4906926708927</v>
      </c>
      <c r="AA230" s="93">
        <f t="shared" si="125"/>
        <v>3607.4965899794461</v>
      </c>
      <c r="AB230" s="93">
        <f t="shared" si="125"/>
        <v>3624.207780137509</v>
      </c>
      <c r="AC230" s="93">
        <f t="shared" si="125"/>
        <v>3696.7846213091261</v>
      </c>
      <c r="AD230" s="93">
        <f t="shared" si="125"/>
        <v>3866.245014780653</v>
      </c>
      <c r="AE230" s="93">
        <f t="shared" si="125"/>
        <v>3730.4387030324156</v>
      </c>
      <c r="AF230" s="93">
        <f t="shared" si="125"/>
        <v>3534.2504473371064</v>
      </c>
      <c r="AG230" s="93">
        <f t="shared" si="125"/>
        <v>3462.7560979444261</v>
      </c>
      <c r="AH230" s="93">
        <f t="shared" si="125"/>
        <v>3205.8393072513068</v>
      </c>
      <c r="AI230" s="93">
        <f t="shared" si="125"/>
        <v>1967.2683273226162</v>
      </c>
      <c r="AJ230" s="93">
        <f t="shared" si="125"/>
        <v>1170.9322228004435</v>
      </c>
      <c r="AK230" s="93">
        <f t="shared" si="125"/>
        <v>1300.9467988737988</v>
      </c>
      <c r="AL230" s="93">
        <f t="shared" si="125"/>
        <v>1293.5202584999997</v>
      </c>
      <c r="AM230" s="93">
        <f t="shared" si="125"/>
        <v>793.58351990089398</v>
      </c>
      <c r="AN230" s="93">
        <f t="shared" si="125"/>
        <v>243.65595684888783</v>
      </c>
      <c r="AO230" s="93">
        <f t="shared" si="125"/>
        <v>0</v>
      </c>
      <c r="AP230" s="93">
        <f t="shared" si="125"/>
        <v>0</v>
      </c>
      <c r="AQ230" s="93">
        <f t="shared" si="125"/>
        <v>0</v>
      </c>
      <c r="AR230" s="93">
        <f t="shared" si="125"/>
        <v>0</v>
      </c>
      <c r="AS230" s="93">
        <f t="shared" si="125"/>
        <v>0</v>
      </c>
      <c r="AT230" s="93">
        <f t="shared" si="125"/>
        <v>0</v>
      </c>
      <c r="AU230" s="93">
        <f t="shared" si="125"/>
        <v>0</v>
      </c>
      <c r="AV230" s="93">
        <f t="shared" si="125"/>
        <v>0</v>
      </c>
    </row>
    <row r="231" spans="1:48" s="93" customFormat="1" ht="15" customHeight="1">
      <c r="A231" s="92"/>
      <c r="B231" s="92"/>
      <c r="C231" s="149"/>
      <c r="E231" s="93" t="str">
        <f t="shared" ref="E231:AV231" si="126" xml:space="preserve"> E$57</f>
        <v>Freight, Insurance &amp; Sales 2019TR: Cu</v>
      </c>
      <c r="F231" s="93">
        <f t="shared" si="126"/>
        <v>0</v>
      </c>
      <c r="G231" s="93" t="str">
        <f t="shared" si="126"/>
        <v>$ mn</v>
      </c>
      <c r="H231" s="93">
        <f t="shared" si="126"/>
        <v>0</v>
      </c>
      <c r="I231" s="93">
        <f t="shared" si="126"/>
        <v>0</v>
      </c>
      <c r="J231" s="93">
        <f t="shared" si="126"/>
        <v>3285.328913091369</v>
      </c>
      <c r="K231" s="93">
        <f t="shared" si="126"/>
        <v>0</v>
      </c>
      <c r="L231" s="93">
        <f t="shared" si="126"/>
        <v>0</v>
      </c>
      <c r="M231" s="93">
        <f t="shared" si="126"/>
        <v>0</v>
      </c>
      <c r="N231" s="93">
        <f t="shared" si="126"/>
        <v>17.145175361520248</v>
      </c>
      <c r="O231" s="93">
        <f t="shared" si="126"/>
        <v>32.523126499520323</v>
      </c>
      <c r="P231" s="93">
        <f t="shared" si="126"/>
        <v>40.444631571615112</v>
      </c>
      <c r="Q231" s="93">
        <f t="shared" si="126"/>
        <v>44.653415577630255</v>
      </c>
      <c r="R231" s="93">
        <f t="shared" si="126"/>
        <v>47.622042233806681</v>
      </c>
      <c r="S231" s="93">
        <f t="shared" si="126"/>
        <v>67.805603102431775</v>
      </c>
      <c r="T231" s="93">
        <f t="shared" si="126"/>
        <v>121.70594191979697</v>
      </c>
      <c r="U231" s="93">
        <f t="shared" si="126"/>
        <v>82.780503101734269</v>
      </c>
      <c r="V231" s="93">
        <f t="shared" si="126"/>
        <v>0</v>
      </c>
      <c r="W231" s="93">
        <f t="shared" si="126"/>
        <v>1.7052163560282343</v>
      </c>
      <c r="X231" s="93">
        <f t="shared" si="126"/>
        <v>118.12498757213767</v>
      </c>
      <c r="Y231" s="93">
        <f t="shared" si="126"/>
        <v>190.16844200231918</v>
      </c>
      <c r="Z231" s="93">
        <f t="shared" si="126"/>
        <v>221.07406011944323</v>
      </c>
      <c r="AA231" s="93">
        <f t="shared" si="126"/>
        <v>232.38786127031764</v>
      </c>
      <c r="AB231" s="93">
        <f t="shared" si="126"/>
        <v>229.59796460680786</v>
      </c>
      <c r="AC231" s="93">
        <f t="shared" si="126"/>
        <v>230.15974236901016</v>
      </c>
      <c r="AD231" s="93">
        <f t="shared" si="126"/>
        <v>232.26497092935696</v>
      </c>
      <c r="AE231" s="93">
        <f t="shared" si="126"/>
        <v>232.26707611832481</v>
      </c>
      <c r="AF231" s="93">
        <f t="shared" si="126"/>
        <v>232.37458666923206</v>
      </c>
      <c r="AG231" s="93">
        <f t="shared" si="126"/>
        <v>232.01403649596708</v>
      </c>
      <c r="AH231" s="93">
        <f t="shared" si="126"/>
        <v>233.87332904268027</v>
      </c>
      <c r="AI231" s="93">
        <f t="shared" si="126"/>
        <v>139.72052504126921</v>
      </c>
      <c r="AJ231" s="93">
        <f t="shared" si="126"/>
        <v>75.432289415102247</v>
      </c>
      <c r="AK231" s="93">
        <f t="shared" si="126"/>
        <v>77.183331649589277</v>
      </c>
      <c r="AL231" s="93">
        <f t="shared" si="126"/>
        <v>79.990149064597148</v>
      </c>
      <c r="AM231" s="93">
        <f t="shared" si="126"/>
        <v>54.587290667336305</v>
      </c>
      <c r="AN231" s="93">
        <f t="shared" si="126"/>
        <v>17.722614333793771</v>
      </c>
      <c r="AO231" s="93">
        <f t="shared" si="126"/>
        <v>0</v>
      </c>
      <c r="AP231" s="93">
        <f t="shared" si="126"/>
        <v>0</v>
      </c>
      <c r="AQ231" s="93">
        <f t="shared" si="126"/>
        <v>0</v>
      </c>
      <c r="AR231" s="93">
        <f t="shared" si="126"/>
        <v>0</v>
      </c>
      <c r="AS231" s="93">
        <f t="shared" si="126"/>
        <v>0</v>
      </c>
      <c r="AT231" s="93">
        <f t="shared" si="126"/>
        <v>0</v>
      </c>
      <c r="AU231" s="93">
        <f t="shared" si="126"/>
        <v>0</v>
      </c>
      <c r="AV231" s="93">
        <f t="shared" si="126"/>
        <v>0</v>
      </c>
    </row>
    <row r="232" spans="1:48" s="93" customFormat="1" ht="15" customHeight="1">
      <c r="A232" s="92"/>
      <c r="B232" s="92"/>
      <c r="C232" s="149"/>
      <c r="E232" s="93" t="str">
        <f t="shared" ref="E232:AV232" si="127" xml:space="preserve"> E$60</f>
        <v>Freight, Insurance &amp; Sales 2019TR: Co</v>
      </c>
      <c r="F232" s="93">
        <f t="shared" si="127"/>
        <v>0</v>
      </c>
      <c r="G232" s="93" t="str">
        <f t="shared" si="127"/>
        <v>$ mn</v>
      </c>
      <c r="H232" s="93">
        <f t="shared" si="127"/>
        <v>0</v>
      </c>
      <c r="I232" s="93">
        <f t="shared" si="127"/>
        <v>0</v>
      </c>
      <c r="J232" s="93">
        <f t="shared" si="127"/>
        <v>368.43475658086072</v>
      </c>
      <c r="K232" s="93">
        <f t="shared" si="127"/>
        <v>0</v>
      </c>
      <c r="L232" s="93">
        <f t="shared" si="127"/>
        <v>0</v>
      </c>
      <c r="M232" s="93">
        <f t="shared" si="127"/>
        <v>0</v>
      </c>
      <c r="N232" s="93">
        <f t="shared" si="127"/>
        <v>0.58132375773689793</v>
      </c>
      <c r="O232" s="93">
        <f t="shared" si="127"/>
        <v>1.9609988094324691</v>
      </c>
      <c r="P232" s="93">
        <f t="shared" si="127"/>
        <v>2.6663383021532385</v>
      </c>
      <c r="Q232" s="93">
        <f t="shared" si="127"/>
        <v>1.8834889750675494</v>
      </c>
      <c r="R232" s="93">
        <f t="shared" si="127"/>
        <v>1.6509594719727902</v>
      </c>
      <c r="S232" s="93">
        <f t="shared" si="127"/>
        <v>1.7827261903931537</v>
      </c>
      <c r="T232" s="93">
        <f t="shared" si="127"/>
        <v>2.1547733953447681</v>
      </c>
      <c r="U232" s="93">
        <f t="shared" si="127"/>
        <v>2.2477851965826723</v>
      </c>
      <c r="V232" s="93">
        <f t="shared" si="127"/>
        <v>0</v>
      </c>
      <c r="W232" s="93">
        <f t="shared" si="127"/>
        <v>0</v>
      </c>
      <c r="X232" s="93">
        <f t="shared" si="127"/>
        <v>8.6113425979425813</v>
      </c>
      <c r="Y232" s="93">
        <f t="shared" si="127"/>
        <v>21.522694478825255</v>
      </c>
      <c r="Z232" s="93">
        <f t="shared" si="127"/>
        <v>25.132120165744787</v>
      </c>
      <c r="AA232" s="93">
        <f t="shared" si="127"/>
        <v>30.489722161888416</v>
      </c>
      <c r="AB232" s="93">
        <f t="shared" si="127"/>
        <v>31.16575317485534</v>
      </c>
      <c r="AC232" s="93">
        <f t="shared" si="127"/>
        <v>32.348123434074445</v>
      </c>
      <c r="AD232" s="93">
        <f t="shared" si="127"/>
        <v>34.999092514242463</v>
      </c>
      <c r="AE232" s="93">
        <f t="shared" si="127"/>
        <v>32.640941447754997</v>
      </c>
      <c r="AF232" s="93">
        <f t="shared" si="127"/>
        <v>29.219863765103788</v>
      </c>
      <c r="AG232" s="93">
        <f t="shared" si="127"/>
        <v>28.028454288984953</v>
      </c>
      <c r="AH232" s="93">
        <f t="shared" si="127"/>
        <v>23.310709243863474</v>
      </c>
      <c r="AI232" s="93">
        <f t="shared" si="127"/>
        <v>14.829737011119507</v>
      </c>
      <c r="AJ232" s="93">
        <f t="shared" si="127"/>
        <v>9.8960138653796772</v>
      </c>
      <c r="AK232" s="93">
        <f t="shared" si="127"/>
        <v>11.911117652852539</v>
      </c>
      <c r="AL232" s="93">
        <f t="shared" si="127"/>
        <v>11.393945651643202</v>
      </c>
      <c r="AM232" s="93">
        <f t="shared" si="127"/>
        <v>6.2277466915813751</v>
      </c>
      <c r="AN232" s="93">
        <f t="shared" si="127"/>
        <v>1.7789843363203646</v>
      </c>
      <c r="AO232" s="93">
        <f t="shared" si="127"/>
        <v>0</v>
      </c>
      <c r="AP232" s="93">
        <f t="shared" si="127"/>
        <v>0</v>
      </c>
      <c r="AQ232" s="93">
        <f t="shared" si="127"/>
        <v>0</v>
      </c>
      <c r="AR232" s="93">
        <f t="shared" si="127"/>
        <v>0</v>
      </c>
      <c r="AS232" s="93">
        <f t="shared" si="127"/>
        <v>0</v>
      </c>
      <c r="AT232" s="93">
        <f t="shared" si="127"/>
        <v>0</v>
      </c>
      <c r="AU232" s="93">
        <f t="shared" si="127"/>
        <v>0</v>
      </c>
      <c r="AV232" s="93">
        <f t="shared" si="127"/>
        <v>0</v>
      </c>
    </row>
    <row r="233" spans="1:48" s="222" customFormat="1" ht="15" customHeight="1">
      <c r="A233" s="220"/>
      <c r="B233" s="220"/>
      <c r="C233" s="221"/>
      <c r="E233" s="222" t="str">
        <f t="shared" ref="E233:AV233" si="128" xml:space="preserve"> E$65</f>
        <v>Copper &amp; Cobalt net revenue</v>
      </c>
      <c r="F233" s="222">
        <f t="shared" si="128"/>
        <v>0</v>
      </c>
      <c r="G233" s="222" t="str">
        <f t="shared" si="128"/>
        <v>$ mn</v>
      </c>
      <c r="H233" s="222">
        <f t="shared" si="128"/>
        <v>0</v>
      </c>
      <c r="I233" s="222">
        <f t="shared" si="128"/>
        <v>0</v>
      </c>
      <c r="J233" s="222">
        <f t="shared" si="128"/>
        <v>42320.267153919238</v>
      </c>
      <c r="K233" s="222">
        <f t="shared" si="128"/>
        <v>0</v>
      </c>
      <c r="L233" s="222">
        <f t="shared" si="128"/>
        <v>0</v>
      </c>
      <c r="M233" s="222">
        <f t="shared" si="128"/>
        <v>0</v>
      </c>
      <c r="N233" s="222">
        <f t="shared" si="128"/>
        <v>-17.726499119257145</v>
      </c>
      <c r="O233" s="222">
        <f t="shared" si="128"/>
        <v>239.22973519104721</v>
      </c>
      <c r="P233" s="222">
        <f t="shared" si="128"/>
        <v>438.19610812623159</v>
      </c>
      <c r="Q233" s="222">
        <f t="shared" si="128"/>
        <v>491.18977494730217</v>
      </c>
      <c r="R233" s="222">
        <f t="shared" si="128"/>
        <v>460.90854479422052</v>
      </c>
      <c r="S233" s="222">
        <f t="shared" si="128"/>
        <v>587.78268970717511</v>
      </c>
      <c r="T233" s="222">
        <f t="shared" si="128"/>
        <v>959.31916468485826</v>
      </c>
      <c r="U233" s="222">
        <f t="shared" si="128"/>
        <v>535.87326670168306</v>
      </c>
      <c r="V233" s="222">
        <f t="shared" si="128"/>
        <v>0</v>
      </c>
      <c r="W233" s="222">
        <f t="shared" si="128"/>
        <v>11.252783643971767</v>
      </c>
      <c r="X233" s="222">
        <f t="shared" si="128"/>
        <v>1346.0090298299197</v>
      </c>
      <c r="Y233" s="222">
        <f t="shared" si="128"/>
        <v>1780.8383699207925</v>
      </c>
      <c r="Z233" s="222">
        <f t="shared" si="128"/>
        <v>2587.2845123857051</v>
      </c>
      <c r="AA233" s="222">
        <f t="shared" si="128"/>
        <v>3344.6190065472397</v>
      </c>
      <c r="AB233" s="222">
        <f t="shared" si="128"/>
        <v>3363.4440623558457</v>
      </c>
      <c r="AC233" s="222">
        <f t="shared" si="128"/>
        <v>3434.2767555060418</v>
      </c>
      <c r="AD233" s="222">
        <f t="shared" si="128"/>
        <v>3598.9809513370537</v>
      </c>
      <c r="AE233" s="222">
        <f t="shared" si="128"/>
        <v>3465.5306854663359</v>
      </c>
      <c r="AF233" s="222">
        <f t="shared" si="128"/>
        <v>3272.6559969027703</v>
      </c>
      <c r="AG233" s="222">
        <f t="shared" si="128"/>
        <v>3202.7136071594741</v>
      </c>
      <c r="AH233" s="222">
        <f t="shared" si="128"/>
        <v>2948.6552689647629</v>
      </c>
      <c r="AI233" s="222">
        <f t="shared" si="128"/>
        <v>1812.7180652702277</v>
      </c>
      <c r="AJ233" s="222">
        <f t="shared" si="128"/>
        <v>1085.6039195199614</v>
      </c>
      <c r="AK233" s="222">
        <f t="shared" si="128"/>
        <v>1211.8523495713571</v>
      </c>
      <c r="AL233" s="222">
        <f t="shared" si="128"/>
        <v>1202.1361637837595</v>
      </c>
      <c r="AM233" s="222">
        <f t="shared" si="128"/>
        <v>732.76848254197625</v>
      </c>
      <c r="AN233" s="222">
        <f t="shared" si="128"/>
        <v>224.15435817877369</v>
      </c>
      <c r="AO233" s="222">
        <f t="shared" si="128"/>
        <v>0</v>
      </c>
      <c r="AP233" s="222">
        <f t="shared" si="128"/>
        <v>0</v>
      </c>
      <c r="AQ233" s="222">
        <f t="shared" si="128"/>
        <v>0</v>
      </c>
      <c r="AR233" s="222">
        <f t="shared" si="128"/>
        <v>0</v>
      </c>
      <c r="AS233" s="222">
        <f t="shared" si="128"/>
        <v>0</v>
      </c>
      <c r="AT233" s="222">
        <f t="shared" si="128"/>
        <v>0</v>
      </c>
      <c r="AU233" s="222">
        <f t="shared" si="128"/>
        <v>0</v>
      </c>
      <c r="AV233" s="222">
        <f t="shared" si="128"/>
        <v>0</v>
      </c>
    </row>
    <row r="235" spans="1:48" s="3" customFormat="1" ht="15" customHeight="1">
      <c r="A235" s="95"/>
      <c r="B235" s="95"/>
      <c r="C235" s="201"/>
      <c r="E235" s="3" t="str">
        <f t="shared" ref="E235:AV235" si="129" xml:space="preserve"> E$91</f>
        <v>Cu + Co government royalty</v>
      </c>
      <c r="F235" s="3">
        <f t="shared" si="129"/>
        <v>0</v>
      </c>
      <c r="G235" s="3" t="str">
        <f t="shared" si="129"/>
        <v>$ mn</v>
      </c>
      <c r="H235" s="3">
        <f t="shared" si="129"/>
        <v>0</v>
      </c>
      <c r="I235" s="3">
        <f t="shared" si="129"/>
        <v>0</v>
      </c>
      <c r="J235" s="3">
        <f t="shared" si="129"/>
        <v>2886.1136273051079</v>
      </c>
      <c r="K235" s="3">
        <f t="shared" si="129"/>
        <v>0</v>
      </c>
      <c r="L235" s="3">
        <f t="shared" si="129"/>
        <v>0</v>
      </c>
      <c r="M235" s="3">
        <f t="shared" si="129"/>
        <v>0</v>
      </c>
      <c r="N235" s="3">
        <f t="shared" si="129"/>
        <v>-0.35452998238514294</v>
      </c>
      <c r="O235" s="3">
        <f t="shared" si="129"/>
        <v>4.7845947038209449</v>
      </c>
      <c r="P235" s="3">
        <f t="shared" si="129"/>
        <v>23.777962630000001</v>
      </c>
      <c r="Q235" s="3">
        <f t="shared" si="129"/>
        <v>22.374901094999998</v>
      </c>
      <c r="R235" s="3">
        <f t="shared" si="129"/>
        <v>20.845108889999999</v>
      </c>
      <c r="S235" s="3">
        <f t="shared" si="129"/>
        <v>26.03861229</v>
      </c>
      <c r="T235" s="3">
        <f t="shared" si="129"/>
        <v>42.094410450000005</v>
      </c>
      <c r="U235" s="3">
        <f t="shared" si="129"/>
        <v>25.864369800000002</v>
      </c>
      <c r="V235" s="3">
        <f t="shared" si="129"/>
        <v>0</v>
      </c>
      <c r="W235" s="3">
        <f t="shared" si="129"/>
        <v>0.4535300000000001</v>
      </c>
      <c r="X235" s="3">
        <f t="shared" si="129"/>
        <v>84.740434499999992</v>
      </c>
      <c r="Y235" s="3">
        <f t="shared" si="129"/>
        <v>107.63964156208955</v>
      </c>
      <c r="Z235" s="3">
        <f t="shared" si="129"/>
        <v>168.86862738834679</v>
      </c>
      <c r="AA235" s="3">
        <f t="shared" si="129"/>
        <v>240.410506448305</v>
      </c>
      <c r="AB235" s="3">
        <f t="shared" si="129"/>
        <v>243.52633861888881</v>
      </c>
      <c r="AC235" s="3">
        <f t="shared" si="129"/>
        <v>250.49311313580245</v>
      </c>
      <c r="AD235" s="3">
        <f t="shared" si="129"/>
        <v>266.34898615718163</v>
      </c>
      <c r="AE235" s="3">
        <f t="shared" si="129"/>
        <v>252.76726483653454</v>
      </c>
      <c r="AF235" s="3">
        <f t="shared" si="129"/>
        <v>233.09276627050716</v>
      </c>
      <c r="AG235" s="3">
        <f t="shared" si="129"/>
        <v>226.13003773692296</v>
      </c>
      <c r="AH235" s="3">
        <f t="shared" si="129"/>
        <v>199.47554723593706</v>
      </c>
      <c r="AI235" s="3">
        <f t="shared" si="129"/>
        <v>124.37430327850126</v>
      </c>
      <c r="AJ235" s="3">
        <f t="shared" si="129"/>
        <v>78.031552993740718</v>
      </c>
      <c r="AK235" s="3">
        <f t="shared" si="129"/>
        <v>90.126255242061703</v>
      </c>
      <c r="AL235" s="3">
        <f t="shared" si="129"/>
        <v>87.930125849999996</v>
      </c>
      <c r="AM235" s="3">
        <f t="shared" si="129"/>
        <v>51.091005051313886</v>
      </c>
      <c r="AN235" s="3">
        <f t="shared" si="129"/>
        <v>15.188161122538663</v>
      </c>
      <c r="AO235" s="3">
        <f t="shared" si="129"/>
        <v>0</v>
      </c>
      <c r="AP235" s="3">
        <f t="shared" si="129"/>
        <v>0</v>
      </c>
      <c r="AQ235" s="3">
        <f t="shared" si="129"/>
        <v>0</v>
      </c>
      <c r="AR235" s="3">
        <f t="shared" si="129"/>
        <v>0</v>
      </c>
      <c r="AS235" s="3">
        <f t="shared" si="129"/>
        <v>0</v>
      </c>
      <c r="AT235" s="3">
        <f t="shared" si="129"/>
        <v>0</v>
      </c>
      <c r="AU235" s="3">
        <f t="shared" si="129"/>
        <v>0</v>
      </c>
      <c r="AV235" s="3">
        <f t="shared" si="129"/>
        <v>0</v>
      </c>
    </row>
    <row r="236" spans="1:48" s="3" customFormat="1" ht="15" customHeight="1">
      <c r="A236" s="95"/>
      <c r="B236" s="95"/>
      <c r="C236" s="201"/>
      <c r="E236" s="3" t="str">
        <f t="shared" ref="E236:AV236" si="130" xml:space="preserve"> E$99</f>
        <v>Cu + Co private royalty</v>
      </c>
      <c r="F236" s="3">
        <f t="shared" si="130"/>
        <v>0</v>
      </c>
      <c r="G236" s="3" t="str">
        <f t="shared" si="130"/>
        <v>$ mn</v>
      </c>
      <c r="H236" s="3">
        <f t="shared" si="130"/>
        <v>0</v>
      </c>
      <c r="I236" s="3">
        <f t="shared" si="130"/>
        <v>0</v>
      </c>
      <c r="J236" s="3">
        <f t="shared" si="130"/>
        <v>1058.006678847981</v>
      </c>
      <c r="K236" s="3">
        <f t="shared" si="130"/>
        <v>0</v>
      </c>
      <c r="L236" s="3">
        <f t="shared" si="130"/>
        <v>0</v>
      </c>
      <c r="M236" s="3">
        <f t="shared" si="130"/>
        <v>0</v>
      </c>
      <c r="N236" s="3">
        <f t="shared" si="130"/>
        <v>-0.44316247798142866</v>
      </c>
      <c r="O236" s="3">
        <f t="shared" si="130"/>
        <v>5.9807433797761806</v>
      </c>
      <c r="P236" s="3">
        <f t="shared" si="130"/>
        <v>10.95490270315579</v>
      </c>
      <c r="Q236" s="3">
        <f t="shared" si="130"/>
        <v>12.279744373682554</v>
      </c>
      <c r="R236" s="3">
        <f t="shared" si="130"/>
        <v>11.522713619855514</v>
      </c>
      <c r="S236" s="3">
        <f t="shared" si="130"/>
        <v>14.694567242679378</v>
      </c>
      <c r="T236" s="3">
        <f t="shared" si="130"/>
        <v>23.982979117121456</v>
      </c>
      <c r="U236" s="3">
        <f t="shared" si="130"/>
        <v>13.396831667542077</v>
      </c>
      <c r="V236" s="3">
        <f t="shared" si="130"/>
        <v>0</v>
      </c>
      <c r="W236" s="3">
        <f t="shared" si="130"/>
        <v>0.28131959109929422</v>
      </c>
      <c r="X236" s="3">
        <f t="shared" si="130"/>
        <v>33.650225745747989</v>
      </c>
      <c r="Y236" s="3">
        <f t="shared" si="130"/>
        <v>44.520959248019814</v>
      </c>
      <c r="Z236" s="3">
        <f t="shared" si="130"/>
        <v>64.682112809642632</v>
      </c>
      <c r="AA236" s="3">
        <f t="shared" si="130"/>
        <v>83.615475163680998</v>
      </c>
      <c r="AB236" s="3">
        <f t="shared" si="130"/>
        <v>84.086101558896146</v>
      </c>
      <c r="AC236" s="3">
        <f t="shared" si="130"/>
        <v>85.856918887651048</v>
      </c>
      <c r="AD236" s="3">
        <f t="shared" si="130"/>
        <v>89.974523783426349</v>
      </c>
      <c r="AE236" s="3">
        <f t="shared" si="130"/>
        <v>86.638267136658385</v>
      </c>
      <c r="AF236" s="3">
        <f t="shared" si="130"/>
        <v>81.816399922569261</v>
      </c>
      <c r="AG236" s="3">
        <f t="shared" si="130"/>
        <v>80.067840178986856</v>
      </c>
      <c r="AH236" s="3">
        <f t="shared" si="130"/>
        <v>73.716381724119074</v>
      </c>
      <c r="AI236" s="3">
        <f t="shared" si="130"/>
        <v>45.31795163175569</v>
      </c>
      <c r="AJ236" s="3">
        <f t="shared" si="130"/>
        <v>27.140097987999042</v>
      </c>
      <c r="AK236" s="3">
        <f t="shared" si="130"/>
        <v>30.29630873928393</v>
      </c>
      <c r="AL236" s="3">
        <f t="shared" si="130"/>
        <v>30.053404094593986</v>
      </c>
      <c r="AM236" s="3">
        <f t="shared" si="130"/>
        <v>18.319212063549408</v>
      </c>
      <c r="AN236" s="3">
        <f t="shared" si="130"/>
        <v>5.6038589544693433</v>
      </c>
      <c r="AO236" s="3">
        <f t="shared" si="130"/>
        <v>0</v>
      </c>
      <c r="AP236" s="3">
        <f t="shared" si="130"/>
        <v>0</v>
      </c>
      <c r="AQ236" s="3">
        <f t="shared" si="130"/>
        <v>0</v>
      </c>
      <c r="AR236" s="3">
        <f t="shared" si="130"/>
        <v>0</v>
      </c>
      <c r="AS236" s="3">
        <f t="shared" si="130"/>
        <v>0</v>
      </c>
      <c r="AT236" s="3">
        <f t="shared" si="130"/>
        <v>0</v>
      </c>
      <c r="AU236" s="3">
        <f t="shared" si="130"/>
        <v>0</v>
      </c>
      <c r="AV236" s="3">
        <f t="shared" si="130"/>
        <v>0</v>
      </c>
    </row>
    <row r="237" spans="1:48" s="3" customFormat="1" ht="15" customHeight="1">
      <c r="A237" s="95"/>
      <c r="B237" s="95"/>
      <c r="C237" s="201"/>
      <c r="E237" s="3" t="str">
        <f t="shared" ref="E237:AV237" si="131" xml:space="preserve"> E$129</f>
        <v>Total project operating costs</v>
      </c>
      <c r="F237" s="3">
        <f t="shared" si="131"/>
        <v>0</v>
      </c>
      <c r="G237" s="3" t="str">
        <f t="shared" si="131"/>
        <v>$ mn</v>
      </c>
      <c r="H237" s="3">
        <f t="shared" si="131"/>
        <v>0</v>
      </c>
      <c r="I237" s="3">
        <f t="shared" si="131"/>
        <v>0</v>
      </c>
      <c r="J237" s="3">
        <f t="shared" si="131"/>
        <v>18944.830000000002</v>
      </c>
      <c r="K237" s="3">
        <f t="shared" si="131"/>
        <v>0</v>
      </c>
      <c r="L237" s="3">
        <f t="shared" si="131"/>
        <v>0</v>
      </c>
      <c r="M237" s="3">
        <f t="shared" si="131"/>
        <v>0</v>
      </c>
      <c r="N237" s="3">
        <f t="shared" si="131"/>
        <v>0</v>
      </c>
      <c r="O237" s="3">
        <f t="shared" si="131"/>
        <v>0</v>
      </c>
      <c r="P237" s="3">
        <f t="shared" si="131"/>
        <v>0</v>
      </c>
      <c r="Q237" s="3">
        <f t="shared" si="131"/>
        <v>0</v>
      </c>
      <c r="R237" s="3">
        <f t="shared" si="131"/>
        <v>0</v>
      </c>
      <c r="S237" s="3">
        <f t="shared" si="131"/>
        <v>0</v>
      </c>
      <c r="T237" s="3">
        <f t="shared" si="131"/>
        <v>0</v>
      </c>
      <c r="U237" s="3">
        <f t="shared" si="131"/>
        <v>0</v>
      </c>
      <c r="V237" s="3">
        <f t="shared" si="131"/>
        <v>0</v>
      </c>
      <c r="W237" s="3">
        <f t="shared" si="131"/>
        <v>0</v>
      </c>
      <c r="X237" s="3">
        <f t="shared" si="131"/>
        <v>0</v>
      </c>
      <c r="Y237" s="3">
        <f t="shared" si="131"/>
        <v>1256</v>
      </c>
      <c r="Z237" s="3">
        <f t="shared" si="131"/>
        <v>1229.3399999999999</v>
      </c>
      <c r="AA237" s="3">
        <f t="shared" si="131"/>
        <v>1203.49</v>
      </c>
      <c r="AB237" s="3">
        <f t="shared" si="131"/>
        <v>1168.6200000000001</v>
      </c>
      <c r="AC237" s="3">
        <f t="shared" si="131"/>
        <v>1173.9483333333335</v>
      </c>
      <c r="AD237" s="3">
        <f t="shared" si="131"/>
        <v>1173.9483333333335</v>
      </c>
      <c r="AE237" s="3">
        <f t="shared" si="131"/>
        <v>1173.9483333333335</v>
      </c>
      <c r="AF237" s="3">
        <f t="shared" si="131"/>
        <v>1173.9483333333335</v>
      </c>
      <c r="AG237" s="3">
        <f t="shared" si="131"/>
        <v>1173.9483333333335</v>
      </c>
      <c r="AH237" s="3">
        <f t="shared" si="131"/>
        <v>1173.9483333333335</v>
      </c>
      <c r="AI237" s="3">
        <f t="shared" si="131"/>
        <v>1173.9483333333335</v>
      </c>
      <c r="AJ237" s="3">
        <f t="shared" si="131"/>
        <v>1173.9483333333335</v>
      </c>
      <c r="AK237" s="3">
        <f t="shared" si="131"/>
        <v>1173.9483333333335</v>
      </c>
      <c r="AL237" s="3">
        <f t="shared" si="131"/>
        <v>1173.9483333333335</v>
      </c>
      <c r="AM237" s="3">
        <f t="shared" si="131"/>
        <v>1173.9483333333335</v>
      </c>
      <c r="AN237" s="3">
        <f t="shared" si="131"/>
        <v>1173.9483333333335</v>
      </c>
      <c r="AO237" s="3">
        <f t="shared" si="131"/>
        <v>0</v>
      </c>
      <c r="AP237" s="3">
        <f t="shared" si="131"/>
        <v>0</v>
      </c>
      <c r="AQ237" s="3">
        <f t="shared" si="131"/>
        <v>0</v>
      </c>
      <c r="AR237" s="3">
        <f t="shared" si="131"/>
        <v>0</v>
      </c>
      <c r="AS237" s="3">
        <f t="shared" si="131"/>
        <v>0</v>
      </c>
      <c r="AT237" s="3">
        <f t="shared" si="131"/>
        <v>0</v>
      </c>
      <c r="AU237" s="3">
        <f t="shared" si="131"/>
        <v>0</v>
      </c>
      <c r="AV237" s="3">
        <f t="shared" si="131"/>
        <v>0</v>
      </c>
    </row>
    <row r="238" spans="1:48" s="3" customFormat="1" ht="15" customHeight="1">
      <c r="A238" s="95"/>
      <c r="B238" s="95"/>
      <c r="C238" s="201"/>
      <c r="E238" s="6" t="str">
        <f t="shared" ref="E238:AV238" si="132" xml:space="preserve"> E$169</f>
        <v xml:space="preserve">Capex aggregated historical + 2019TR capex </v>
      </c>
      <c r="F238" s="6">
        <f t="shared" si="132"/>
        <v>0</v>
      </c>
      <c r="G238" s="6" t="str">
        <f t="shared" si="132"/>
        <v>$ mn</v>
      </c>
      <c r="H238" s="6">
        <f t="shared" si="132"/>
        <v>0</v>
      </c>
      <c r="I238" s="6">
        <f t="shared" si="132"/>
        <v>0</v>
      </c>
      <c r="J238" s="6">
        <f t="shared" si="132"/>
        <v>4970.1499999999996</v>
      </c>
      <c r="K238" s="6">
        <f t="shared" si="132"/>
        <v>0</v>
      </c>
      <c r="L238" s="6">
        <f t="shared" si="132"/>
        <v>0</v>
      </c>
      <c r="M238" s="6">
        <f t="shared" si="132"/>
        <v>0</v>
      </c>
      <c r="N238" s="6">
        <f t="shared" si="132"/>
        <v>0</v>
      </c>
      <c r="O238" s="6">
        <f t="shared" si="132"/>
        <v>0</v>
      </c>
      <c r="P238" s="6">
        <f t="shared" si="132"/>
        <v>0</v>
      </c>
      <c r="Q238" s="6">
        <f t="shared" si="132"/>
        <v>320</v>
      </c>
      <c r="R238" s="6">
        <f t="shared" si="132"/>
        <v>353</v>
      </c>
      <c r="S238" s="6">
        <f t="shared" si="132"/>
        <v>371</v>
      </c>
      <c r="T238" s="6">
        <f t="shared" si="132"/>
        <v>133</v>
      </c>
      <c r="U238" s="6">
        <f t="shared" si="132"/>
        <v>120</v>
      </c>
      <c r="V238" s="6">
        <f t="shared" si="132"/>
        <v>89</v>
      </c>
      <c r="W238" s="6">
        <f t="shared" si="132"/>
        <v>105</v>
      </c>
      <c r="X238" s="6">
        <f t="shared" si="132"/>
        <v>119</v>
      </c>
      <c r="Y238" s="6">
        <f t="shared" si="132"/>
        <v>417.48</v>
      </c>
      <c r="Z238" s="6">
        <f t="shared" si="132"/>
        <v>360</v>
      </c>
      <c r="AA238" s="6">
        <f t="shared" si="132"/>
        <v>265.28999999999996</v>
      </c>
      <c r="AB238" s="6">
        <f t="shared" si="132"/>
        <v>200.13</v>
      </c>
      <c r="AC238" s="6">
        <f t="shared" si="132"/>
        <v>176.4375</v>
      </c>
      <c r="AD238" s="6">
        <f t="shared" si="132"/>
        <v>176.4375</v>
      </c>
      <c r="AE238" s="6">
        <f t="shared" si="132"/>
        <v>176.4375</v>
      </c>
      <c r="AF238" s="6">
        <f t="shared" si="132"/>
        <v>176.4375</v>
      </c>
      <c r="AG238" s="6">
        <f t="shared" si="132"/>
        <v>176.4375</v>
      </c>
      <c r="AH238" s="6">
        <f t="shared" si="132"/>
        <v>176.4375</v>
      </c>
      <c r="AI238" s="6">
        <f t="shared" si="132"/>
        <v>176.4375</v>
      </c>
      <c r="AJ238" s="6">
        <f t="shared" si="132"/>
        <v>176.4375</v>
      </c>
      <c r="AK238" s="6">
        <f t="shared" si="132"/>
        <v>176.4375</v>
      </c>
      <c r="AL238" s="6">
        <f t="shared" si="132"/>
        <v>176.4375</v>
      </c>
      <c r="AM238" s="6">
        <f t="shared" si="132"/>
        <v>176.4375</v>
      </c>
      <c r="AN238" s="6">
        <f t="shared" si="132"/>
        <v>176.4375</v>
      </c>
      <c r="AO238" s="6">
        <f t="shared" si="132"/>
        <v>0</v>
      </c>
      <c r="AP238" s="6">
        <f t="shared" si="132"/>
        <v>0</v>
      </c>
      <c r="AQ238" s="6">
        <f t="shared" si="132"/>
        <v>0</v>
      </c>
      <c r="AR238" s="6">
        <f t="shared" si="132"/>
        <v>0</v>
      </c>
      <c r="AS238" s="6">
        <f t="shared" si="132"/>
        <v>0</v>
      </c>
      <c r="AT238" s="6">
        <f t="shared" si="132"/>
        <v>0</v>
      </c>
      <c r="AU238" s="6">
        <f t="shared" si="132"/>
        <v>0</v>
      </c>
      <c r="AV238" s="6">
        <f t="shared" si="132"/>
        <v>0</v>
      </c>
    </row>
    <row r="239" spans="1:48" s="3" customFormat="1" ht="15" customHeight="1">
      <c r="A239" s="95"/>
      <c r="B239" s="95"/>
      <c r="C239" s="201"/>
      <c r="E239" s="6" t="str">
        <f t="shared" ref="E239:AV239" si="133" xml:space="preserve"> E$221</f>
        <v>CIT payable (calculated)</v>
      </c>
      <c r="F239" s="6">
        <f t="shared" si="133"/>
        <v>0</v>
      </c>
      <c r="G239" s="6" t="str">
        <f t="shared" si="133"/>
        <v>$ mn</v>
      </c>
      <c r="H239" s="6">
        <f t="shared" si="133"/>
        <v>0</v>
      </c>
      <c r="I239" s="6">
        <f t="shared" si="133"/>
        <v>0</v>
      </c>
      <c r="J239" s="6">
        <f t="shared" si="133"/>
        <v>5004.8851734998325</v>
      </c>
      <c r="K239" s="6">
        <f t="shared" si="133"/>
        <v>0</v>
      </c>
      <c r="L239" s="6">
        <f t="shared" si="133"/>
        <v>0</v>
      </c>
      <c r="M239" s="6">
        <f t="shared" si="133"/>
        <v>0</v>
      </c>
      <c r="N239" s="6">
        <f t="shared" si="133"/>
        <v>0</v>
      </c>
      <c r="O239" s="6">
        <f t="shared" si="133"/>
        <v>0</v>
      </c>
      <c r="P239" s="6">
        <f t="shared" si="133"/>
        <v>0</v>
      </c>
      <c r="Q239" s="6">
        <f t="shared" si="133"/>
        <v>38.860188816076459</v>
      </c>
      <c r="R239" s="6">
        <f t="shared" si="133"/>
        <v>53.502216685309506</v>
      </c>
      <c r="S239" s="6">
        <f t="shared" si="133"/>
        <v>76.5628530523487</v>
      </c>
      <c r="T239" s="6">
        <f t="shared" si="133"/>
        <v>216.13613253532102</v>
      </c>
      <c r="U239" s="6">
        <f t="shared" si="133"/>
        <v>103.06813957024228</v>
      </c>
      <c r="V239" s="6">
        <f t="shared" si="133"/>
        <v>0</v>
      </c>
      <c r="W239" s="6">
        <f t="shared" si="133"/>
        <v>0</v>
      </c>
      <c r="X239" s="6">
        <f t="shared" si="133"/>
        <v>259.13766025111318</v>
      </c>
      <c r="Y239" s="6">
        <f t="shared" si="133"/>
        <v>20.837063985204917</v>
      </c>
      <c r="Z239" s="6">
        <f t="shared" si="133"/>
        <v>246.41494493271472</v>
      </c>
      <c r="AA239" s="6">
        <f t="shared" si="133"/>
        <v>466.14647677405611</v>
      </c>
      <c r="AB239" s="6">
        <f t="shared" si="133"/>
        <v>492.72708515885415</v>
      </c>
      <c r="AC239" s="6">
        <f t="shared" si="133"/>
        <v>516.24098599858166</v>
      </c>
      <c r="AD239" s="6">
        <f t="shared" si="133"/>
        <v>562.06658568659725</v>
      </c>
      <c r="AE239" s="6">
        <f t="shared" si="133"/>
        <v>528.79136833530742</v>
      </c>
      <c r="AF239" s="6">
        <f t="shared" si="133"/>
        <v>479.45699981406335</v>
      </c>
      <c r="AG239" s="6">
        <f t="shared" si="133"/>
        <v>461.91305919387781</v>
      </c>
      <c r="AH239" s="6">
        <f t="shared" si="133"/>
        <v>396.175115295978</v>
      </c>
      <c r="AI239" s="6">
        <f t="shared" si="133"/>
        <v>86.848297414187428</v>
      </c>
      <c r="AJ239" s="6">
        <f t="shared" si="133"/>
        <v>0</v>
      </c>
      <c r="AK239" s="6">
        <f t="shared" si="133"/>
        <v>0</v>
      </c>
      <c r="AL239" s="6">
        <f t="shared" si="133"/>
        <v>0</v>
      </c>
      <c r="AM239" s="6">
        <f t="shared" si="133"/>
        <v>0</v>
      </c>
      <c r="AN239" s="6">
        <f t="shared" si="133"/>
        <v>0</v>
      </c>
      <c r="AO239" s="6">
        <f t="shared" si="133"/>
        <v>0</v>
      </c>
      <c r="AP239" s="6">
        <f t="shared" si="133"/>
        <v>0</v>
      </c>
      <c r="AQ239" s="6">
        <f t="shared" si="133"/>
        <v>0</v>
      </c>
      <c r="AR239" s="6">
        <f t="shared" si="133"/>
        <v>0</v>
      </c>
      <c r="AS239" s="6">
        <f t="shared" si="133"/>
        <v>0</v>
      </c>
      <c r="AT239" s="6">
        <f t="shared" si="133"/>
        <v>0</v>
      </c>
      <c r="AU239" s="6">
        <f t="shared" si="133"/>
        <v>0</v>
      </c>
      <c r="AV239" s="6">
        <f t="shared" si="133"/>
        <v>0</v>
      </c>
    </row>
    <row r="240" spans="1:48" s="222" customFormat="1" ht="15" customHeight="1">
      <c r="A240" s="220"/>
      <c r="B240" s="220"/>
      <c r="C240" s="221"/>
      <c r="E240" s="222" t="s">
        <v>123</v>
      </c>
      <c r="G240" s="222" t="s">
        <v>29</v>
      </c>
      <c r="I240" s="224"/>
      <c r="J240" s="222">
        <f xml:space="preserve"> SUM(L240:AV240)</f>
        <v>32863.985479652925</v>
      </c>
      <c r="L240" s="224">
        <f t="shared" ref="L240:AV240" si="134">SUM(L235:L239)</f>
        <v>0</v>
      </c>
      <c r="M240" s="224">
        <f t="shared" si="134"/>
        <v>0</v>
      </c>
      <c r="N240" s="224">
        <f t="shared" si="134"/>
        <v>-0.7976924603665716</v>
      </c>
      <c r="O240" s="224">
        <f t="shared" si="134"/>
        <v>10.765338083597126</v>
      </c>
      <c r="P240" s="224">
        <f t="shared" si="134"/>
        <v>34.732865333155793</v>
      </c>
      <c r="Q240" s="224">
        <f t="shared" si="134"/>
        <v>393.51483428475899</v>
      </c>
      <c r="R240" s="224">
        <f t="shared" si="134"/>
        <v>438.87003919516502</v>
      </c>
      <c r="S240" s="224">
        <f t="shared" si="134"/>
        <v>488.29603258502812</v>
      </c>
      <c r="T240" s="224">
        <f t="shared" si="134"/>
        <v>415.21352210244248</v>
      </c>
      <c r="U240" s="224">
        <f t="shared" si="134"/>
        <v>262.32934103778439</v>
      </c>
      <c r="V240" s="224">
        <f t="shared" si="134"/>
        <v>89</v>
      </c>
      <c r="W240" s="224">
        <f t="shared" si="134"/>
        <v>105.73484959109929</v>
      </c>
      <c r="X240" s="224">
        <f t="shared" si="134"/>
        <v>496.52832049686117</v>
      </c>
      <c r="Y240" s="224">
        <f t="shared" si="134"/>
        <v>1846.4776647953142</v>
      </c>
      <c r="Z240" s="224">
        <f t="shared" si="134"/>
        <v>2069.3056851307042</v>
      </c>
      <c r="AA240" s="224">
        <f t="shared" si="134"/>
        <v>2258.9524583860421</v>
      </c>
      <c r="AB240" s="224">
        <f t="shared" si="134"/>
        <v>2189.0895253366393</v>
      </c>
      <c r="AC240" s="224">
        <f t="shared" si="134"/>
        <v>2202.9768513553686</v>
      </c>
      <c r="AD240" s="224">
        <f t="shared" si="134"/>
        <v>2268.7759289605387</v>
      </c>
      <c r="AE240" s="224">
        <f t="shared" si="134"/>
        <v>2218.5827336418338</v>
      </c>
      <c r="AF240" s="224">
        <f t="shared" si="134"/>
        <v>2144.751999340473</v>
      </c>
      <c r="AG240" s="224">
        <f t="shared" si="134"/>
        <v>2118.496770443121</v>
      </c>
      <c r="AH240" s="224">
        <f t="shared" si="134"/>
        <v>2019.7528775893677</v>
      </c>
      <c r="AI240" s="224">
        <f t="shared" si="134"/>
        <v>1606.9263856577779</v>
      </c>
      <c r="AJ240" s="224">
        <f t="shared" si="134"/>
        <v>1455.5574843150732</v>
      </c>
      <c r="AK240" s="224">
        <f t="shared" si="134"/>
        <v>1470.808397314679</v>
      </c>
      <c r="AL240" s="224">
        <f t="shared" si="134"/>
        <v>1468.3693632779275</v>
      </c>
      <c r="AM240" s="224">
        <f t="shared" si="134"/>
        <v>1419.7960504481969</v>
      </c>
      <c r="AN240" s="224">
        <f t="shared" si="134"/>
        <v>1371.1778534103414</v>
      </c>
      <c r="AO240" s="224">
        <f t="shared" si="134"/>
        <v>0</v>
      </c>
      <c r="AP240" s="224">
        <f t="shared" si="134"/>
        <v>0</v>
      </c>
      <c r="AQ240" s="224">
        <f t="shared" si="134"/>
        <v>0</v>
      </c>
      <c r="AR240" s="224">
        <f t="shared" si="134"/>
        <v>0</v>
      </c>
      <c r="AS240" s="224">
        <f t="shared" si="134"/>
        <v>0</v>
      </c>
      <c r="AT240" s="224">
        <f t="shared" si="134"/>
        <v>0</v>
      </c>
      <c r="AU240" s="224">
        <f t="shared" si="134"/>
        <v>0</v>
      </c>
      <c r="AV240" s="224">
        <f t="shared" si="134"/>
        <v>0</v>
      </c>
    </row>
    <row r="241" spans="1:48" s="3" customFormat="1" ht="15" customHeight="1">
      <c r="A241" s="95"/>
      <c r="B241" s="95"/>
      <c r="C241" s="201"/>
      <c r="I241" s="97"/>
    </row>
    <row r="242" spans="1:48" s="123" customFormat="1" ht="15" customHeight="1">
      <c r="A242" s="134"/>
      <c r="B242" s="134"/>
      <c r="C242" s="151"/>
      <c r="E242" s="123" t="s">
        <v>124</v>
      </c>
      <c r="F242" s="135"/>
      <c r="G242" s="123" t="s">
        <v>29</v>
      </c>
      <c r="J242" s="123">
        <f xml:space="preserve"> SUM(L242:AV242)</f>
        <v>9456.2816742663035</v>
      </c>
      <c r="L242" s="123">
        <f xml:space="preserve"> L233 - L240</f>
        <v>0</v>
      </c>
      <c r="M242" s="123">
        <f t="shared" ref="M242:AV242" si="135" xml:space="preserve"> M233 - M240</f>
        <v>0</v>
      </c>
      <c r="N242" s="123">
        <f t="shared" si="135"/>
        <v>-16.928806658890572</v>
      </c>
      <c r="O242" s="123">
        <f t="shared" si="135"/>
        <v>228.46439710745008</v>
      </c>
      <c r="P242" s="123">
        <f t="shared" si="135"/>
        <v>403.46324279307578</v>
      </c>
      <c r="Q242" s="123">
        <f t="shared" si="135"/>
        <v>97.674940662543179</v>
      </c>
      <c r="R242" s="123">
        <f t="shared" si="135"/>
        <v>22.038505599055497</v>
      </c>
      <c r="S242" s="123">
        <f t="shared" si="135"/>
        <v>99.486657122146994</v>
      </c>
      <c r="T242" s="123">
        <f t="shared" si="135"/>
        <v>544.10564258241584</v>
      </c>
      <c r="U242" s="123">
        <f t="shared" si="135"/>
        <v>273.54392566389868</v>
      </c>
      <c r="V242" s="123">
        <f t="shared" si="135"/>
        <v>-89</v>
      </c>
      <c r="W242" s="123">
        <f t="shared" si="135"/>
        <v>-94.482065947127523</v>
      </c>
      <c r="X242" s="123">
        <f t="shared" si="135"/>
        <v>849.48070933305848</v>
      </c>
      <c r="Y242" s="123">
        <f t="shared" si="135"/>
        <v>-65.639294874521738</v>
      </c>
      <c r="Z242" s="123">
        <f t="shared" si="135"/>
        <v>517.97882725500085</v>
      </c>
      <c r="AA242" s="123">
        <f t="shared" si="135"/>
        <v>1085.6665481611976</v>
      </c>
      <c r="AB242" s="123">
        <f t="shared" si="135"/>
        <v>1174.3545370192064</v>
      </c>
      <c r="AC242" s="123">
        <f t="shared" si="135"/>
        <v>1231.2999041506732</v>
      </c>
      <c r="AD242" s="123">
        <f t="shared" si="135"/>
        <v>1330.205022376515</v>
      </c>
      <c r="AE242" s="123">
        <f t="shared" si="135"/>
        <v>1246.9479518245021</v>
      </c>
      <c r="AF242" s="123">
        <f t="shared" si="135"/>
        <v>1127.9039975622973</v>
      </c>
      <c r="AG242" s="123">
        <f t="shared" si="135"/>
        <v>1084.2168367163531</v>
      </c>
      <c r="AH242" s="123">
        <f t="shared" si="135"/>
        <v>928.90239137539515</v>
      </c>
      <c r="AI242" s="123">
        <f t="shared" si="135"/>
        <v>205.7916796124498</v>
      </c>
      <c r="AJ242" s="211">
        <f t="shared" si="135"/>
        <v>-369.95356479511179</v>
      </c>
      <c r="AK242" s="211">
        <f t="shared" si="135"/>
        <v>-258.95604774332196</v>
      </c>
      <c r="AL242" s="211">
        <f t="shared" si="135"/>
        <v>-266.23319949416805</v>
      </c>
      <c r="AM242" s="211">
        <f t="shared" si="135"/>
        <v>-687.02756790622061</v>
      </c>
      <c r="AN242" s="211">
        <f t="shared" si="135"/>
        <v>-1147.0234952315677</v>
      </c>
      <c r="AO242" s="123">
        <f t="shared" si="135"/>
        <v>0</v>
      </c>
      <c r="AP242" s="123">
        <f t="shared" si="135"/>
        <v>0</v>
      </c>
      <c r="AQ242" s="123">
        <f t="shared" si="135"/>
        <v>0</v>
      </c>
      <c r="AR242" s="123">
        <f t="shared" si="135"/>
        <v>0</v>
      </c>
      <c r="AS242" s="123">
        <f t="shared" si="135"/>
        <v>0</v>
      </c>
      <c r="AT242" s="123">
        <f t="shared" si="135"/>
        <v>0</v>
      </c>
      <c r="AU242" s="123">
        <f t="shared" si="135"/>
        <v>0</v>
      </c>
      <c r="AV242" s="123">
        <f t="shared" si="135"/>
        <v>0</v>
      </c>
    </row>
    <row r="243" spans="1:48" s="123" customFormat="1" ht="15" customHeight="1">
      <c r="A243" s="134"/>
      <c r="B243" s="134"/>
      <c r="C243" s="151"/>
      <c r="F243" s="135"/>
      <c r="AJ243"/>
      <c r="AK243"/>
      <c r="AL243"/>
      <c r="AM243"/>
      <c r="AN243"/>
    </row>
    <row r="244" spans="1:48" s="123" customFormat="1" ht="15" customHeight="1">
      <c r="A244" s="134"/>
      <c r="B244" s="134" t="s">
        <v>944</v>
      </c>
      <c r="C244" s="151"/>
      <c r="F244" s="135"/>
      <c r="AJ244"/>
      <c r="AK244"/>
      <c r="AL244"/>
      <c r="AM244"/>
      <c r="AN244"/>
    </row>
    <row r="245" spans="1:48" s="123" customFormat="1" ht="15" customHeight="1">
      <c r="A245" s="134"/>
      <c r="B245" s="134"/>
      <c r="C245" s="151"/>
      <c r="E245" s="123" t="str">
        <f t="shared" ref="E245:AV245" si="136" xml:space="preserve"> E$233</f>
        <v>Copper &amp; Cobalt net revenue</v>
      </c>
      <c r="F245" s="123">
        <f t="shared" si="136"/>
        <v>0</v>
      </c>
      <c r="G245" s="123" t="str">
        <f t="shared" si="136"/>
        <v>$ mn</v>
      </c>
      <c r="H245" s="123">
        <f t="shared" si="136"/>
        <v>0</v>
      </c>
      <c r="I245" s="123">
        <f t="shared" si="136"/>
        <v>0</v>
      </c>
      <c r="J245" s="123">
        <f t="shared" si="136"/>
        <v>42320.267153919238</v>
      </c>
      <c r="K245" s="123">
        <f t="shared" si="136"/>
        <v>0</v>
      </c>
      <c r="L245" s="123">
        <f t="shared" si="136"/>
        <v>0</v>
      </c>
      <c r="M245" s="123">
        <f t="shared" si="136"/>
        <v>0</v>
      </c>
      <c r="N245" s="123">
        <f t="shared" si="136"/>
        <v>-17.726499119257145</v>
      </c>
      <c r="O245" s="123">
        <f t="shared" si="136"/>
        <v>239.22973519104721</v>
      </c>
      <c r="P245" s="123">
        <f t="shared" si="136"/>
        <v>438.19610812623159</v>
      </c>
      <c r="Q245" s="123">
        <f t="shared" si="136"/>
        <v>491.18977494730217</v>
      </c>
      <c r="R245" s="123">
        <f t="shared" si="136"/>
        <v>460.90854479422052</v>
      </c>
      <c r="S245" s="123">
        <f t="shared" si="136"/>
        <v>587.78268970717511</v>
      </c>
      <c r="T245" s="123">
        <f t="shared" si="136"/>
        <v>959.31916468485826</v>
      </c>
      <c r="U245" s="123">
        <f t="shared" si="136"/>
        <v>535.87326670168306</v>
      </c>
      <c r="V245" s="123">
        <f t="shared" si="136"/>
        <v>0</v>
      </c>
      <c r="W245" s="123">
        <f t="shared" si="136"/>
        <v>11.252783643971767</v>
      </c>
      <c r="X245" s="123">
        <f t="shared" si="136"/>
        <v>1346.0090298299197</v>
      </c>
      <c r="Y245" s="123">
        <f t="shared" si="136"/>
        <v>1780.8383699207925</v>
      </c>
      <c r="Z245" s="123">
        <f t="shared" si="136"/>
        <v>2587.2845123857051</v>
      </c>
      <c r="AA245" s="123">
        <f t="shared" si="136"/>
        <v>3344.6190065472397</v>
      </c>
      <c r="AB245" s="123">
        <f t="shared" si="136"/>
        <v>3363.4440623558457</v>
      </c>
      <c r="AC245" s="123">
        <f t="shared" si="136"/>
        <v>3434.2767555060418</v>
      </c>
      <c r="AD245" s="123">
        <f t="shared" si="136"/>
        <v>3598.9809513370537</v>
      </c>
      <c r="AE245" s="123">
        <f t="shared" si="136"/>
        <v>3465.5306854663359</v>
      </c>
      <c r="AF245" s="123">
        <f t="shared" si="136"/>
        <v>3272.6559969027703</v>
      </c>
      <c r="AG245" s="123">
        <f t="shared" si="136"/>
        <v>3202.7136071594741</v>
      </c>
      <c r="AH245" s="123">
        <f t="shared" si="136"/>
        <v>2948.6552689647629</v>
      </c>
      <c r="AI245" s="123">
        <f t="shared" si="136"/>
        <v>1812.7180652702277</v>
      </c>
      <c r="AJ245" s="123">
        <f t="shared" si="136"/>
        <v>1085.6039195199614</v>
      </c>
      <c r="AK245" s="123">
        <f t="shared" si="136"/>
        <v>1211.8523495713571</v>
      </c>
      <c r="AL245" s="123">
        <f t="shared" si="136"/>
        <v>1202.1361637837595</v>
      </c>
      <c r="AM245" s="123">
        <f t="shared" si="136"/>
        <v>732.76848254197625</v>
      </c>
      <c r="AN245" s="123">
        <f t="shared" si="136"/>
        <v>224.15435817877369</v>
      </c>
      <c r="AO245" s="123">
        <f t="shared" si="136"/>
        <v>0</v>
      </c>
      <c r="AP245" s="123">
        <f t="shared" si="136"/>
        <v>0</v>
      </c>
      <c r="AQ245" s="123">
        <f t="shared" si="136"/>
        <v>0</v>
      </c>
      <c r="AR245" s="123">
        <f t="shared" si="136"/>
        <v>0</v>
      </c>
      <c r="AS245" s="123">
        <f t="shared" si="136"/>
        <v>0</v>
      </c>
      <c r="AT245" s="123">
        <f t="shared" si="136"/>
        <v>0</v>
      </c>
      <c r="AU245" s="123">
        <f t="shared" si="136"/>
        <v>0</v>
      </c>
      <c r="AV245" s="123">
        <f t="shared" si="136"/>
        <v>0</v>
      </c>
    </row>
    <row r="246" spans="1:48" s="123" customFormat="1" ht="15" customHeight="1">
      <c r="A246" s="134"/>
      <c r="B246" s="134"/>
      <c r="C246" s="151"/>
      <c r="D246" s="135" t="s">
        <v>665</v>
      </c>
      <c r="E246" s="123" t="str">
        <f t="shared" ref="E246:AV246" si="137" xml:space="preserve"> E235</f>
        <v>Cu + Co government royalty</v>
      </c>
      <c r="F246" s="123">
        <f t="shared" si="137"/>
        <v>0</v>
      </c>
      <c r="G246" s="123" t="str">
        <f t="shared" si="137"/>
        <v>$ mn</v>
      </c>
      <c r="H246" s="123">
        <f t="shared" si="137"/>
        <v>0</v>
      </c>
      <c r="I246" s="123">
        <f t="shared" si="137"/>
        <v>0</v>
      </c>
      <c r="J246" s="123">
        <f t="shared" si="137"/>
        <v>2886.1136273051079</v>
      </c>
      <c r="K246" s="123">
        <f t="shared" si="137"/>
        <v>0</v>
      </c>
      <c r="L246" s="123">
        <f t="shared" si="137"/>
        <v>0</v>
      </c>
      <c r="M246" s="123">
        <f t="shared" si="137"/>
        <v>0</v>
      </c>
      <c r="N246" s="123">
        <f t="shared" si="137"/>
        <v>-0.35452998238514294</v>
      </c>
      <c r="O246" s="123">
        <f t="shared" si="137"/>
        <v>4.7845947038209449</v>
      </c>
      <c r="P246" s="123">
        <f t="shared" si="137"/>
        <v>23.777962630000001</v>
      </c>
      <c r="Q246" s="123">
        <f t="shared" si="137"/>
        <v>22.374901094999998</v>
      </c>
      <c r="R246" s="123">
        <f t="shared" si="137"/>
        <v>20.845108889999999</v>
      </c>
      <c r="S246" s="123">
        <f t="shared" si="137"/>
        <v>26.03861229</v>
      </c>
      <c r="T246" s="123">
        <f t="shared" si="137"/>
        <v>42.094410450000005</v>
      </c>
      <c r="U246" s="123">
        <f t="shared" si="137"/>
        <v>25.864369800000002</v>
      </c>
      <c r="V246" s="123">
        <f t="shared" si="137"/>
        <v>0</v>
      </c>
      <c r="W246" s="123">
        <f t="shared" si="137"/>
        <v>0.4535300000000001</v>
      </c>
      <c r="X246" s="123">
        <f t="shared" si="137"/>
        <v>84.740434499999992</v>
      </c>
      <c r="Y246" s="123">
        <f t="shared" si="137"/>
        <v>107.63964156208955</v>
      </c>
      <c r="Z246" s="123">
        <f t="shared" si="137"/>
        <v>168.86862738834679</v>
      </c>
      <c r="AA246" s="123">
        <f t="shared" si="137"/>
        <v>240.410506448305</v>
      </c>
      <c r="AB246" s="123">
        <f t="shared" si="137"/>
        <v>243.52633861888881</v>
      </c>
      <c r="AC246" s="123">
        <f t="shared" si="137"/>
        <v>250.49311313580245</v>
      </c>
      <c r="AD246" s="123">
        <f t="shared" si="137"/>
        <v>266.34898615718163</v>
      </c>
      <c r="AE246" s="123">
        <f t="shared" si="137"/>
        <v>252.76726483653454</v>
      </c>
      <c r="AF246" s="123">
        <f t="shared" si="137"/>
        <v>233.09276627050716</v>
      </c>
      <c r="AG246" s="123">
        <f t="shared" si="137"/>
        <v>226.13003773692296</v>
      </c>
      <c r="AH246" s="123">
        <f t="shared" si="137"/>
        <v>199.47554723593706</v>
      </c>
      <c r="AI246" s="123">
        <f t="shared" si="137"/>
        <v>124.37430327850126</v>
      </c>
      <c r="AJ246" s="123">
        <f t="shared" si="137"/>
        <v>78.031552993740718</v>
      </c>
      <c r="AK246" s="123">
        <f t="shared" si="137"/>
        <v>90.126255242061703</v>
      </c>
      <c r="AL246" s="123">
        <f t="shared" si="137"/>
        <v>87.930125849999996</v>
      </c>
      <c r="AM246" s="123">
        <f t="shared" si="137"/>
        <v>51.091005051313886</v>
      </c>
      <c r="AN246" s="123">
        <f t="shared" si="137"/>
        <v>15.188161122538663</v>
      </c>
      <c r="AO246" s="123">
        <f t="shared" si="137"/>
        <v>0</v>
      </c>
      <c r="AP246" s="123">
        <f t="shared" si="137"/>
        <v>0</v>
      </c>
      <c r="AQ246" s="123">
        <f t="shared" si="137"/>
        <v>0</v>
      </c>
      <c r="AR246" s="123">
        <f t="shared" si="137"/>
        <v>0</v>
      </c>
      <c r="AS246" s="123">
        <f t="shared" si="137"/>
        <v>0</v>
      </c>
      <c r="AT246" s="123">
        <f t="shared" si="137"/>
        <v>0</v>
      </c>
      <c r="AU246" s="123">
        <f t="shared" si="137"/>
        <v>0</v>
      </c>
      <c r="AV246" s="123">
        <f t="shared" si="137"/>
        <v>0</v>
      </c>
    </row>
    <row r="247" spans="1:48" s="123" customFormat="1" ht="15" customHeight="1">
      <c r="A247" s="134"/>
      <c r="B247" s="134"/>
      <c r="C247" s="151"/>
      <c r="D247" s="135" t="s">
        <v>665</v>
      </c>
      <c r="E247" s="123" t="str">
        <f t="shared" ref="E247:AV247" si="138" xml:space="preserve"> E236</f>
        <v>Cu + Co private royalty</v>
      </c>
      <c r="F247" s="123">
        <f t="shared" si="138"/>
        <v>0</v>
      </c>
      <c r="G247" s="123" t="str">
        <f t="shared" si="138"/>
        <v>$ mn</v>
      </c>
      <c r="H247" s="123">
        <f t="shared" si="138"/>
        <v>0</v>
      </c>
      <c r="I247" s="123">
        <f t="shared" si="138"/>
        <v>0</v>
      </c>
      <c r="J247" s="123">
        <f t="shared" si="138"/>
        <v>1058.006678847981</v>
      </c>
      <c r="K247" s="123">
        <f t="shared" si="138"/>
        <v>0</v>
      </c>
      <c r="L247" s="123">
        <f t="shared" si="138"/>
        <v>0</v>
      </c>
      <c r="M247" s="123">
        <f t="shared" si="138"/>
        <v>0</v>
      </c>
      <c r="N247" s="123">
        <f t="shared" si="138"/>
        <v>-0.44316247798142866</v>
      </c>
      <c r="O247" s="123">
        <f t="shared" si="138"/>
        <v>5.9807433797761806</v>
      </c>
      <c r="P247" s="123">
        <f t="shared" si="138"/>
        <v>10.95490270315579</v>
      </c>
      <c r="Q247" s="123">
        <f t="shared" si="138"/>
        <v>12.279744373682554</v>
      </c>
      <c r="R247" s="123">
        <f t="shared" si="138"/>
        <v>11.522713619855514</v>
      </c>
      <c r="S247" s="123">
        <f t="shared" si="138"/>
        <v>14.694567242679378</v>
      </c>
      <c r="T247" s="123">
        <f t="shared" si="138"/>
        <v>23.982979117121456</v>
      </c>
      <c r="U247" s="123">
        <f t="shared" si="138"/>
        <v>13.396831667542077</v>
      </c>
      <c r="V247" s="123">
        <f t="shared" si="138"/>
        <v>0</v>
      </c>
      <c r="W247" s="123">
        <f t="shared" si="138"/>
        <v>0.28131959109929422</v>
      </c>
      <c r="X247" s="123">
        <f t="shared" si="138"/>
        <v>33.650225745747989</v>
      </c>
      <c r="Y247" s="123">
        <f t="shared" si="138"/>
        <v>44.520959248019814</v>
      </c>
      <c r="Z247" s="123">
        <f t="shared" si="138"/>
        <v>64.682112809642632</v>
      </c>
      <c r="AA247" s="123">
        <f t="shared" si="138"/>
        <v>83.615475163680998</v>
      </c>
      <c r="AB247" s="123">
        <f t="shared" si="138"/>
        <v>84.086101558896146</v>
      </c>
      <c r="AC247" s="123">
        <f t="shared" si="138"/>
        <v>85.856918887651048</v>
      </c>
      <c r="AD247" s="123">
        <f t="shared" si="138"/>
        <v>89.974523783426349</v>
      </c>
      <c r="AE247" s="123">
        <f t="shared" si="138"/>
        <v>86.638267136658385</v>
      </c>
      <c r="AF247" s="123">
        <f t="shared" si="138"/>
        <v>81.816399922569261</v>
      </c>
      <c r="AG247" s="123">
        <f t="shared" si="138"/>
        <v>80.067840178986856</v>
      </c>
      <c r="AH247" s="123">
        <f t="shared" si="138"/>
        <v>73.716381724119074</v>
      </c>
      <c r="AI247" s="123">
        <f t="shared" si="138"/>
        <v>45.31795163175569</v>
      </c>
      <c r="AJ247" s="123">
        <f t="shared" si="138"/>
        <v>27.140097987999042</v>
      </c>
      <c r="AK247" s="123">
        <f t="shared" si="138"/>
        <v>30.29630873928393</v>
      </c>
      <c r="AL247" s="123">
        <f t="shared" si="138"/>
        <v>30.053404094593986</v>
      </c>
      <c r="AM247" s="123">
        <f t="shared" si="138"/>
        <v>18.319212063549408</v>
      </c>
      <c r="AN247" s="123">
        <f t="shared" si="138"/>
        <v>5.6038589544693433</v>
      </c>
      <c r="AO247" s="123">
        <f t="shared" si="138"/>
        <v>0</v>
      </c>
      <c r="AP247" s="123">
        <f t="shared" si="138"/>
        <v>0</v>
      </c>
      <c r="AQ247" s="123">
        <f t="shared" si="138"/>
        <v>0</v>
      </c>
      <c r="AR247" s="123">
        <f t="shared" si="138"/>
        <v>0</v>
      </c>
      <c r="AS247" s="123">
        <f t="shared" si="138"/>
        <v>0</v>
      </c>
      <c r="AT247" s="123">
        <f t="shared" si="138"/>
        <v>0</v>
      </c>
      <c r="AU247" s="123">
        <f t="shared" si="138"/>
        <v>0</v>
      </c>
      <c r="AV247" s="123">
        <f t="shared" si="138"/>
        <v>0</v>
      </c>
    </row>
    <row r="248" spans="1:48" s="123" customFormat="1" ht="15" customHeight="1">
      <c r="A248" s="134"/>
      <c r="B248" s="134"/>
      <c r="C248" s="151"/>
      <c r="D248" s="135"/>
      <c r="E248" s="123" t="s">
        <v>943</v>
      </c>
      <c r="G248" s="123" t="s">
        <v>29</v>
      </c>
      <c r="J248" s="123">
        <f xml:space="preserve"> SUM(L248:AV248)</f>
        <v>38376.146847766147</v>
      </c>
      <c r="L248" s="123">
        <f t="shared" ref="L248:AV248" si="139" xml:space="preserve"> L245 - L246 - L247</f>
        <v>0</v>
      </c>
      <c r="M248" s="123">
        <f t="shared" si="139"/>
        <v>0</v>
      </c>
      <c r="N248" s="123">
        <f t="shared" si="139"/>
        <v>-16.928806658890576</v>
      </c>
      <c r="O248" s="123">
        <f t="shared" si="139"/>
        <v>228.46439710745008</v>
      </c>
      <c r="P248" s="123">
        <f t="shared" si="139"/>
        <v>403.46324279307584</v>
      </c>
      <c r="Q248" s="123">
        <f t="shared" si="139"/>
        <v>456.53512947861964</v>
      </c>
      <c r="R248" s="123">
        <f t="shared" si="139"/>
        <v>428.54072228436502</v>
      </c>
      <c r="S248" s="123">
        <f t="shared" si="139"/>
        <v>547.04951017449582</v>
      </c>
      <c r="T248" s="123">
        <f t="shared" si="139"/>
        <v>893.24177511773678</v>
      </c>
      <c r="U248" s="123">
        <f t="shared" si="139"/>
        <v>496.61206523414097</v>
      </c>
      <c r="V248" s="123">
        <f t="shared" si="139"/>
        <v>0</v>
      </c>
      <c r="W248" s="123">
        <f t="shared" si="139"/>
        <v>10.517934052872473</v>
      </c>
      <c r="X248" s="123">
        <f t="shared" si="139"/>
        <v>1227.6183695841717</v>
      </c>
      <c r="Y248" s="123">
        <f t="shared" si="139"/>
        <v>1628.6777691106831</v>
      </c>
      <c r="Z248" s="123">
        <f t="shared" si="139"/>
        <v>2353.7337721877157</v>
      </c>
      <c r="AA248" s="123">
        <f t="shared" si="139"/>
        <v>3020.5930249352537</v>
      </c>
      <c r="AB248" s="123">
        <f t="shared" si="139"/>
        <v>3035.8316221780606</v>
      </c>
      <c r="AC248" s="123">
        <f t="shared" si="139"/>
        <v>3097.9267234825884</v>
      </c>
      <c r="AD248" s="123">
        <f t="shared" si="139"/>
        <v>3242.6574413964458</v>
      </c>
      <c r="AE248" s="123">
        <f t="shared" si="139"/>
        <v>3126.125153493143</v>
      </c>
      <c r="AF248" s="123">
        <f t="shared" si="139"/>
        <v>2957.7468307096938</v>
      </c>
      <c r="AG248" s="123">
        <f t="shared" si="139"/>
        <v>2896.5157292435642</v>
      </c>
      <c r="AH248" s="123">
        <f t="shared" si="139"/>
        <v>2675.4633400047069</v>
      </c>
      <c r="AI248" s="123">
        <f t="shared" si="139"/>
        <v>1643.0258103599708</v>
      </c>
      <c r="AJ248" s="123">
        <f t="shared" si="139"/>
        <v>980.43226853822171</v>
      </c>
      <c r="AK248" s="123">
        <f t="shared" si="139"/>
        <v>1091.4297855900115</v>
      </c>
      <c r="AL248" s="123">
        <f t="shared" si="139"/>
        <v>1084.1526338391654</v>
      </c>
      <c r="AM248" s="123">
        <f t="shared" si="139"/>
        <v>663.35826542711288</v>
      </c>
      <c r="AN248" s="123">
        <f t="shared" si="139"/>
        <v>203.36233810176569</v>
      </c>
      <c r="AO248" s="123">
        <f t="shared" si="139"/>
        <v>0</v>
      </c>
      <c r="AP248" s="123">
        <f t="shared" si="139"/>
        <v>0</v>
      </c>
      <c r="AQ248" s="123">
        <f t="shared" si="139"/>
        <v>0</v>
      </c>
      <c r="AR248" s="123">
        <f t="shared" si="139"/>
        <v>0</v>
      </c>
      <c r="AS248" s="123">
        <f t="shared" si="139"/>
        <v>0</v>
      </c>
      <c r="AT248" s="123">
        <f t="shared" si="139"/>
        <v>0</v>
      </c>
      <c r="AU248" s="123">
        <f t="shared" si="139"/>
        <v>0</v>
      </c>
      <c r="AV248" s="123">
        <f t="shared" si="139"/>
        <v>0</v>
      </c>
    </row>
    <row r="249" spans="1:48" s="123" customFormat="1" ht="15" customHeight="1">
      <c r="A249" s="134"/>
      <c r="B249" s="134"/>
      <c r="C249" s="151"/>
    </row>
    <row r="250" spans="1:48" s="123" customFormat="1" ht="15" customHeight="1">
      <c r="A250" s="134"/>
      <c r="B250" s="134"/>
      <c r="C250" s="151"/>
      <c r="E250" s="123" t="str">
        <f t="shared" ref="E250:AV250" si="140" xml:space="preserve"> E$237</f>
        <v>Total project operating costs</v>
      </c>
      <c r="F250" s="123">
        <f t="shared" si="140"/>
        <v>0</v>
      </c>
      <c r="G250" s="123" t="str">
        <f t="shared" si="140"/>
        <v>$ mn</v>
      </c>
      <c r="H250" s="123">
        <f t="shared" si="140"/>
        <v>0</v>
      </c>
      <c r="I250" s="123">
        <f t="shared" si="140"/>
        <v>0</v>
      </c>
      <c r="J250" s="123">
        <f t="shared" si="140"/>
        <v>18944.830000000002</v>
      </c>
      <c r="K250" s="123">
        <f t="shared" si="140"/>
        <v>0</v>
      </c>
      <c r="L250" s="123">
        <f t="shared" si="140"/>
        <v>0</v>
      </c>
      <c r="M250" s="123">
        <f t="shared" si="140"/>
        <v>0</v>
      </c>
      <c r="N250" s="123">
        <f t="shared" si="140"/>
        <v>0</v>
      </c>
      <c r="O250" s="123">
        <f t="shared" si="140"/>
        <v>0</v>
      </c>
      <c r="P250" s="123">
        <f t="shared" si="140"/>
        <v>0</v>
      </c>
      <c r="Q250" s="123">
        <f t="shared" si="140"/>
        <v>0</v>
      </c>
      <c r="R250" s="123">
        <f t="shared" si="140"/>
        <v>0</v>
      </c>
      <c r="S250" s="123">
        <f t="shared" si="140"/>
        <v>0</v>
      </c>
      <c r="T250" s="123">
        <f t="shared" si="140"/>
        <v>0</v>
      </c>
      <c r="U250" s="123">
        <f t="shared" si="140"/>
        <v>0</v>
      </c>
      <c r="V250" s="123">
        <f t="shared" si="140"/>
        <v>0</v>
      </c>
      <c r="W250" s="123">
        <f t="shared" si="140"/>
        <v>0</v>
      </c>
      <c r="X250" s="123">
        <f t="shared" si="140"/>
        <v>0</v>
      </c>
      <c r="Y250" s="123">
        <f t="shared" si="140"/>
        <v>1256</v>
      </c>
      <c r="Z250" s="123">
        <f t="shared" si="140"/>
        <v>1229.3399999999999</v>
      </c>
      <c r="AA250" s="123">
        <f t="shared" si="140"/>
        <v>1203.49</v>
      </c>
      <c r="AB250" s="123">
        <f t="shared" si="140"/>
        <v>1168.6200000000001</v>
      </c>
      <c r="AC250" s="123">
        <f t="shared" si="140"/>
        <v>1173.9483333333335</v>
      </c>
      <c r="AD250" s="123">
        <f t="shared" si="140"/>
        <v>1173.9483333333335</v>
      </c>
      <c r="AE250" s="123">
        <f t="shared" si="140"/>
        <v>1173.9483333333335</v>
      </c>
      <c r="AF250" s="123">
        <f t="shared" si="140"/>
        <v>1173.9483333333335</v>
      </c>
      <c r="AG250" s="123">
        <f t="shared" si="140"/>
        <v>1173.9483333333335</v>
      </c>
      <c r="AH250" s="123">
        <f t="shared" si="140"/>
        <v>1173.9483333333335</v>
      </c>
      <c r="AI250" s="123">
        <f t="shared" si="140"/>
        <v>1173.9483333333335</v>
      </c>
      <c r="AJ250" s="123">
        <f t="shared" si="140"/>
        <v>1173.9483333333335</v>
      </c>
      <c r="AK250" s="123">
        <f t="shared" si="140"/>
        <v>1173.9483333333335</v>
      </c>
      <c r="AL250" s="123">
        <f t="shared" si="140"/>
        <v>1173.9483333333335</v>
      </c>
      <c r="AM250" s="123">
        <f t="shared" si="140"/>
        <v>1173.9483333333335</v>
      </c>
      <c r="AN250" s="123">
        <f t="shared" si="140"/>
        <v>1173.9483333333335</v>
      </c>
      <c r="AO250" s="123">
        <f t="shared" si="140"/>
        <v>0</v>
      </c>
      <c r="AP250" s="123">
        <f t="shared" si="140"/>
        <v>0</v>
      </c>
      <c r="AQ250" s="123">
        <f t="shared" si="140"/>
        <v>0</v>
      </c>
      <c r="AR250" s="123">
        <f t="shared" si="140"/>
        <v>0</v>
      </c>
      <c r="AS250" s="123">
        <f t="shared" si="140"/>
        <v>0</v>
      </c>
      <c r="AT250" s="123">
        <f t="shared" si="140"/>
        <v>0</v>
      </c>
      <c r="AU250" s="123">
        <f t="shared" si="140"/>
        <v>0</v>
      </c>
      <c r="AV250" s="123">
        <f t="shared" si="140"/>
        <v>0</v>
      </c>
    </row>
    <row r="251" spans="1:48" s="123" customFormat="1" ht="15" customHeight="1">
      <c r="A251" s="134"/>
      <c r="B251" s="134"/>
      <c r="C251" s="151"/>
      <c r="E251" s="123" t="s">
        <v>945</v>
      </c>
      <c r="F251" s="135"/>
      <c r="G251" s="123" t="s">
        <v>29</v>
      </c>
      <c r="J251" s="123">
        <f xml:space="preserve"> SUM(L251:AV251)</f>
        <v>19431.316847766135</v>
      </c>
      <c r="L251" s="123">
        <f t="shared" ref="L251:AV251" si="141" xml:space="preserve"> L248 - L250</f>
        <v>0</v>
      </c>
      <c r="M251" s="123">
        <f t="shared" si="141"/>
        <v>0</v>
      </c>
      <c r="N251" s="123">
        <f t="shared" si="141"/>
        <v>-16.928806658890576</v>
      </c>
      <c r="O251" s="123">
        <f t="shared" si="141"/>
        <v>228.46439710745008</v>
      </c>
      <c r="P251" s="123">
        <f t="shared" si="141"/>
        <v>403.46324279307584</v>
      </c>
      <c r="Q251" s="123">
        <f t="shared" si="141"/>
        <v>456.53512947861964</v>
      </c>
      <c r="R251" s="123">
        <f t="shared" si="141"/>
        <v>428.54072228436502</v>
      </c>
      <c r="S251" s="123">
        <f t="shared" si="141"/>
        <v>547.04951017449582</v>
      </c>
      <c r="T251" s="123">
        <f t="shared" si="141"/>
        <v>893.24177511773678</v>
      </c>
      <c r="U251" s="123">
        <f t="shared" si="141"/>
        <v>496.61206523414097</v>
      </c>
      <c r="V251" s="123">
        <f t="shared" si="141"/>
        <v>0</v>
      </c>
      <c r="W251" s="123">
        <f t="shared" si="141"/>
        <v>10.517934052872473</v>
      </c>
      <c r="X251" s="123">
        <f t="shared" si="141"/>
        <v>1227.6183695841717</v>
      </c>
      <c r="Y251" s="123">
        <f t="shared" si="141"/>
        <v>372.67776911068313</v>
      </c>
      <c r="Z251" s="123">
        <f t="shared" si="141"/>
        <v>1124.3937721877157</v>
      </c>
      <c r="AA251" s="123">
        <f t="shared" si="141"/>
        <v>1817.1030249352536</v>
      </c>
      <c r="AB251" s="123">
        <f t="shared" si="141"/>
        <v>1867.2116221780605</v>
      </c>
      <c r="AC251" s="123">
        <f t="shared" si="141"/>
        <v>1923.9783901492549</v>
      </c>
      <c r="AD251" s="123">
        <f t="shared" si="141"/>
        <v>2068.7091080631126</v>
      </c>
      <c r="AE251" s="123">
        <f t="shared" si="141"/>
        <v>1952.1768201598095</v>
      </c>
      <c r="AF251" s="123">
        <f t="shared" si="141"/>
        <v>1783.7984973763603</v>
      </c>
      <c r="AG251" s="123">
        <f t="shared" si="141"/>
        <v>1722.5673959102307</v>
      </c>
      <c r="AH251" s="123">
        <f t="shared" si="141"/>
        <v>1501.5150066713734</v>
      </c>
      <c r="AI251" s="123">
        <f t="shared" si="141"/>
        <v>469.07747702663733</v>
      </c>
      <c r="AJ251" s="123">
        <f t="shared" si="141"/>
        <v>-193.51606479511179</v>
      </c>
      <c r="AK251" s="123">
        <f t="shared" si="141"/>
        <v>-82.51854774332196</v>
      </c>
      <c r="AL251" s="123">
        <f t="shared" si="141"/>
        <v>-89.795699494168048</v>
      </c>
      <c r="AM251" s="123">
        <f t="shared" si="141"/>
        <v>-510.59006790622061</v>
      </c>
      <c r="AN251" s="123">
        <f t="shared" si="141"/>
        <v>-970.58599523156784</v>
      </c>
      <c r="AO251" s="123">
        <f t="shared" si="141"/>
        <v>0</v>
      </c>
      <c r="AP251" s="123">
        <f t="shared" si="141"/>
        <v>0</v>
      </c>
      <c r="AQ251" s="123">
        <f t="shared" si="141"/>
        <v>0</v>
      </c>
      <c r="AR251" s="123">
        <f t="shared" si="141"/>
        <v>0</v>
      </c>
      <c r="AS251" s="123">
        <f t="shared" si="141"/>
        <v>0</v>
      </c>
      <c r="AT251" s="123">
        <f t="shared" si="141"/>
        <v>0</v>
      </c>
      <c r="AU251" s="123">
        <f t="shared" si="141"/>
        <v>0</v>
      </c>
      <c r="AV251" s="123">
        <f t="shared" si="141"/>
        <v>0</v>
      </c>
    </row>
    <row r="252" spans="1:48" s="123" customFormat="1" ht="15" customHeight="1">
      <c r="A252" s="134"/>
      <c r="B252" s="134"/>
      <c r="C252" s="151"/>
    </row>
    <row r="253" spans="1:48" s="123" customFormat="1" ht="15" customHeight="1">
      <c r="A253" s="134"/>
      <c r="B253" s="134"/>
      <c r="C253" s="151" t="s">
        <v>946</v>
      </c>
    </row>
    <row r="254" spans="1:48" s="123" customFormat="1" ht="15" customHeight="1">
      <c r="A254" s="134"/>
      <c r="B254" s="134"/>
      <c r="C254" s="151"/>
      <c r="E254" s="123" t="str">
        <f t="shared" ref="E254:AV254" si="142" xml:space="preserve"> E$113</f>
        <v>Cu revenues after royalty</v>
      </c>
      <c r="F254" s="123">
        <f t="shared" si="142"/>
        <v>0</v>
      </c>
      <c r="G254" s="123" t="str">
        <f t="shared" si="142"/>
        <v>$ mn</v>
      </c>
      <c r="H254" s="123">
        <f t="shared" si="142"/>
        <v>0</v>
      </c>
      <c r="I254" s="123">
        <f t="shared" si="142"/>
        <v>0</v>
      </c>
      <c r="J254" s="123">
        <f t="shared" si="142"/>
        <v>21411.82577190076</v>
      </c>
      <c r="K254" s="123">
        <f t="shared" si="142"/>
        <v>0</v>
      </c>
      <c r="L254" s="123">
        <f t="shared" si="142"/>
        <v>0</v>
      </c>
      <c r="M254" s="123">
        <f t="shared" si="142"/>
        <v>0</v>
      </c>
      <c r="N254" s="123">
        <f t="shared" si="142"/>
        <v>-16.373642470251834</v>
      </c>
      <c r="O254" s="123">
        <f t="shared" si="142"/>
        <v>166.85703798295808</v>
      </c>
      <c r="P254" s="123">
        <f t="shared" si="142"/>
        <v>312.74464513767521</v>
      </c>
      <c r="Q254" s="123">
        <f t="shared" si="142"/>
        <v>410.52293279181043</v>
      </c>
      <c r="R254" s="123">
        <f t="shared" si="142"/>
        <v>389.91717058203847</v>
      </c>
      <c r="S254" s="123">
        <f t="shared" si="142"/>
        <v>507.99077133512907</v>
      </c>
      <c r="T254" s="123">
        <f t="shared" si="142"/>
        <v>839.03152042819784</v>
      </c>
      <c r="U254" s="123">
        <f t="shared" si="142"/>
        <v>443.16960267580913</v>
      </c>
      <c r="V254" s="123">
        <f t="shared" si="142"/>
        <v>0</v>
      </c>
      <c r="W254" s="123">
        <f t="shared" si="142"/>
        <v>10.517934052872473</v>
      </c>
      <c r="X254" s="123">
        <f t="shared" si="142"/>
        <v>789.16745111716568</v>
      </c>
      <c r="Y254" s="123">
        <f t="shared" si="142"/>
        <v>1139.4551618695523</v>
      </c>
      <c r="Z254" s="123">
        <f t="shared" si="142"/>
        <v>1440.0161047068962</v>
      </c>
      <c r="AA254" s="123">
        <f t="shared" si="142"/>
        <v>1513.7111182869978</v>
      </c>
      <c r="AB254" s="123">
        <f t="shared" si="142"/>
        <v>1495.5384926802144</v>
      </c>
      <c r="AC254" s="123">
        <f t="shared" si="142"/>
        <v>1499.1977597348857</v>
      </c>
      <c r="AD254" s="123">
        <f t="shared" si="142"/>
        <v>1512.9106441381957</v>
      </c>
      <c r="AE254" s="123">
        <f t="shared" si="142"/>
        <v>1512.924356764704</v>
      </c>
      <c r="AF254" s="123">
        <f t="shared" si="142"/>
        <v>1513.6246511576724</v>
      </c>
      <c r="AG254" s="123">
        <f t="shared" si="142"/>
        <v>1511.2761257097934</v>
      </c>
      <c r="AH254" s="123">
        <f t="shared" si="142"/>
        <v>1523.3870500271103</v>
      </c>
      <c r="AI254" s="123">
        <f t="shared" si="142"/>
        <v>910.10137556991265</v>
      </c>
      <c r="AJ254" s="123">
        <f t="shared" si="142"/>
        <v>491.34535057605092</v>
      </c>
      <c r="AK254" s="123">
        <f t="shared" si="142"/>
        <v>502.75116189702129</v>
      </c>
      <c r="AL254" s="123">
        <f t="shared" si="142"/>
        <v>521.03400466201754</v>
      </c>
      <c r="AM254" s="123">
        <f t="shared" si="142"/>
        <v>355.56671656010059</v>
      </c>
      <c r="AN254" s="123">
        <f t="shared" si="142"/>
        <v>115.44027392622976</v>
      </c>
      <c r="AO254" s="123">
        <f t="shared" si="142"/>
        <v>0</v>
      </c>
      <c r="AP254" s="123">
        <f t="shared" si="142"/>
        <v>0</v>
      </c>
      <c r="AQ254" s="123">
        <f t="shared" si="142"/>
        <v>0</v>
      </c>
      <c r="AR254" s="123">
        <f t="shared" si="142"/>
        <v>0</v>
      </c>
      <c r="AS254" s="123">
        <f t="shared" si="142"/>
        <v>0</v>
      </c>
      <c r="AT254" s="123">
        <f t="shared" si="142"/>
        <v>0</v>
      </c>
      <c r="AU254" s="123">
        <f t="shared" si="142"/>
        <v>0</v>
      </c>
      <c r="AV254" s="123">
        <f t="shared" si="142"/>
        <v>0</v>
      </c>
    </row>
    <row r="255" spans="1:48" s="123" customFormat="1" ht="15" customHeight="1">
      <c r="A255" s="134"/>
      <c r="B255" s="134"/>
      <c r="C255" s="151"/>
      <c r="E255" s="123" t="str">
        <f t="shared" ref="E255:AV255" si="143" xml:space="preserve"> E$114</f>
        <v>Co revenues after royalty</v>
      </c>
      <c r="F255" s="123">
        <f t="shared" si="143"/>
        <v>0</v>
      </c>
      <c r="G255" s="123" t="str">
        <f t="shared" si="143"/>
        <v>$ mn</v>
      </c>
      <c r="H255" s="123">
        <f t="shared" si="143"/>
        <v>0</v>
      </c>
      <c r="I255" s="123">
        <f t="shared" si="143"/>
        <v>0</v>
      </c>
      <c r="J255" s="123">
        <f t="shared" si="143"/>
        <v>16964.32107586538</v>
      </c>
      <c r="K255" s="123">
        <f t="shared" si="143"/>
        <v>0</v>
      </c>
      <c r="L255" s="123">
        <f t="shared" si="143"/>
        <v>0</v>
      </c>
      <c r="M255" s="123">
        <f t="shared" si="143"/>
        <v>0</v>
      </c>
      <c r="N255" s="123">
        <f t="shared" si="143"/>
        <v>-0.55516418863873751</v>
      </c>
      <c r="O255" s="123">
        <f t="shared" si="143"/>
        <v>61.607359124491992</v>
      </c>
      <c r="P255" s="123">
        <f t="shared" si="143"/>
        <v>90.718597655400586</v>
      </c>
      <c r="Q255" s="123">
        <f t="shared" si="143"/>
        <v>46.012196686809141</v>
      </c>
      <c r="R255" s="123">
        <f t="shared" si="143"/>
        <v>38.62355170232653</v>
      </c>
      <c r="S255" s="123">
        <f t="shared" si="143"/>
        <v>39.058738839366661</v>
      </c>
      <c r="T255" s="123">
        <f t="shared" si="143"/>
        <v>54.21025468953885</v>
      </c>
      <c r="U255" s="123">
        <f t="shared" si="143"/>
        <v>53.442462558331897</v>
      </c>
      <c r="V255" s="123">
        <f t="shared" si="143"/>
        <v>0</v>
      </c>
      <c r="W255" s="123">
        <f t="shared" si="143"/>
        <v>0</v>
      </c>
      <c r="X255" s="123">
        <f t="shared" si="143"/>
        <v>438.45091846700598</v>
      </c>
      <c r="Y255" s="123">
        <f t="shared" si="143"/>
        <v>489.22260724113067</v>
      </c>
      <c r="Z255" s="123">
        <f t="shared" si="143"/>
        <v>913.7176674808195</v>
      </c>
      <c r="AA255" s="123">
        <f t="shared" si="143"/>
        <v>1506.8819066482561</v>
      </c>
      <c r="AB255" s="123">
        <f t="shared" si="143"/>
        <v>1540.2931294978464</v>
      </c>
      <c r="AC255" s="123">
        <f t="shared" si="143"/>
        <v>1598.7289637477022</v>
      </c>
      <c r="AD255" s="123">
        <f t="shared" si="143"/>
        <v>1729.7467972582504</v>
      </c>
      <c r="AE255" s="123">
        <f t="shared" si="143"/>
        <v>1613.2007967284385</v>
      </c>
      <c r="AF255" s="123">
        <f t="shared" si="143"/>
        <v>1444.1221795520214</v>
      </c>
      <c r="AG255" s="123">
        <f t="shared" si="143"/>
        <v>1385.2396035337708</v>
      </c>
      <c r="AH255" s="123">
        <f t="shared" si="143"/>
        <v>1152.0762899775966</v>
      </c>
      <c r="AI255" s="123">
        <f t="shared" si="143"/>
        <v>732.92443479005794</v>
      </c>
      <c r="AJ255" s="123">
        <f t="shared" si="143"/>
        <v>489.08691796217084</v>
      </c>
      <c r="AK255" s="123">
        <f t="shared" si="143"/>
        <v>588.67862369299019</v>
      </c>
      <c r="AL255" s="123">
        <f t="shared" si="143"/>
        <v>563.1186291771478</v>
      </c>
      <c r="AM255" s="123">
        <f t="shared" si="143"/>
        <v>307.79154886701235</v>
      </c>
      <c r="AN255" s="123">
        <f t="shared" si="143"/>
        <v>87.922064175535922</v>
      </c>
      <c r="AO255" s="123">
        <f t="shared" si="143"/>
        <v>0</v>
      </c>
      <c r="AP255" s="123">
        <f t="shared" si="143"/>
        <v>0</v>
      </c>
      <c r="AQ255" s="123">
        <f t="shared" si="143"/>
        <v>0</v>
      </c>
      <c r="AR255" s="123">
        <f t="shared" si="143"/>
        <v>0</v>
      </c>
      <c r="AS255" s="123">
        <f t="shared" si="143"/>
        <v>0</v>
      </c>
      <c r="AT255" s="123">
        <f t="shared" si="143"/>
        <v>0</v>
      </c>
      <c r="AU255" s="123">
        <f t="shared" si="143"/>
        <v>0</v>
      </c>
      <c r="AV255" s="123">
        <f t="shared" si="143"/>
        <v>0</v>
      </c>
    </row>
    <row r="256" spans="1:48" s="123" customFormat="1" ht="15" customHeight="1">
      <c r="A256" s="134"/>
      <c r="B256" s="134"/>
      <c r="C256" s="151"/>
      <c r="E256" s="123" t="str">
        <f xml:space="preserve"> E$115</f>
        <v>Net revenues after royalty</v>
      </c>
      <c r="F256" s="123">
        <f t="shared" ref="F256:AV256" si="144" xml:space="preserve"> F$115</f>
        <v>0</v>
      </c>
      <c r="G256" s="123" t="str">
        <f t="shared" si="144"/>
        <v>$ mn</v>
      </c>
      <c r="H256" s="123">
        <f t="shared" si="144"/>
        <v>0</v>
      </c>
      <c r="I256" s="123">
        <f t="shared" si="144"/>
        <v>0</v>
      </c>
      <c r="J256" s="123">
        <f t="shared" si="144"/>
        <v>38376.146847766147</v>
      </c>
      <c r="K256" s="123">
        <f t="shared" si="144"/>
        <v>0</v>
      </c>
      <c r="L256" s="123">
        <f t="shared" si="144"/>
        <v>0</v>
      </c>
      <c r="M256" s="123">
        <f t="shared" si="144"/>
        <v>0</v>
      </c>
      <c r="N256" s="123">
        <f t="shared" si="144"/>
        <v>-16.928806658890572</v>
      </c>
      <c r="O256" s="123">
        <f t="shared" si="144"/>
        <v>228.46439710745005</v>
      </c>
      <c r="P256" s="123">
        <f t="shared" si="144"/>
        <v>403.46324279307578</v>
      </c>
      <c r="Q256" s="123">
        <f t="shared" si="144"/>
        <v>456.53512947861958</v>
      </c>
      <c r="R256" s="123">
        <f t="shared" si="144"/>
        <v>428.54072228436502</v>
      </c>
      <c r="S256" s="123">
        <f t="shared" si="144"/>
        <v>547.04951017449571</v>
      </c>
      <c r="T256" s="123">
        <f t="shared" si="144"/>
        <v>893.24177511773667</v>
      </c>
      <c r="U256" s="123">
        <f t="shared" si="144"/>
        <v>496.61206523414103</v>
      </c>
      <c r="V256" s="123">
        <f t="shared" si="144"/>
        <v>0</v>
      </c>
      <c r="W256" s="123">
        <f t="shared" si="144"/>
        <v>10.517934052872473</v>
      </c>
      <c r="X256" s="123">
        <f t="shared" si="144"/>
        <v>1227.6183695841717</v>
      </c>
      <c r="Y256" s="123">
        <f t="shared" si="144"/>
        <v>1628.6777691106829</v>
      </c>
      <c r="Z256" s="123">
        <f t="shared" si="144"/>
        <v>2353.7337721877157</v>
      </c>
      <c r="AA256" s="123">
        <f t="shared" si="144"/>
        <v>3020.5930249352541</v>
      </c>
      <c r="AB256" s="123">
        <f t="shared" si="144"/>
        <v>3035.8316221780606</v>
      </c>
      <c r="AC256" s="123">
        <f t="shared" si="144"/>
        <v>3097.9267234825879</v>
      </c>
      <c r="AD256" s="123">
        <f t="shared" si="144"/>
        <v>3242.6574413964463</v>
      </c>
      <c r="AE256" s="123">
        <f t="shared" si="144"/>
        <v>3126.1251534931425</v>
      </c>
      <c r="AF256" s="123">
        <f t="shared" si="144"/>
        <v>2957.7468307096938</v>
      </c>
      <c r="AG256" s="123">
        <f t="shared" si="144"/>
        <v>2896.5157292435642</v>
      </c>
      <c r="AH256" s="123">
        <f t="shared" si="144"/>
        <v>2675.4633400047069</v>
      </c>
      <c r="AI256" s="123">
        <f t="shared" si="144"/>
        <v>1643.0258103599706</v>
      </c>
      <c r="AJ256" s="123">
        <f t="shared" si="144"/>
        <v>980.43226853822171</v>
      </c>
      <c r="AK256" s="123">
        <f t="shared" si="144"/>
        <v>1091.4297855900115</v>
      </c>
      <c r="AL256" s="123">
        <f t="shared" si="144"/>
        <v>1084.1526338391654</v>
      </c>
      <c r="AM256" s="123">
        <f t="shared" si="144"/>
        <v>663.35826542711288</v>
      </c>
      <c r="AN256" s="123">
        <f t="shared" si="144"/>
        <v>203.36233810176569</v>
      </c>
      <c r="AO256" s="123">
        <f t="shared" si="144"/>
        <v>0</v>
      </c>
      <c r="AP256" s="123">
        <f t="shared" si="144"/>
        <v>0</v>
      </c>
      <c r="AQ256" s="123">
        <f t="shared" si="144"/>
        <v>0</v>
      </c>
      <c r="AR256" s="123">
        <f t="shared" si="144"/>
        <v>0</v>
      </c>
      <c r="AS256" s="123">
        <f t="shared" si="144"/>
        <v>0</v>
      </c>
      <c r="AT256" s="123">
        <f t="shared" si="144"/>
        <v>0</v>
      </c>
      <c r="AU256" s="123">
        <f t="shared" si="144"/>
        <v>0</v>
      </c>
      <c r="AV256" s="123">
        <f t="shared" si="144"/>
        <v>0</v>
      </c>
    </row>
    <row r="257" spans="1:48" s="123" customFormat="1" ht="15" customHeight="1">
      <c r="A257" s="134"/>
      <c r="B257" s="134"/>
      <c r="C257" s="151"/>
      <c r="E257" s="123" t="str">
        <f>"Check: " &amp; E256</f>
        <v>Check: Net revenues after royalty</v>
      </c>
      <c r="F257" s="135"/>
      <c r="G257" s="123" t="s">
        <v>29</v>
      </c>
      <c r="J257" s="123">
        <f xml:space="preserve"> SUM(L257:AV257)</f>
        <v>0</v>
      </c>
      <c r="L257" s="123">
        <f t="shared" ref="L257:AV257" si="145" xml:space="preserve"> L248 - L256</f>
        <v>0</v>
      </c>
      <c r="M257" s="123">
        <f t="shared" si="145"/>
        <v>0</v>
      </c>
      <c r="N257" s="123">
        <f t="shared" si="145"/>
        <v>0</v>
      </c>
      <c r="O257" s="123">
        <f t="shared" si="145"/>
        <v>0</v>
      </c>
      <c r="P257" s="123">
        <f t="shared" si="145"/>
        <v>0</v>
      </c>
      <c r="Q257" s="123">
        <f t="shared" si="145"/>
        <v>0</v>
      </c>
      <c r="R257" s="123">
        <f t="shared" si="145"/>
        <v>0</v>
      </c>
      <c r="S257" s="123">
        <f t="shared" si="145"/>
        <v>0</v>
      </c>
      <c r="T257" s="123">
        <f t="shared" si="145"/>
        <v>0</v>
      </c>
      <c r="U257" s="123">
        <f t="shared" si="145"/>
        <v>0</v>
      </c>
      <c r="V257" s="123">
        <f t="shared" si="145"/>
        <v>0</v>
      </c>
      <c r="W257" s="123">
        <f t="shared" si="145"/>
        <v>0</v>
      </c>
      <c r="X257" s="123">
        <f t="shared" si="145"/>
        <v>0</v>
      </c>
      <c r="Y257" s="123">
        <f t="shared" si="145"/>
        <v>0</v>
      </c>
      <c r="Z257" s="123">
        <f t="shared" si="145"/>
        <v>0</v>
      </c>
      <c r="AA257" s="123">
        <f t="shared" si="145"/>
        <v>0</v>
      </c>
      <c r="AB257" s="123">
        <f t="shared" si="145"/>
        <v>0</v>
      </c>
      <c r="AC257" s="123">
        <f t="shared" si="145"/>
        <v>0</v>
      </c>
      <c r="AD257" s="123">
        <f t="shared" si="145"/>
        <v>0</v>
      </c>
      <c r="AE257" s="123">
        <f t="shared" si="145"/>
        <v>0</v>
      </c>
      <c r="AF257" s="123">
        <f t="shared" si="145"/>
        <v>0</v>
      </c>
      <c r="AG257" s="123">
        <f t="shared" si="145"/>
        <v>0</v>
      </c>
      <c r="AH257" s="123">
        <f t="shared" si="145"/>
        <v>0</v>
      </c>
      <c r="AI257" s="123">
        <f t="shared" si="145"/>
        <v>0</v>
      </c>
      <c r="AJ257" s="123">
        <f t="shared" si="145"/>
        <v>0</v>
      </c>
      <c r="AK257" s="123">
        <f t="shared" si="145"/>
        <v>0</v>
      </c>
      <c r="AL257" s="123">
        <f t="shared" si="145"/>
        <v>0</v>
      </c>
      <c r="AM257" s="123">
        <f t="shared" si="145"/>
        <v>0</v>
      </c>
      <c r="AN257" s="123">
        <f t="shared" si="145"/>
        <v>0</v>
      </c>
      <c r="AO257" s="123">
        <f t="shared" si="145"/>
        <v>0</v>
      </c>
      <c r="AP257" s="123">
        <f t="shared" si="145"/>
        <v>0</v>
      </c>
      <c r="AQ257" s="123">
        <f t="shared" si="145"/>
        <v>0</v>
      </c>
      <c r="AR257" s="123">
        <f t="shared" si="145"/>
        <v>0</v>
      </c>
      <c r="AS257" s="123">
        <f t="shared" si="145"/>
        <v>0</v>
      </c>
      <c r="AT257" s="123">
        <f t="shared" si="145"/>
        <v>0</v>
      </c>
      <c r="AU257" s="123">
        <f t="shared" si="145"/>
        <v>0</v>
      </c>
      <c r="AV257" s="123">
        <f t="shared" si="145"/>
        <v>0</v>
      </c>
    </row>
    <row r="258" spans="1:48" s="123" customFormat="1" ht="15" customHeight="1">
      <c r="A258" s="134"/>
      <c r="B258" s="134"/>
      <c r="C258" s="151"/>
      <c r="F258" s="135"/>
      <c r="AJ258"/>
      <c r="AK258"/>
      <c r="AL258"/>
      <c r="AM258"/>
      <c r="AN258"/>
    </row>
    <row r="259" spans="1:48" s="123" customFormat="1" ht="15" customHeight="1">
      <c r="A259" s="134"/>
      <c r="B259" s="134"/>
      <c r="C259" s="151" t="s">
        <v>950</v>
      </c>
      <c r="F259" s="135"/>
      <c r="AJ259"/>
      <c r="AK259"/>
      <c r="AL259"/>
      <c r="AM259"/>
      <c r="AN259"/>
    </row>
    <row r="260" spans="1:48" s="123" customFormat="1" ht="15" customHeight="1">
      <c r="A260" s="134"/>
      <c r="B260" s="134"/>
      <c r="C260" s="151"/>
      <c r="E260" s="123" t="s">
        <v>948</v>
      </c>
      <c r="F260" s="135"/>
      <c r="G260" s="123" t="s">
        <v>29</v>
      </c>
      <c r="J260" s="123">
        <f xml:space="preserve"> SUM(L260:AV260)</f>
        <v>11397.289112193013</v>
      </c>
      <c r="L260" s="123">
        <f t="shared" ref="L260:AV260" si="146" xml:space="preserve"> IFERROR(L251 * L254 / L256, 0)</f>
        <v>0</v>
      </c>
      <c r="M260" s="123">
        <f t="shared" si="146"/>
        <v>0</v>
      </c>
      <c r="N260" s="123">
        <f t="shared" si="146"/>
        <v>-16.373642470251838</v>
      </c>
      <c r="O260" s="123">
        <f t="shared" si="146"/>
        <v>166.8570379829581</v>
      </c>
      <c r="P260" s="123">
        <f t="shared" si="146"/>
        <v>312.74464513767526</v>
      </c>
      <c r="Q260" s="123">
        <f t="shared" si="146"/>
        <v>410.52293279181049</v>
      </c>
      <c r="R260" s="123">
        <f t="shared" si="146"/>
        <v>389.91717058203847</v>
      </c>
      <c r="S260" s="123">
        <f t="shared" si="146"/>
        <v>507.99077133512918</v>
      </c>
      <c r="T260" s="123">
        <f t="shared" si="146"/>
        <v>839.03152042819795</v>
      </c>
      <c r="U260" s="123">
        <f t="shared" si="146"/>
        <v>443.16960267580907</v>
      </c>
      <c r="V260" s="123">
        <f t="shared" si="146"/>
        <v>0</v>
      </c>
      <c r="W260" s="123">
        <f t="shared" si="146"/>
        <v>10.517934052872473</v>
      </c>
      <c r="X260" s="123">
        <f t="shared" si="146"/>
        <v>789.16745111716568</v>
      </c>
      <c r="Y260" s="123">
        <f t="shared" si="146"/>
        <v>260.73273411171516</v>
      </c>
      <c r="Z260" s="123">
        <f t="shared" si="146"/>
        <v>687.9049615188668</v>
      </c>
      <c r="AA260" s="123">
        <f t="shared" si="146"/>
        <v>910.6056424057283</v>
      </c>
      <c r="AB260" s="123">
        <f t="shared" si="146"/>
        <v>919.8424690443411</v>
      </c>
      <c r="AC260" s="123">
        <f t="shared" si="146"/>
        <v>931.08209126635495</v>
      </c>
      <c r="AD260" s="123">
        <f t="shared" si="146"/>
        <v>965.18737664330149</v>
      </c>
      <c r="AE260" s="123">
        <f t="shared" si="146"/>
        <v>944.77850850948789</v>
      </c>
      <c r="AF260" s="123">
        <f t="shared" si="146"/>
        <v>912.85750027463439</v>
      </c>
      <c r="AG260" s="123">
        <f t="shared" si="146"/>
        <v>898.76086433166938</v>
      </c>
      <c r="AH260" s="123">
        <f t="shared" si="146"/>
        <v>854.95042386957766</v>
      </c>
      <c r="AI260" s="123">
        <f t="shared" si="146"/>
        <v>259.83040217565139</v>
      </c>
      <c r="AJ260" s="123">
        <f t="shared" si="146"/>
        <v>-96.980915204490955</v>
      </c>
      <c r="AK260" s="123">
        <f t="shared" si="146"/>
        <v>-38.010961679576148</v>
      </c>
      <c r="AL260" s="123">
        <f t="shared" si="146"/>
        <v>-43.155005530166243</v>
      </c>
      <c r="AM260" s="123">
        <f t="shared" si="146"/>
        <v>-273.68142286841152</v>
      </c>
      <c r="AN260" s="123">
        <f t="shared" si="146"/>
        <v>-550.96098030907581</v>
      </c>
      <c r="AO260" s="123">
        <f t="shared" si="146"/>
        <v>0</v>
      </c>
      <c r="AP260" s="123">
        <f t="shared" si="146"/>
        <v>0</v>
      </c>
      <c r="AQ260" s="123">
        <f t="shared" si="146"/>
        <v>0</v>
      </c>
      <c r="AR260" s="123">
        <f t="shared" si="146"/>
        <v>0</v>
      </c>
      <c r="AS260" s="123">
        <f t="shared" si="146"/>
        <v>0</v>
      </c>
      <c r="AT260" s="123">
        <f t="shared" si="146"/>
        <v>0</v>
      </c>
      <c r="AU260" s="123">
        <f t="shared" si="146"/>
        <v>0</v>
      </c>
      <c r="AV260" s="123">
        <f t="shared" si="146"/>
        <v>0</v>
      </c>
    </row>
    <row r="261" spans="1:48" s="123" customFormat="1" ht="15" customHeight="1">
      <c r="A261" s="134"/>
      <c r="B261" s="134"/>
      <c r="C261" s="151"/>
      <c r="E261" s="123" t="s">
        <v>949</v>
      </c>
      <c r="F261" s="135"/>
      <c r="G261" s="123" t="s">
        <v>29</v>
      </c>
      <c r="J261" s="123">
        <f xml:space="preserve"> SUM(L261:AV261)</f>
        <v>8034.027735573125</v>
      </c>
      <c r="L261" s="123">
        <f t="shared" ref="L261:AV261" si="147" xml:space="preserve"> IFERROR(L251 * L255 / L256, 0)</f>
        <v>0</v>
      </c>
      <c r="M261" s="123">
        <f t="shared" si="147"/>
        <v>0</v>
      </c>
      <c r="N261" s="123">
        <f t="shared" si="147"/>
        <v>-0.55516418863873762</v>
      </c>
      <c r="O261" s="123">
        <f t="shared" si="147"/>
        <v>61.607359124492</v>
      </c>
      <c r="P261" s="123">
        <f t="shared" si="147"/>
        <v>90.7185976554006</v>
      </c>
      <c r="Q261" s="123">
        <f t="shared" si="147"/>
        <v>46.012196686809148</v>
      </c>
      <c r="R261" s="123">
        <f t="shared" si="147"/>
        <v>38.62355170232653</v>
      </c>
      <c r="S261" s="123">
        <f t="shared" si="147"/>
        <v>39.058738839366669</v>
      </c>
      <c r="T261" s="123">
        <f t="shared" si="147"/>
        <v>54.210254689538857</v>
      </c>
      <c r="U261" s="123">
        <f t="shared" si="147"/>
        <v>53.44246255833189</v>
      </c>
      <c r="V261" s="123">
        <f t="shared" si="147"/>
        <v>0</v>
      </c>
      <c r="W261" s="123">
        <f t="shared" si="147"/>
        <v>0</v>
      </c>
      <c r="X261" s="123">
        <f t="shared" si="147"/>
        <v>438.45091846700598</v>
      </c>
      <c r="Y261" s="123">
        <f t="shared" si="147"/>
        <v>111.94503499896798</v>
      </c>
      <c r="Z261" s="123">
        <f t="shared" si="147"/>
        <v>436.488810668849</v>
      </c>
      <c r="AA261" s="123">
        <f t="shared" si="147"/>
        <v>906.49738252952523</v>
      </c>
      <c r="AB261" s="123">
        <f t="shared" si="147"/>
        <v>947.36915313371958</v>
      </c>
      <c r="AC261" s="123">
        <f t="shared" si="147"/>
        <v>992.89629888289983</v>
      </c>
      <c r="AD261" s="123">
        <f t="shared" si="147"/>
        <v>1103.521731419811</v>
      </c>
      <c r="AE261" s="123">
        <f t="shared" si="147"/>
        <v>1007.3983116503216</v>
      </c>
      <c r="AF261" s="123">
        <f t="shared" si="147"/>
        <v>870.94099710172577</v>
      </c>
      <c r="AG261" s="123">
        <f t="shared" si="147"/>
        <v>823.80653157856136</v>
      </c>
      <c r="AH261" s="123">
        <f t="shared" si="147"/>
        <v>646.56458280179561</v>
      </c>
      <c r="AI261" s="123">
        <f t="shared" si="147"/>
        <v>209.24707485098591</v>
      </c>
      <c r="AJ261" s="123">
        <f t="shared" si="147"/>
        <v>-96.535149590620847</v>
      </c>
      <c r="AK261" s="123">
        <f t="shared" si="147"/>
        <v>-44.507586063745812</v>
      </c>
      <c r="AL261" s="123">
        <f t="shared" si="147"/>
        <v>-46.640693964001798</v>
      </c>
      <c r="AM261" s="123">
        <f t="shared" si="147"/>
        <v>-236.90864503780912</v>
      </c>
      <c r="AN261" s="123">
        <f t="shared" si="147"/>
        <v>-419.62501492249208</v>
      </c>
      <c r="AO261" s="123">
        <f t="shared" si="147"/>
        <v>0</v>
      </c>
      <c r="AP261" s="123">
        <f t="shared" si="147"/>
        <v>0</v>
      </c>
      <c r="AQ261" s="123">
        <f t="shared" si="147"/>
        <v>0</v>
      </c>
      <c r="AR261" s="123">
        <f t="shared" si="147"/>
        <v>0</v>
      </c>
      <c r="AS261" s="123">
        <f t="shared" si="147"/>
        <v>0</v>
      </c>
      <c r="AT261" s="123">
        <f t="shared" si="147"/>
        <v>0</v>
      </c>
      <c r="AU261" s="123">
        <f t="shared" si="147"/>
        <v>0</v>
      </c>
      <c r="AV261" s="123">
        <f t="shared" si="147"/>
        <v>0</v>
      </c>
    </row>
    <row r="262" spans="1:48" s="123" customFormat="1" ht="15" customHeight="1">
      <c r="A262" s="134"/>
      <c r="B262" s="134"/>
      <c r="C262" s="151"/>
      <c r="E262" s="123" t="s">
        <v>947</v>
      </c>
      <c r="F262" s="135"/>
      <c r="G262" s="123" t="s">
        <v>29</v>
      </c>
      <c r="J262" s="123">
        <f xml:space="preserve"> SUM(L262:AV262)</f>
        <v>0</v>
      </c>
      <c r="L262" s="123">
        <f t="shared" ref="L262:AV262" si="148" xml:space="preserve"> L251 - L260 - L261</f>
        <v>0</v>
      </c>
      <c r="M262" s="123">
        <f t="shared" si="148"/>
        <v>0</v>
      </c>
      <c r="N262" s="123">
        <f t="shared" si="148"/>
        <v>0</v>
      </c>
      <c r="O262" s="123">
        <f t="shared" si="148"/>
        <v>0</v>
      </c>
      <c r="P262" s="123">
        <f t="shared" si="148"/>
        <v>0</v>
      </c>
      <c r="Q262" s="123">
        <f t="shared" si="148"/>
        <v>0</v>
      </c>
      <c r="R262" s="123">
        <f t="shared" si="148"/>
        <v>0</v>
      </c>
      <c r="S262" s="123">
        <f t="shared" si="148"/>
        <v>0</v>
      </c>
      <c r="T262" s="123">
        <f t="shared" si="148"/>
        <v>0</v>
      </c>
      <c r="U262" s="123">
        <f t="shared" si="148"/>
        <v>0</v>
      </c>
      <c r="V262" s="123">
        <f t="shared" si="148"/>
        <v>0</v>
      </c>
      <c r="W262" s="123">
        <f t="shared" si="148"/>
        <v>0</v>
      </c>
      <c r="X262" s="123">
        <f t="shared" si="148"/>
        <v>0</v>
      </c>
      <c r="Y262" s="123">
        <f t="shared" si="148"/>
        <v>0</v>
      </c>
      <c r="Z262" s="123">
        <f t="shared" si="148"/>
        <v>0</v>
      </c>
      <c r="AA262" s="123">
        <f t="shared" si="148"/>
        <v>0</v>
      </c>
      <c r="AB262" s="123">
        <f t="shared" si="148"/>
        <v>0</v>
      </c>
      <c r="AC262" s="123">
        <f t="shared" si="148"/>
        <v>0</v>
      </c>
      <c r="AD262" s="123">
        <f t="shared" si="148"/>
        <v>0</v>
      </c>
      <c r="AE262" s="123">
        <f t="shared" si="148"/>
        <v>0</v>
      </c>
      <c r="AF262" s="123">
        <f t="shared" si="148"/>
        <v>0</v>
      </c>
      <c r="AG262" s="123">
        <f t="shared" si="148"/>
        <v>0</v>
      </c>
      <c r="AH262" s="123">
        <f t="shared" si="148"/>
        <v>0</v>
      </c>
      <c r="AI262" s="123">
        <f t="shared" si="148"/>
        <v>0</v>
      </c>
      <c r="AJ262" s="123">
        <f t="shared" si="148"/>
        <v>0</v>
      </c>
      <c r="AK262" s="123">
        <f t="shared" si="148"/>
        <v>0</v>
      </c>
      <c r="AL262" s="123">
        <f t="shared" si="148"/>
        <v>0</v>
      </c>
      <c r="AM262" s="123">
        <f t="shared" si="148"/>
        <v>0</v>
      </c>
      <c r="AN262" s="123">
        <f t="shared" si="148"/>
        <v>0</v>
      </c>
      <c r="AO262" s="123">
        <f t="shared" si="148"/>
        <v>0</v>
      </c>
      <c r="AP262" s="123">
        <f t="shared" si="148"/>
        <v>0</v>
      </c>
      <c r="AQ262" s="123">
        <f t="shared" si="148"/>
        <v>0</v>
      </c>
      <c r="AR262" s="123">
        <f t="shared" si="148"/>
        <v>0</v>
      </c>
      <c r="AS262" s="123">
        <f t="shared" si="148"/>
        <v>0</v>
      </c>
      <c r="AT262" s="123">
        <f t="shared" si="148"/>
        <v>0</v>
      </c>
      <c r="AU262" s="123">
        <f t="shared" si="148"/>
        <v>0</v>
      </c>
      <c r="AV262" s="123">
        <f t="shared" si="148"/>
        <v>0</v>
      </c>
    </row>
    <row r="263" spans="1:48" s="123" customFormat="1" ht="15" customHeight="1">
      <c r="A263" s="134"/>
      <c r="B263" s="134"/>
      <c r="C263" s="151"/>
      <c r="F263" s="135"/>
    </row>
    <row r="264" spans="1:48" s="123" customFormat="1" ht="15" customHeight="1">
      <c r="A264" s="134"/>
      <c r="B264" s="134"/>
      <c r="C264" s="151"/>
    </row>
    <row r="265" spans="1:48" s="160" customFormat="1" ht="15" customHeight="1">
      <c r="A265" s="164" t="s">
        <v>125</v>
      </c>
      <c r="B265" s="162"/>
      <c r="C265" s="192"/>
      <c r="D265" s="163"/>
      <c r="E265" s="162"/>
      <c r="F265" s="162"/>
      <c r="G265" s="162"/>
      <c r="H265" s="162"/>
    </row>
    <row r="266" spans="1:48" s="229" customFormat="1" ht="15" customHeight="1">
      <c r="A266" s="225"/>
      <c r="B266" s="226"/>
      <c r="C266" s="227"/>
      <c r="D266" s="228"/>
      <c r="E266" s="226"/>
      <c r="F266" s="226"/>
      <c r="G266" s="226"/>
      <c r="H266" s="226"/>
    </row>
    <row r="267" spans="1:48" ht="15" customHeight="1">
      <c r="E267" s="123" t="s">
        <v>126</v>
      </c>
      <c r="F267" s="137">
        <v>0.25</v>
      </c>
      <c r="G267" s="123" t="s">
        <v>26</v>
      </c>
      <c r="H267" s="123"/>
      <c r="I267" s="123"/>
      <c r="J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3"/>
      <c r="AC267" s="123"/>
      <c r="AD267" s="123"/>
      <c r="AE267" s="123"/>
      <c r="AF267" s="123"/>
      <c r="AG267" s="123"/>
      <c r="AH267" s="123"/>
      <c r="AI267" s="123"/>
      <c r="AJ267" s="123"/>
      <c r="AK267" s="123"/>
      <c r="AL267" s="123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3"/>
    </row>
    <row r="268" spans="1:48" ht="15" customHeight="1">
      <c r="E268" s="10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</row>
    <row r="269" spans="1:48" ht="15" customHeight="1">
      <c r="E269" s="110" t="s">
        <v>127</v>
      </c>
      <c r="F269" s="123"/>
      <c r="G269" s="123" t="s">
        <v>29</v>
      </c>
      <c r="H269" s="123"/>
      <c r="I269" s="123"/>
      <c r="J269" s="123"/>
      <c r="L269" s="123">
        <f t="shared" ref="L269:AV269" si="149">L238 * $F267</f>
        <v>0</v>
      </c>
      <c r="M269" s="123">
        <f t="shared" si="149"/>
        <v>0</v>
      </c>
      <c r="N269" s="123">
        <f t="shared" si="149"/>
        <v>0</v>
      </c>
      <c r="O269" s="123">
        <f t="shared" si="149"/>
        <v>0</v>
      </c>
      <c r="P269" s="123">
        <f t="shared" si="149"/>
        <v>0</v>
      </c>
      <c r="Q269" s="123">
        <f t="shared" si="149"/>
        <v>80</v>
      </c>
      <c r="R269" s="123">
        <f t="shared" si="149"/>
        <v>88.25</v>
      </c>
      <c r="S269" s="123">
        <f t="shared" si="149"/>
        <v>92.75</v>
      </c>
      <c r="T269" s="123">
        <f t="shared" si="149"/>
        <v>33.25</v>
      </c>
      <c r="U269" s="123">
        <f t="shared" si="149"/>
        <v>30</v>
      </c>
      <c r="V269" s="123">
        <f t="shared" si="149"/>
        <v>22.25</v>
      </c>
      <c r="W269" s="123">
        <f t="shared" si="149"/>
        <v>26.25</v>
      </c>
      <c r="X269" s="123">
        <f t="shared" si="149"/>
        <v>29.75</v>
      </c>
      <c r="Y269" s="123">
        <f t="shared" si="149"/>
        <v>104.37</v>
      </c>
      <c r="Z269" s="123">
        <f t="shared" si="149"/>
        <v>90</v>
      </c>
      <c r="AA269" s="123">
        <f t="shared" si="149"/>
        <v>66.322499999999991</v>
      </c>
      <c r="AB269" s="123">
        <f t="shared" si="149"/>
        <v>50.032499999999999</v>
      </c>
      <c r="AC269" s="123">
        <f t="shared" si="149"/>
        <v>44.109375</v>
      </c>
      <c r="AD269" s="123">
        <f t="shared" si="149"/>
        <v>44.109375</v>
      </c>
      <c r="AE269" s="123">
        <f t="shared" si="149"/>
        <v>44.109375</v>
      </c>
      <c r="AF269" s="123">
        <f t="shared" si="149"/>
        <v>44.109375</v>
      </c>
      <c r="AG269" s="123">
        <f t="shared" si="149"/>
        <v>44.109375</v>
      </c>
      <c r="AH269" s="123">
        <f t="shared" si="149"/>
        <v>44.109375</v>
      </c>
      <c r="AI269" s="123">
        <f t="shared" si="149"/>
        <v>44.109375</v>
      </c>
      <c r="AJ269" s="123">
        <f t="shared" si="149"/>
        <v>44.109375</v>
      </c>
      <c r="AK269" s="123">
        <f t="shared" si="149"/>
        <v>44.109375</v>
      </c>
      <c r="AL269" s="123">
        <f t="shared" si="149"/>
        <v>44.109375</v>
      </c>
      <c r="AM269" s="123">
        <f t="shared" si="149"/>
        <v>44.109375</v>
      </c>
      <c r="AN269" s="123">
        <f t="shared" si="149"/>
        <v>44.109375</v>
      </c>
      <c r="AO269" s="123">
        <f t="shared" si="149"/>
        <v>0</v>
      </c>
      <c r="AP269" s="123">
        <f t="shared" si="149"/>
        <v>0</v>
      </c>
      <c r="AQ269" s="123">
        <f t="shared" si="149"/>
        <v>0</v>
      </c>
      <c r="AR269" s="123">
        <f t="shared" si="149"/>
        <v>0</v>
      </c>
      <c r="AS269" s="123">
        <f t="shared" si="149"/>
        <v>0</v>
      </c>
      <c r="AT269" s="123">
        <f t="shared" si="149"/>
        <v>0</v>
      </c>
      <c r="AU269" s="123">
        <f t="shared" si="149"/>
        <v>0</v>
      </c>
      <c r="AV269" s="123">
        <f t="shared" si="149"/>
        <v>0</v>
      </c>
    </row>
    <row r="270" spans="1:48" ht="15" customHeight="1">
      <c r="E270" s="110" t="s">
        <v>128</v>
      </c>
      <c r="F270" s="123"/>
      <c r="G270" s="123" t="s">
        <v>29</v>
      </c>
      <c r="H270" s="123"/>
      <c r="I270" s="123"/>
      <c r="J270" s="123">
        <f xml:space="preserve"> SUM(L270:AV270)</f>
        <v>2364.0704185665759</v>
      </c>
      <c r="L270" s="123">
        <f t="shared" ref="L270:AV270" si="150" xml:space="preserve"> L242 * $F267</f>
        <v>0</v>
      </c>
      <c r="M270" s="123">
        <f t="shared" si="150"/>
        <v>0</v>
      </c>
      <c r="N270" s="123">
        <f t="shared" si="150"/>
        <v>-4.232201664722643</v>
      </c>
      <c r="O270" s="123">
        <f t="shared" si="150"/>
        <v>57.116099276862521</v>
      </c>
      <c r="P270" s="123">
        <f t="shared" si="150"/>
        <v>100.86581069826894</v>
      </c>
      <c r="Q270" s="123">
        <f t="shared" si="150"/>
        <v>24.418735165635795</v>
      </c>
      <c r="R270" s="123">
        <f t="shared" si="150"/>
        <v>5.5096263997638744</v>
      </c>
      <c r="S270" s="123">
        <f t="shared" si="150"/>
        <v>24.871664280536748</v>
      </c>
      <c r="T270" s="123">
        <f t="shared" si="150"/>
        <v>136.02641064560396</v>
      </c>
      <c r="U270" s="123">
        <f t="shared" si="150"/>
        <v>68.385981415974669</v>
      </c>
      <c r="V270" s="123">
        <f t="shared" si="150"/>
        <v>-22.25</v>
      </c>
      <c r="W270" s="123">
        <f t="shared" si="150"/>
        <v>-23.620516486781881</v>
      </c>
      <c r="X270" s="123">
        <f t="shared" si="150"/>
        <v>212.37017733326462</v>
      </c>
      <c r="Y270" s="123">
        <f t="shared" si="150"/>
        <v>-16.409823718630435</v>
      </c>
      <c r="Z270" s="123">
        <f t="shared" si="150"/>
        <v>129.49470681375021</v>
      </c>
      <c r="AA270" s="123">
        <f t="shared" si="150"/>
        <v>271.41663704029941</v>
      </c>
      <c r="AB270" s="123">
        <f t="shared" si="150"/>
        <v>293.5886342548016</v>
      </c>
      <c r="AC270" s="123">
        <f t="shared" si="150"/>
        <v>307.82497603766831</v>
      </c>
      <c r="AD270" s="123">
        <f t="shared" si="150"/>
        <v>332.55125559412875</v>
      </c>
      <c r="AE270" s="123">
        <f t="shared" si="150"/>
        <v>311.73698795612552</v>
      </c>
      <c r="AF270" s="123">
        <f t="shared" si="150"/>
        <v>281.97599939057432</v>
      </c>
      <c r="AG270" s="123">
        <f t="shared" si="150"/>
        <v>271.05420917908828</v>
      </c>
      <c r="AH270" s="123">
        <f t="shared" si="150"/>
        <v>232.22559784384879</v>
      </c>
      <c r="AI270" s="123">
        <f t="shared" si="150"/>
        <v>51.447919903112449</v>
      </c>
      <c r="AJ270" s="123">
        <f t="shared" si="150"/>
        <v>-92.488391198777947</v>
      </c>
      <c r="AK270" s="123">
        <f t="shared" si="150"/>
        <v>-64.73901193583049</v>
      </c>
      <c r="AL270" s="123">
        <f t="shared" si="150"/>
        <v>-66.558299873542012</v>
      </c>
      <c r="AM270" s="123">
        <f t="shared" si="150"/>
        <v>-171.75689197655515</v>
      </c>
      <c r="AN270" s="123">
        <f t="shared" si="150"/>
        <v>-286.75587380789193</v>
      </c>
      <c r="AO270" s="123">
        <f t="shared" si="150"/>
        <v>0</v>
      </c>
      <c r="AP270" s="123">
        <f t="shared" si="150"/>
        <v>0</v>
      </c>
      <c r="AQ270" s="123">
        <f t="shared" si="150"/>
        <v>0</v>
      </c>
      <c r="AR270" s="123">
        <f t="shared" si="150"/>
        <v>0</v>
      </c>
      <c r="AS270" s="123">
        <f t="shared" si="150"/>
        <v>0</v>
      </c>
      <c r="AT270" s="123">
        <f t="shared" si="150"/>
        <v>0</v>
      </c>
      <c r="AU270" s="123">
        <f t="shared" si="150"/>
        <v>0</v>
      </c>
      <c r="AV270" s="123">
        <f t="shared" si="150"/>
        <v>0</v>
      </c>
    </row>
    <row r="271" spans="1:48" ht="15" customHeight="1">
      <c r="F271" s="123"/>
      <c r="G271" s="123"/>
      <c r="H271" s="123"/>
      <c r="I271" s="123"/>
      <c r="J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3"/>
      <c r="AC271" s="123"/>
      <c r="AD271" s="123"/>
      <c r="AE271" s="123"/>
      <c r="AF271" s="123"/>
      <c r="AG271" s="123"/>
      <c r="AH271" s="123"/>
      <c r="AI271" s="123"/>
      <c r="AJ271" s="123"/>
      <c r="AK271" s="123"/>
      <c r="AL271" s="123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3"/>
    </row>
    <row r="272" spans="1:48" ht="15" customHeight="1">
      <c r="C272" s="191" t="s">
        <v>129</v>
      </c>
      <c r="F272" s="123"/>
      <c r="G272" s="123"/>
      <c r="H272" s="123"/>
      <c r="I272" s="123"/>
      <c r="J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3"/>
      <c r="AC272" s="123"/>
      <c r="AD272" s="123"/>
      <c r="AE272" s="123"/>
      <c r="AF272" s="123"/>
      <c r="AG272" s="123"/>
      <c r="AH272" s="123"/>
      <c r="AI272" s="123"/>
      <c r="AJ272" s="123"/>
      <c r="AK272" s="123"/>
      <c r="AL272" s="123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3"/>
    </row>
    <row r="273" spans="1:48" ht="15" customHeight="1">
      <c r="E273" s="110" t="s">
        <v>130</v>
      </c>
      <c r="F273" s="137">
        <v>0.05</v>
      </c>
      <c r="G273" s="123" t="s">
        <v>26</v>
      </c>
      <c r="H273" s="123"/>
      <c r="I273" s="123" t="s">
        <v>131</v>
      </c>
      <c r="J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3"/>
      <c r="AC273" s="123"/>
      <c r="AD273" s="123"/>
      <c r="AE273" s="123"/>
      <c r="AF273" s="123"/>
      <c r="AG273" s="123"/>
      <c r="AH273" s="123"/>
      <c r="AI273" s="123"/>
      <c r="AJ273" s="123"/>
      <c r="AK273" s="123"/>
      <c r="AL273" s="123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3"/>
    </row>
    <row r="274" spans="1:48" ht="15" customHeight="1">
      <c r="E274" s="112" t="str">
        <f xml:space="preserve"> Kamoto_2011TR!E$179</f>
        <v>Opening balance Gecamines loan (from 2011 TR emulation)</v>
      </c>
      <c r="F274" s="112">
        <f xml:space="preserve"> Kamoto_2011TR!F$179</f>
        <v>700</v>
      </c>
      <c r="G274" s="112" t="str">
        <f xml:space="preserve"> Kamoto_2011TR!G$179</f>
        <v>$ mn</v>
      </c>
      <c r="H274" s="123"/>
      <c r="I274" s="123" t="s">
        <v>131</v>
      </c>
      <c r="J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3"/>
      <c r="AC274" s="123"/>
      <c r="AD274" s="123"/>
      <c r="AE274" s="123"/>
      <c r="AF274" s="123"/>
      <c r="AG274" s="123"/>
      <c r="AH274" s="123"/>
      <c r="AI274" s="123"/>
      <c r="AJ274" s="123"/>
      <c r="AK274" s="123"/>
      <c r="AL274" s="123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3"/>
    </row>
    <row r="275" spans="1:48" ht="15" customHeight="1">
      <c r="E275" s="110" t="s">
        <v>132</v>
      </c>
      <c r="F275" s="242">
        <v>2011</v>
      </c>
      <c r="G275" s="123" t="s">
        <v>62</v>
      </c>
      <c r="H275" s="123"/>
      <c r="I275" s="123"/>
      <c r="J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3"/>
      <c r="AC275" s="123"/>
      <c r="AD275" s="123"/>
      <c r="AE275" s="123"/>
      <c r="AF275" s="123"/>
      <c r="AG275" s="123"/>
      <c r="AH275" s="123"/>
      <c r="AI275" s="123"/>
      <c r="AJ275" s="123"/>
      <c r="AK275" s="123"/>
      <c r="AL275" s="123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3"/>
    </row>
    <row r="276" spans="1:48" ht="15" customHeight="1">
      <c r="F276" s="123"/>
      <c r="G276" s="123"/>
      <c r="H276" s="123"/>
      <c r="I276" s="123"/>
      <c r="J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3"/>
      <c r="AC276" s="123"/>
      <c r="AD276" s="123"/>
      <c r="AE276" s="123"/>
      <c r="AF276" s="123"/>
      <c r="AG276" s="123"/>
      <c r="AH276" s="123"/>
      <c r="AI276" s="123"/>
      <c r="AJ276" s="123"/>
      <c r="AK276" s="123"/>
      <c r="AL276" s="123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3"/>
    </row>
    <row r="277" spans="1:48" ht="15" customHeight="1">
      <c r="E277" s="108" t="str">
        <f xml:space="preserve"> 'T&amp;E'!E$9</f>
        <v>Model calendar year</v>
      </c>
      <c r="F277" s="108">
        <f xml:space="preserve"> 'T&amp;E'!F$9</f>
        <v>0</v>
      </c>
      <c r="G277" s="108" t="str">
        <f xml:space="preserve"> 'T&amp;E'!G$9</f>
        <v>year</v>
      </c>
      <c r="H277" s="108">
        <f xml:space="preserve"> 'T&amp;E'!H$9</f>
        <v>0</v>
      </c>
      <c r="I277" s="108">
        <f xml:space="preserve"> 'T&amp;E'!I$9</f>
        <v>0</v>
      </c>
      <c r="J277" s="108">
        <f xml:space="preserve"> 'T&amp;E'!J$9</f>
        <v>0</v>
      </c>
      <c r="K277" s="108">
        <f xml:space="preserve"> 'T&amp;E'!K$9</f>
        <v>0</v>
      </c>
      <c r="L277" s="108">
        <f xml:space="preserve"> 'T&amp;E'!L$9</f>
        <v>2014</v>
      </c>
      <c r="M277" s="108">
        <f xml:space="preserve"> 'T&amp;E'!M$9</f>
        <v>2015</v>
      </c>
      <c r="N277" s="108">
        <f xml:space="preserve"> 'T&amp;E'!N$9</f>
        <v>2016</v>
      </c>
      <c r="O277" s="108">
        <f xml:space="preserve"> 'T&amp;E'!O$9</f>
        <v>2017</v>
      </c>
      <c r="P277" s="108">
        <f xml:space="preserve"> 'T&amp;E'!P$9</f>
        <v>2018</v>
      </c>
      <c r="Q277" s="108">
        <f xml:space="preserve"> 'T&amp;E'!Q$9</f>
        <v>2019</v>
      </c>
      <c r="R277" s="108">
        <f xml:space="preserve"> 'T&amp;E'!R$9</f>
        <v>2020</v>
      </c>
      <c r="S277" s="108">
        <f xml:space="preserve"> 'T&amp;E'!S$9</f>
        <v>2021</v>
      </c>
      <c r="T277" s="108">
        <f xml:space="preserve"> 'T&amp;E'!T$9</f>
        <v>2022</v>
      </c>
      <c r="U277" s="108">
        <f xml:space="preserve"> 'T&amp;E'!U$9</f>
        <v>2023</v>
      </c>
      <c r="V277" s="108">
        <f xml:space="preserve"> 'T&amp;E'!V$9</f>
        <v>2024</v>
      </c>
      <c r="W277" s="108">
        <f xml:space="preserve"> 'T&amp;E'!W$9</f>
        <v>2025</v>
      </c>
      <c r="X277" s="108">
        <f xml:space="preserve"> 'T&amp;E'!X$9</f>
        <v>2026</v>
      </c>
      <c r="Y277" s="108">
        <f xml:space="preserve"> 'T&amp;E'!Y$9</f>
        <v>2027</v>
      </c>
      <c r="Z277" s="108">
        <f xml:space="preserve"> 'T&amp;E'!Z$9</f>
        <v>2028</v>
      </c>
      <c r="AA277" s="108">
        <f xml:space="preserve"> 'T&amp;E'!AA$9</f>
        <v>2029</v>
      </c>
      <c r="AB277" s="108">
        <f xml:space="preserve"> 'T&amp;E'!AB$9</f>
        <v>2030</v>
      </c>
      <c r="AC277" s="108">
        <f xml:space="preserve"> 'T&amp;E'!AC$9</f>
        <v>2031</v>
      </c>
      <c r="AD277" s="108">
        <f xml:space="preserve"> 'T&amp;E'!AD$9</f>
        <v>2032</v>
      </c>
      <c r="AE277" s="108">
        <f xml:space="preserve"> 'T&amp;E'!AE$9</f>
        <v>2033</v>
      </c>
      <c r="AF277" s="108">
        <f xml:space="preserve"> 'T&amp;E'!AF$9</f>
        <v>2034</v>
      </c>
      <c r="AG277" s="108">
        <f xml:space="preserve"> 'T&amp;E'!AG$9</f>
        <v>2035</v>
      </c>
      <c r="AH277" s="108">
        <f xml:space="preserve"> 'T&amp;E'!AH$9</f>
        <v>2036</v>
      </c>
      <c r="AI277" s="108">
        <f xml:space="preserve"> 'T&amp;E'!AI$9</f>
        <v>2037</v>
      </c>
      <c r="AJ277" s="108">
        <f xml:space="preserve"> 'T&amp;E'!AJ$9</f>
        <v>2038</v>
      </c>
      <c r="AK277" s="108">
        <f xml:space="preserve"> 'T&amp;E'!AK$9</f>
        <v>2039</v>
      </c>
      <c r="AL277" s="108">
        <f xml:space="preserve"> 'T&amp;E'!AL$9</f>
        <v>2040</v>
      </c>
      <c r="AM277" s="108">
        <f xml:space="preserve"> 'T&amp;E'!AM$9</f>
        <v>2041</v>
      </c>
      <c r="AN277" s="108">
        <f xml:space="preserve"> 'T&amp;E'!AN$9</f>
        <v>2042</v>
      </c>
      <c r="AO277" s="108">
        <f xml:space="preserve"> 'T&amp;E'!AO$9</f>
        <v>2043</v>
      </c>
      <c r="AP277" s="108">
        <f xml:space="preserve"> 'T&amp;E'!AP$9</f>
        <v>2044</v>
      </c>
      <c r="AQ277" s="108">
        <f xml:space="preserve"> 'T&amp;E'!AQ$9</f>
        <v>2045</v>
      </c>
      <c r="AR277" s="108">
        <f xml:space="preserve"> 'T&amp;E'!AR$9</f>
        <v>2046</v>
      </c>
      <c r="AS277" s="108">
        <f xml:space="preserve"> 'T&amp;E'!AS$9</f>
        <v>2047</v>
      </c>
      <c r="AT277" s="108">
        <f xml:space="preserve"> 'T&amp;E'!AT$9</f>
        <v>2048</v>
      </c>
      <c r="AU277" s="108">
        <f xml:space="preserve"> 'T&amp;E'!AU$9</f>
        <v>2049</v>
      </c>
      <c r="AV277" s="108">
        <f xml:space="preserve"> 'T&amp;E'!AV$9</f>
        <v>2050</v>
      </c>
    </row>
    <row r="278" spans="1:48" ht="15" customHeight="1">
      <c r="E278" s="129" t="s">
        <v>133</v>
      </c>
      <c r="F278" s="146"/>
      <c r="G278" s="146" t="s">
        <v>29</v>
      </c>
      <c r="H278" s="146"/>
      <c r="I278" s="146"/>
      <c r="J278" s="146"/>
      <c r="K278" s="146"/>
      <c r="L278" s="146">
        <f t="shared" ref="L278:AV278" si="151">IF( L277 = $F275, $F274, K281)</f>
        <v>0</v>
      </c>
      <c r="M278" s="146">
        <f t="shared" si="151"/>
        <v>0</v>
      </c>
      <c r="N278" s="146">
        <f t="shared" si="151"/>
        <v>0</v>
      </c>
      <c r="O278" s="146">
        <f t="shared" si="151"/>
        <v>4.232201664722643</v>
      </c>
      <c r="P278" s="146">
        <f t="shared" si="151"/>
        <v>0</v>
      </c>
      <c r="Q278" s="146">
        <f t="shared" si="151"/>
        <v>0</v>
      </c>
      <c r="R278" s="146">
        <f t="shared" si="151"/>
        <v>0</v>
      </c>
      <c r="S278" s="146">
        <f t="shared" si="151"/>
        <v>0</v>
      </c>
      <c r="T278" s="146">
        <f t="shared" si="151"/>
        <v>0</v>
      </c>
      <c r="U278" s="146">
        <f t="shared" si="151"/>
        <v>0</v>
      </c>
      <c r="V278" s="146">
        <f t="shared" si="151"/>
        <v>0</v>
      </c>
      <c r="W278" s="146">
        <f t="shared" si="151"/>
        <v>22.25</v>
      </c>
      <c r="X278" s="146">
        <f t="shared" si="151"/>
        <v>46.983016486781878</v>
      </c>
      <c r="Y278" s="146">
        <f t="shared" si="151"/>
        <v>0</v>
      </c>
      <c r="Z278" s="146">
        <f t="shared" si="151"/>
        <v>16.409823718630435</v>
      </c>
      <c r="AA278" s="146">
        <f t="shared" si="151"/>
        <v>0</v>
      </c>
      <c r="AB278" s="146">
        <f t="shared" si="151"/>
        <v>0</v>
      </c>
      <c r="AC278" s="146">
        <f t="shared" si="151"/>
        <v>0</v>
      </c>
      <c r="AD278" s="146">
        <f t="shared" si="151"/>
        <v>0</v>
      </c>
      <c r="AE278" s="146">
        <f t="shared" si="151"/>
        <v>0</v>
      </c>
      <c r="AF278" s="146">
        <f t="shared" si="151"/>
        <v>0</v>
      </c>
      <c r="AG278" s="146">
        <f t="shared" si="151"/>
        <v>0</v>
      </c>
      <c r="AH278" s="146">
        <f t="shared" si="151"/>
        <v>0</v>
      </c>
      <c r="AI278" s="146">
        <f t="shared" si="151"/>
        <v>0</v>
      </c>
      <c r="AJ278" s="146">
        <f t="shared" si="151"/>
        <v>0</v>
      </c>
      <c r="AK278" s="146">
        <f t="shared" si="151"/>
        <v>92.488391198777947</v>
      </c>
      <c r="AL278" s="146">
        <f t="shared" si="151"/>
        <v>161.85182269454734</v>
      </c>
      <c r="AM278" s="146">
        <f t="shared" si="151"/>
        <v>236.50271370281672</v>
      </c>
      <c r="AN278" s="146">
        <f t="shared" si="151"/>
        <v>420.08474136451269</v>
      </c>
      <c r="AO278" s="146">
        <f t="shared" si="151"/>
        <v>727.84485224063019</v>
      </c>
      <c r="AP278" s="146">
        <f t="shared" si="151"/>
        <v>764.2370948526617</v>
      </c>
      <c r="AQ278" s="146">
        <f t="shared" si="151"/>
        <v>802.44894959529483</v>
      </c>
      <c r="AR278" s="146">
        <f t="shared" si="151"/>
        <v>842.57139707505962</v>
      </c>
      <c r="AS278" s="146">
        <f t="shared" si="151"/>
        <v>884.69996692881261</v>
      </c>
      <c r="AT278" s="146">
        <f t="shared" si="151"/>
        <v>928.93496527525326</v>
      </c>
      <c r="AU278" s="146">
        <f t="shared" si="151"/>
        <v>975.38171353901589</v>
      </c>
      <c r="AV278" s="146">
        <f t="shared" si="151"/>
        <v>1024.1507992159668</v>
      </c>
    </row>
    <row r="279" spans="1:48" ht="15" customHeight="1">
      <c r="E279" s="128" t="s">
        <v>134</v>
      </c>
      <c r="F279" s="142"/>
      <c r="G279" s="142" t="s">
        <v>29</v>
      </c>
      <c r="H279" s="142"/>
      <c r="I279" s="142"/>
      <c r="J279" s="142">
        <f xml:space="preserve"> SUM(L279:AV279)</f>
        <v>397.55362247767425</v>
      </c>
      <c r="K279" s="142"/>
      <c r="L279" s="142">
        <f t="shared" ref="L279:AV279" si="152" xml:space="preserve"> (L278)  * $F273</f>
        <v>0</v>
      </c>
      <c r="M279" s="142">
        <f t="shared" si="152"/>
        <v>0</v>
      </c>
      <c r="N279" s="142">
        <f t="shared" si="152"/>
        <v>0</v>
      </c>
      <c r="O279" s="142">
        <f t="shared" si="152"/>
        <v>0.21161008323613217</v>
      </c>
      <c r="P279" s="142">
        <f t="shared" si="152"/>
        <v>0</v>
      </c>
      <c r="Q279" s="142">
        <f t="shared" si="152"/>
        <v>0</v>
      </c>
      <c r="R279" s="142">
        <f t="shared" si="152"/>
        <v>0</v>
      </c>
      <c r="S279" s="142">
        <f t="shared" si="152"/>
        <v>0</v>
      </c>
      <c r="T279" s="142">
        <f t="shared" si="152"/>
        <v>0</v>
      </c>
      <c r="U279" s="142">
        <f t="shared" si="152"/>
        <v>0</v>
      </c>
      <c r="V279" s="142">
        <f t="shared" si="152"/>
        <v>0</v>
      </c>
      <c r="W279" s="142">
        <f t="shared" si="152"/>
        <v>1.1125</v>
      </c>
      <c r="X279" s="142">
        <f t="shared" si="152"/>
        <v>2.3491508243390942</v>
      </c>
      <c r="Y279" s="142">
        <f t="shared" si="152"/>
        <v>0</v>
      </c>
      <c r="Z279" s="142">
        <f t="shared" si="152"/>
        <v>0.82049118593152182</v>
      </c>
      <c r="AA279" s="142">
        <f t="shared" si="152"/>
        <v>0</v>
      </c>
      <c r="AB279" s="142">
        <f t="shared" si="152"/>
        <v>0</v>
      </c>
      <c r="AC279" s="142">
        <f t="shared" si="152"/>
        <v>0</v>
      </c>
      <c r="AD279" s="142">
        <f t="shared" si="152"/>
        <v>0</v>
      </c>
      <c r="AE279" s="142">
        <f t="shared" si="152"/>
        <v>0</v>
      </c>
      <c r="AF279" s="142">
        <f t="shared" si="152"/>
        <v>0</v>
      </c>
      <c r="AG279" s="142">
        <f t="shared" si="152"/>
        <v>0</v>
      </c>
      <c r="AH279" s="142">
        <f t="shared" si="152"/>
        <v>0</v>
      </c>
      <c r="AI279" s="142">
        <f t="shared" si="152"/>
        <v>0</v>
      </c>
      <c r="AJ279" s="142">
        <f t="shared" si="152"/>
        <v>0</v>
      </c>
      <c r="AK279" s="142">
        <f t="shared" si="152"/>
        <v>4.6244195599388975</v>
      </c>
      <c r="AL279" s="142">
        <f t="shared" si="152"/>
        <v>8.0925911347273676</v>
      </c>
      <c r="AM279" s="142">
        <f t="shared" si="152"/>
        <v>11.825135685140836</v>
      </c>
      <c r="AN279" s="142">
        <f t="shared" si="152"/>
        <v>21.004237068225635</v>
      </c>
      <c r="AO279" s="142">
        <f t="shared" si="152"/>
        <v>36.392242612031509</v>
      </c>
      <c r="AP279" s="142">
        <f t="shared" si="152"/>
        <v>38.211854742633086</v>
      </c>
      <c r="AQ279" s="142">
        <f t="shared" si="152"/>
        <v>40.122447479764745</v>
      </c>
      <c r="AR279" s="142">
        <f t="shared" si="152"/>
        <v>42.128569853752985</v>
      </c>
      <c r="AS279" s="142">
        <f t="shared" si="152"/>
        <v>44.234998346440634</v>
      </c>
      <c r="AT279" s="142">
        <f t="shared" si="152"/>
        <v>46.446748263762665</v>
      </c>
      <c r="AU279" s="142">
        <f t="shared" si="152"/>
        <v>48.769085676950795</v>
      </c>
      <c r="AV279" s="142">
        <f t="shared" si="152"/>
        <v>51.207539960798343</v>
      </c>
    </row>
    <row r="280" spans="1:48" ht="15" customHeight="1">
      <c r="E280" s="128" t="s">
        <v>135</v>
      </c>
      <c r="F280" s="142"/>
      <c r="G280" s="142" t="s">
        <v>29</v>
      </c>
      <c r="H280" s="142"/>
      <c r="I280" s="142"/>
      <c r="J280" s="142">
        <f xml:space="preserve"> SUM(L280:AV280)</f>
        <v>-677.80471669909082</v>
      </c>
      <c r="K280" s="142"/>
      <c r="L280" s="143">
        <f xml:space="preserve"> MIN(L278 + L279, L270)</f>
        <v>0</v>
      </c>
      <c r="M280" s="143">
        <f t="shared" ref="M280:AV280" si="153" xml:space="preserve"> MIN(M278 + M279, M270)</f>
        <v>0</v>
      </c>
      <c r="N280" s="143">
        <f t="shared" si="153"/>
        <v>-4.232201664722643</v>
      </c>
      <c r="O280" s="143">
        <f t="shared" si="153"/>
        <v>4.4438117479587751</v>
      </c>
      <c r="P280" s="143">
        <f t="shared" si="153"/>
        <v>0</v>
      </c>
      <c r="Q280" s="143">
        <f t="shared" si="153"/>
        <v>0</v>
      </c>
      <c r="R280" s="143">
        <f t="shared" si="153"/>
        <v>0</v>
      </c>
      <c r="S280" s="143">
        <f t="shared" si="153"/>
        <v>0</v>
      </c>
      <c r="T280" s="143">
        <f t="shared" si="153"/>
        <v>0</v>
      </c>
      <c r="U280" s="143">
        <f t="shared" si="153"/>
        <v>0</v>
      </c>
      <c r="V280" s="143">
        <f t="shared" si="153"/>
        <v>-22.25</v>
      </c>
      <c r="W280" s="143">
        <f t="shared" si="153"/>
        <v>-23.620516486781881</v>
      </c>
      <c r="X280" s="143">
        <f t="shared" si="153"/>
        <v>49.332167311120969</v>
      </c>
      <c r="Y280" s="143">
        <f t="shared" si="153"/>
        <v>-16.409823718630435</v>
      </c>
      <c r="Z280" s="143">
        <f t="shared" si="153"/>
        <v>17.230314904561958</v>
      </c>
      <c r="AA280" s="143">
        <f t="shared" si="153"/>
        <v>0</v>
      </c>
      <c r="AB280" s="143">
        <f t="shared" si="153"/>
        <v>0</v>
      </c>
      <c r="AC280" s="143">
        <f t="shared" si="153"/>
        <v>0</v>
      </c>
      <c r="AD280" s="143">
        <f t="shared" si="153"/>
        <v>0</v>
      </c>
      <c r="AE280" s="143">
        <f t="shared" si="153"/>
        <v>0</v>
      </c>
      <c r="AF280" s="143">
        <f t="shared" si="153"/>
        <v>0</v>
      </c>
      <c r="AG280" s="143">
        <f t="shared" si="153"/>
        <v>0</v>
      </c>
      <c r="AH280" s="143">
        <f t="shared" si="153"/>
        <v>0</v>
      </c>
      <c r="AI280" s="143">
        <f t="shared" si="153"/>
        <v>0</v>
      </c>
      <c r="AJ280" s="143">
        <f t="shared" si="153"/>
        <v>-92.488391198777947</v>
      </c>
      <c r="AK280" s="143">
        <f t="shared" si="153"/>
        <v>-64.73901193583049</v>
      </c>
      <c r="AL280" s="143">
        <f t="shared" si="153"/>
        <v>-66.558299873542012</v>
      </c>
      <c r="AM280" s="143">
        <f t="shared" si="153"/>
        <v>-171.75689197655515</v>
      </c>
      <c r="AN280" s="143">
        <f t="shared" si="153"/>
        <v>-286.75587380789193</v>
      </c>
      <c r="AO280" s="143">
        <f t="shared" si="153"/>
        <v>0</v>
      </c>
      <c r="AP280" s="143">
        <f t="shared" si="153"/>
        <v>0</v>
      </c>
      <c r="AQ280" s="143">
        <f t="shared" si="153"/>
        <v>0</v>
      </c>
      <c r="AR280" s="143">
        <f t="shared" si="153"/>
        <v>0</v>
      </c>
      <c r="AS280" s="143">
        <f t="shared" si="153"/>
        <v>0</v>
      </c>
      <c r="AT280" s="143">
        <f t="shared" si="153"/>
        <v>0</v>
      </c>
      <c r="AU280" s="143">
        <f t="shared" si="153"/>
        <v>0</v>
      </c>
      <c r="AV280" s="143">
        <f t="shared" si="153"/>
        <v>0</v>
      </c>
    </row>
    <row r="281" spans="1:48" ht="15" customHeight="1">
      <c r="E281" s="127" t="s">
        <v>136</v>
      </c>
      <c r="F281" s="140"/>
      <c r="G281" s="140" t="s">
        <v>29</v>
      </c>
      <c r="H281" s="140"/>
      <c r="I281" s="140"/>
      <c r="J281" s="140"/>
      <c r="K281" s="480"/>
      <c r="L281" s="140">
        <f t="shared" ref="L281:AV281" si="154" xml:space="preserve"> L278 + L279 - L280</f>
        <v>0</v>
      </c>
      <c r="M281" s="140">
        <f t="shared" si="154"/>
        <v>0</v>
      </c>
      <c r="N281" s="140">
        <f t="shared" si="154"/>
        <v>4.232201664722643</v>
      </c>
      <c r="O281" s="140">
        <f t="shared" si="154"/>
        <v>0</v>
      </c>
      <c r="P281" s="140">
        <f t="shared" si="154"/>
        <v>0</v>
      </c>
      <c r="Q281" s="140">
        <f t="shared" si="154"/>
        <v>0</v>
      </c>
      <c r="R281" s="140">
        <f t="shared" si="154"/>
        <v>0</v>
      </c>
      <c r="S281" s="140">
        <f t="shared" si="154"/>
        <v>0</v>
      </c>
      <c r="T281" s="140">
        <f t="shared" si="154"/>
        <v>0</v>
      </c>
      <c r="U281" s="140">
        <f t="shared" si="154"/>
        <v>0</v>
      </c>
      <c r="V281" s="140">
        <f t="shared" si="154"/>
        <v>22.25</v>
      </c>
      <c r="W281" s="140">
        <f t="shared" si="154"/>
        <v>46.983016486781878</v>
      </c>
      <c r="X281" s="140">
        <f t="shared" si="154"/>
        <v>0</v>
      </c>
      <c r="Y281" s="140">
        <f t="shared" si="154"/>
        <v>16.409823718630435</v>
      </c>
      <c r="Z281" s="140">
        <f t="shared" si="154"/>
        <v>0</v>
      </c>
      <c r="AA281" s="140">
        <f t="shared" si="154"/>
        <v>0</v>
      </c>
      <c r="AB281" s="140">
        <f t="shared" si="154"/>
        <v>0</v>
      </c>
      <c r="AC281" s="140">
        <f t="shared" si="154"/>
        <v>0</v>
      </c>
      <c r="AD281" s="140">
        <f t="shared" si="154"/>
        <v>0</v>
      </c>
      <c r="AE281" s="140">
        <f t="shared" si="154"/>
        <v>0</v>
      </c>
      <c r="AF281" s="140">
        <f t="shared" si="154"/>
        <v>0</v>
      </c>
      <c r="AG281" s="140">
        <f t="shared" si="154"/>
        <v>0</v>
      </c>
      <c r="AH281" s="140">
        <f t="shared" si="154"/>
        <v>0</v>
      </c>
      <c r="AI281" s="140">
        <f t="shared" si="154"/>
        <v>0</v>
      </c>
      <c r="AJ281" s="140">
        <f t="shared" si="154"/>
        <v>92.488391198777947</v>
      </c>
      <c r="AK281" s="140">
        <f t="shared" si="154"/>
        <v>161.85182269454734</v>
      </c>
      <c r="AL281" s="140">
        <f t="shared" si="154"/>
        <v>236.50271370281672</v>
      </c>
      <c r="AM281" s="140">
        <f t="shared" si="154"/>
        <v>420.08474136451269</v>
      </c>
      <c r="AN281" s="140">
        <f t="shared" si="154"/>
        <v>727.84485224063019</v>
      </c>
      <c r="AO281" s="140">
        <f t="shared" si="154"/>
        <v>764.2370948526617</v>
      </c>
      <c r="AP281" s="140">
        <f t="shared" si="154"/>
        <v>802.44894959529483</v>
      </c>
      <c r="AQ281" s="140">
        <f t="shared" si="154"/>
        <v>842.57139707505962</v>
      </c>
      <c r="AR281" s="140">
        <f t="shared" si="154"/>
        <v>884.69996692881261</v>
      </c>
      <c r="AS281" s="140">
        <f t="shared" si="154"/>
        <v>928.93496527525326</v>
      </c>
      <c r="AT281" s="140">
        <f t="shared" si="154"/>
        <v>975.38171353901589</v>
      </c>
      <c r="AU281" s="140">
        <f t="shared" si="154"/>
        <v>1024.1507992159668</v>
      </c>
      <c r="AV281" s="140">
        <f t="shared" si="154"/>
        <v>1075.3583391767652</v>
      </c>
    </row>
    <row r="282" spans="1:48" ht="15" customHeight="1">
      <c r="F282" s="123"/>
      <c r="G282" s="123"/>
      <c r="H282" s="123"/>
      <c r="I282" s="123"/>
      <c r="J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3"/>
      <c r="AC282" s="123"/>
      <c r="AD282" s="123"/>
      <c r="AE282" s="123"/>
      <c r="AF282" s="123"/>
      <c r="AG282" s="123"/>
      <c r="AH282" s="123"/>
      <c r="AI282" s="123"/>
      <c r="AJ282" s="123"/>
      <c r="AK282" s="123"/>
      <c r="AL282" s="123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3"/>
    </row>
    <row r="283" spans="1:48" ht="15" customHeight="1">
      <c r="E283" s="110" t="s">
        <v>137</v>
      </c>
      <c r="F283" s="123"/>
      <c r="G283" s="123" t="s">
        <v>29</v>
      </c>
      <c r="H283" s="123"/>
      <c r="I283" s="123"/>
      <c r="J283" s="123">
        <f xml:space="preserve"> SUM(L283:AV283)</f>
        <v>3041.8751352656677</v>
      </c>
      <c r="L283" s="123">
        <f t="shared" ref="L283:AV283" si="155" xml:space="preserve"> L270 - L280</f>
        <v>0</v>
      </c>
      <c r="M283" s="123">
        <f t="shared" si="155"/>
        <v>0</v>
      </c>
      <c r="N283" s="123">
        <f t="shared" si="155"/>
        <v>0</v>
      </c>
      <c r="O283" s="123">
        <f t="shared" si="155"/>
        <v>52.672287528903745</v>
      </c>
      <c r="P283" s="211">
        <f t="shared" si="155"/>
        <v>100.86581069826894</v>
      </c>
      <c r="Q283" s="123">
        <f t="shared" si="155"/>
        <v>24.418735165635795</v>
      </c>
      <c r="R283" s="123">
        <f t="shared" si="155"/>
        <v>5.5096263997638744</v>
      </c>
      <c r="S283" s="123">
        <f t="shared" si="155"/>
        <v>24.871664280536748</v>
      </c>
      <c r="T283" s="123">
        <f t="shared" si="155"/>
        <v>136.02641064560396</v>
      </c>
      <c r="U283" s="123">
        <f t="shared" si="155"/>
        <v>68.385981415974669</v>
      </c>
      <c r="V283" s="123">
        <f t="shared" si="155"/>
        <v>0</v>
      </c>
      <c r="W283" s="123">
        <f t="shared" si="155"/>
        <v>0</v>
      </c>
      <c r="X283" s="123">
        <f t="shared" si="155"/>
        <v>163.03801002214365</v>
      </c>
      <c r="Y283" s="123">
        <f t="shared" si="155"/>
        <v>0</v>
      </c>
      <c r="Z283" s="123">
        <f t="shared" si="155"/>
        <v>112.26439190918825</v>
      </c>
      <c r="AA283" s="123">
        <f t="shared" si="155"/>
        <v>271.41663704029941</v>
      </c>
      <c r="AB283" s="123">
        <f t="shared" si="155"/>
        <v>293.5886342548016</v>
      </c>
      <c r="AC283" s="123">
        <f t="shared" si="155"/>
        <v>307.82497603766831</v>
      </c>
      <c r="AD283" s="123">
        <f t="shared" si="155"/>
        <v>332.55125559412875</v>
      </c>
      <c r="AE283" s="123">
        <f t="shared" si="155"/>
        <v>311.73698795612552</v>
      </c>
      <c r="AF283" s="123">
        <f t="shared" si="155"/>
        <v>281.97599939057432</v>
      </c>
      <c r="AG283" s="123">
        <f t="shared" si="155"/>
        <v>271.05420917908828</v>
      </c>
      <c r="AH283" s="123">
        <f t="shared" si="155"/>
        <v>232.22559784384879</v>
      </c>
      <c r="AI283" s="123">
        <f t="shared" si="155"/>
        <v>51.447919903112449</v>
      </c>
      <c r="AJ283" s="123">
        <f t="shared" si="155"/>
        <v>0</v>
      </c>
      <c r="AK283" s="123">
        <f t="shared" si="155"/>
        <v>0</v>
      </c>
      <c r="AL283" s="123">
        <f t="shared" si="155"/>
        <v>0</v>
      </c>
      <c r="AM283" s="123">
        <f t="shared" si="155"/>
        <v>0</v>
      </c>
      <c r="AN283" s="123">
        <f t="shared" si="155"/>
        <v>0</v>
      </c>
      <c r="AO283" s="123">
        <f t="shared" si="155"/>
        <v>0</v>
      </c>
      <c r="AP283" s="123">
        <f t="shared" si="155"/>
        <v>0</v>
      </c>
      <c r="AQ283" s="123">
        <f t="shared" si="155"/>
        <v>0</v>
      </c>
      <c r="AR283" s="123">
        <f t="shared" si="155"/>
        <v>0</v>
      </c>
      <c r="AS283" s="123">
        <f t="shared" si="155"/>
        <v>0</v>
      </c>
      <c r="AT283" s="123">
        <f t="shared" si="155"/>
        <v>0</v>
      </c>
      <c r="AU283" s="123">
        <f t="shared" si="155"/>
        <v>0</v>
      </c>
      <c r="AV283" s="123">
        <f t="shared" si="155"/>
        <v>0</v>
      </c>
    </row>
    <row r="284" spans="1:48" ht="15" customHeight="1">
      <c r="F284" s="123"/>
      <c r="G284" s="123"/>
      <c r="H284" s="123"/>
      <c r="I284" s="123"/>
      <c r="J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3"/>
      <c r="AC284" s="123"/>
      <c r="AD284" s="123"/>
      <c r="AE284" s="123"/>
      <c r="AF284" s="123"/>
      <c r="AG284" s="123"/>
      <c r="AH284" s="123"/>
      <c r="AI284" s="123"/>
      <c r="AJ284" s="123"/>
      <c r="AK284" s="123"/>
      <c r="AL284" s="123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3"/>
    </row>
    <row r="285" spans="1:48" s="160" customFormat="1" ht="15" customHeight="1">
      <c r="A285" s="164" t="s">
        <v>138</v>
      </c>
      <c r="B285" s="162"/>
      <c r="C285" s="192"/>
      <c r="D285" s="163"/>
      <c r="E285" s="162"/>
      <c r="F285" s="162"/>
      <c r="G285" s="162"/>
      <c r="H285" s="162"/>
    </row>
    <row r="286" spans="1:48" s="229" customFormat="1" ht="15" customHeight="1">
      <c r="A286" s="225"/>
      <c r="B286" s="226"/>
      <c r="C286" s="227"/>
      <c r="D286" s="228"/>
      <c r="E286" s="226"/>
      <c r="F286" s="226"/>
      <c r="G286" s="226"/>
      <c r="H286" s="226"/>
    </row>
    <row r="287" spans="1:48" ht="15" customHeight="1">
      <c r="B287" s="111" t="s">
        <v>139</v>
      </c>
      <c r="F287" s="123"/>
      <c r="G287" s="123"/>
      <c r="H287" s="123"/>
      <c r="I287" s="123"/>
      <c r="J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</row>
    <row r="288" spans="1:48" s="3" customFormat="1" ht="15" customHeight="1">
      <c r="A288" s="95"/>
      <c r="B288" s="95"/>
      <c r="C288" s="201"/>
      <c r="E288" s="3" t="str">
        <f t="shared" ref="E288:AV288" si="156" xml:space="preserve"> E$242</f>
        <v>Cashflow after tax</v>
      </c>
      <c r="F288" s="3">
        <f t="shared" si="156"/>
        <v>0</v>
      </c>
      <c r="G288" s="3" t="str">
        <f t="shared" si="156"/>
        <v>$ mn</v>
      </c>
      <c r="H288" s="3">
        <f t="shared" si="156"/>
        <v>0</v>
      </c>
      <c r="I288" s="3">
        <f t="shared" si="156"/>
        <v>0</v>
      </c>
      <c r="J288" s="3">
        <f t="shared" si="156"/>
        <v>9456.2816742663035</v>
      </c>
      <c r="K288" s="3">
        <f t="shared" si="156"/>
        <v>0</v>
      </c>
      <c r="L288" s="3">
        <f t="shared" si="156"/>
        <v>0</v>
      </c>
      <c r="M288" s="3">
        <f t="shared" si="156"/>
        <v>0</v>
      </c>
      <c r="N288" s="3">
        <f t="shared" si="156"/>
        <v>-16.928806658890572</v>
      </c>
      <c r="O288" s="3">
        <f t="shared" si="156"/>
        <v>228.46439710745008</v>
      </c>
      <c r="P288" s="3">
        <f t="shared" si="156"/>
        <v>403.46324279307578</v>
      </c>
      <c r="Q288" s="3">
        <f t="shared" si="156"/>
        <v>97.674940662543179</v>
      </c>
      <c r="R288" s="3">
        <f t="shared" si="156"/>
        <v>22.038505599055497</v>
      </c>
      <c r="S288" s="3">
        <f t="shared" si="156"/>
        <v>99.486657122146994</v>
      </c>
      <c r="T288" s="3">
        <f t="shared" si="156"/>
        <v>544.10564258241584</v>
      </c>
      <c r="U288" s="3">
        <f t="shared" si="156"/>
        <v>273.54392566389868</v>
      </c>
      <c r="V288" s="3">
        <f t="shared" si="156"/>
        <v>-89</v>
      </c>
      <c r="W288" s="3">
        <f t="shared" si="156"/>
        <v>-94.482065947127523</v>
      </c>
      <c r="X288" s="3">
        <f t="shared" si="156"/>
        <v>849.48070933305848</v>
      </c>
      <c r="Y288" s="3">
        <f t="shared" si="156"/>
        <v>-65.639294874521738</v>
      </c>
      <c r="Z288" s="3">
        <f t="shared" si="156"/>
        <v>517.97882725500085</v>
      </c>
      <c r="AA288" s="3">
        <f t="shared" si="156"/>
        <v>1085.6665481611976</v>
      </c>
      <c r="AB288" s="3">
        <f t="shared" si="156"/>
        <v>1174.3545370192064</v>
      </c>
      <c r="AC288" s="3">
        <f t="shared" si="156"/>
        <v>1231.2999041506732</v>
      </c>
      <c r="AD288" s="3">
        <f t="shared" si="156"/>
        <v>1330.205022376515</v>
      </c>
      <c r="AE288" s="3">
        <f t="shared" si="156"/>
        <v>1246.9479518245021</v>
      </c>
      <c r="AF288" s="3">
        <f t="shared" si="156"/>
        <v>1127.9039975622973</v>
      </c>
      <c r="AG288" s="3">
        <f t="shared" si="156"/>
        <v>1084.2168367163531</v>
      </c>
      <c r="AH288" s="3">
        <f t="shared" si="156"/>
        <v>928.90239137539515</v>
      </c>
      <c r="AI288" s="3">
        <f t="shared" si="156"/>
        <v>205.7916796124498</v>
      </c>
      <c r="AJ288" s="3">
        <f t="shared" si="156"/>
        <v>-369.95356479511179</v>
      </c>
      <c r="AK288" s="3">
        <f t="shared" si="156"/>
        <v>-258.95604774332196</v>
      </c>
      <c r="AL288" s="3">
        <f t="shared" si="156"/>
        <v>-266.23319949416805</v>
      </c>
      <c r="AM288" s="3">
        <f t="shared" si="156"/>
        <v>-687.02756790622061</v>
      </c>
      <c r="AN288" s="3">
        <f t="shared" si="156"/>
        <v>-1147.0234952315677</v>
      </c>
      <c r="AO288" s="3">
        <f t="shared" si="156"/>
        <v>0</v>
      </c>
      <c r="AP288" s="3">
        <f t="shared" si="156"/>
        <v>0</v>
      </c>
      <c r="AQ288" s="3">
        <f t="shared" si="156"/>
        <v>0</v>
      </c>
      <c r="AR288" s="3">
        <f t="shared" si="156"/>
        <v>0</v>
      </c>
      <c r="AS288" s="3">
        <f t="shared" si="156"/>
        <v>0</v>
      </c>
      <c r="AT288" s="3">
        <f t="shared" si="156"/>
        <v>0</v>
      </c>
      <c r="AU288" s="3">
        <f t="shared" si="156"/>
        <v>0</v>
      </c>
      <c r="AV288" s="3">
        <f t="shared" si="156"/>
        <v>0</v>
      </c>
    </row>
    <row r="289" spans="1:48" s="3" customFormat="1" ht="15" customHeight="1">
      <c r="A289" s="95"/>
      <c r="B289" s="95"/>
      <c r="C289" s="201"/>
      <c r="E289" s="3" t="str">
        <f t="shared" ref="E289:AV289" si="157" xml:space="preserve"> E$283</f>
        <v>Gecamines net cashflow after debt repayment</v>
      </c>
      <c r="F289" s="3">
        <f t="shared" si="157"/>
        <v>0</v>
      </c>
      <c r="G289" s="3" t="str">
        <f t="shared" si="157"/>
        <v>$ mn</v>
      </c>
      <c r="H289" s="3">
        <f t="shared" si="157"/>
        <v>0</v>
      </c>
      <c r="I289" s="3">
        <f t="shared" si="157"/>
        <v>0</v>
      </c>
      <c r="J289" s="3">
        <f t="shared" si="157"/>
        <v>3041.8751352656677</v>
      </c>
      <c r="K289" s="3">
        <f t="shared" si="157"/>
        <v>0</v>
      </c>
      <c r="L289" s="3">
        <f t="shared" si="157"/>
        <v>0</v>
      </c>
      <c r="M289" s="3">
        <f t="shared" si="157"/>
        <v>0</v>
      </c>
      <c r="N289" s="3">
        <f t="shared" si="157"/>
        <v>0</v>
      </c>
      <c r="O289" s="3">
        <f t="shared" si="157"/>
        <v>52.672287528903745</v>
      </c>
      <c r="P289" s="3">
        <f t="shared" si="157"/>
        <v>100.86581069826894</v>
      </c>
      <c r="Q289" s="3">
        <f t="shared" si="157"/>
        <v>24.418735165635795</v>
      </c>
      <c r="R289" s="3">
        <f t="shared" si="157"/>
        <v>5.5096263997638744</v>
      </c>
      <c r="S289" s="3">
        <f t="shared" si="157"/>
        <v>24.871664280536748</v>
      </c>
      <c r="T289" s="3">
        <f t="shared" si="157"/>
        <v>136.02641064560396</v>
      </c>
      <c r="U289" s="3">
        <f t="shared" si="157"/>
        <v>68.385981415974669</v>
      </c>
      <c r="V289" s="3">
        <f t="shared" si="157"/>
        <v>0</v>
      </c>
      <c r="W289" s="3">
        <f t="shared" si="157"/>
        <v>0</v>
      </c>
      <c r="X289" s="3">
        <f t="shared" si="157"/>
        <v>163.03801002214365</v>
      </c>
      <c r="Y289" s="3">
        <f t="shared" si="157"/>
        <v>0</v>
      </c>
      <c r="Z289" s="3">
        <f t="shared" si="157"/>
        <v>112.26439190918825</v>
      </c>
      <c r="AA289" s="3">
        <f t="shared" si="157"/>
        <v>271.41663704029941</v>
      </c>
      <c r="AB289" s="3">
        <f t="shared" si="157"/>
        <v>293.5886342548016</v>
      </c>
      <c r="AC289" s="3">
        <f t="shared" si="157"/>
        <v>307.82497603766831</v>
      </c>
      <c r="AD289" s="3">
        <f t="shared" si="157"/>
        <v>332.55125559412875</v>
      </c>
      <c r="AE289" s="3">
        <f t="shared" si="157"/>
        <v>311.73698795612552</v>
      </c>
      <c r="AF289" s="3">
        <f t="shared" si="157"/>
        <v>281.97599939057432</v>
      </c>
      <c r="AG289" s="3">
        <f t="shared" si="157"/>
        <v>271.05420917908828</v>
      </c>
      <c r="AH289" s="3">
        <f t="shared" si="157"/>
        <v>232.22559784384879</v>
      </c>
      <c r="AI289" s="3">
        <f t="shared" si="157"/>
        <v>51.447919903112449</v>
      </c>
      <c r="AJ289" s="3">
        <f t="shared" si="157"/>
        <v>0</v>
      </c>
      <c r="AK289" s="3">
        <f t="shared" si="157"/>
        <v>0</v>
      </c>
      <c r="AL289" s="3">
        <f t="shared" si="157"/>
        <v>0</v>
      </c>
      <c r="AM289" s="3">
        <f t="shared" si="157"/>
        <v>0</v>
      </c>
      <c r="AN289" s="3">
        <f t="shared" si="157"/>
        <v>0</v>
      </c>
      <c r="AO289" s="3">
        <f t="shared" si="157"/>
        <v>0</v>
      </c>
      <c r="AP289" s="3">
        <f t="shared" si="157"/>
        <v>0</v>
      </c>
      <c r="AQ289" s="3">
        <f t="shared" si="157"/>
        <v>0</v>
      </c>
      <c r="AR289" s="3">
        <f t="shared" si="157"/>
        <v>0</v>
      </c>
      <c r="AS289" s="3">
        <f t="shared" si="157"/>
        <v>0</v>
      </c>
      <c r="AT289" s="3">
        <f t="shared" si="157"/>
        <v>0</v>
      </c>
      <c r="AU289" s="3">
        <f t="shared" si="157"/>
        <v>0</v>
      </c>
      <c r="AV289" s="3">
        <f t="shared" si="157"/>
        <v>0</v>
      </c>
    </row>
    <row r="290" spans="1:48" ht="15" customHeight="1">
      <c r="E290" s="110" t="s">
        <v>140</v>
      </c>
      <c r="F290" s="123"/>
      <c r="G290" s="123" t="s">
        <v>29</v>
      </c>
      <c r="H290" s="123"/>
      <c r="I290" s="123"/>
      <c r="J290" s="123">
        <f xml:space="preserve"> SUM(L290:AV290)</f>
        <v>6414.4065390006353</v>
      </c>
      <c r="L290" s="123">
        <f t="shared" ref="L290:AV290" si="158" xml:space="preserve"> L288 - L289</f>
        <v>0</v>
      </c>
      <c r="M290" s="123">
        <f t="shared" si="158"/>
        <v>0</v>
      </c>
      <c r="N290" s="123">
        <f t="shared" si="158"/>
        <v>-16.928806658890572</v>
      </c>
      <c r="O290" s="123">
        <f t="shared" si="158"/>
        <v>175.79210957854633</v>
      </c>
      <c r="P290" s="123">
        <f t="shared" si="158"/>
        <v>302.59743209480683</v>
      </c>
      <c r="Q290" s="123">
        <f t="shared" si="158"/>
        <v>73.256205496907384</v>
      </c>
      <c r="R290" s="123">
        <f t="shared" si="158"/>
        <v>16.528879199291623</v>
      </c>
      <c r="S290" s="123">
        <f t="shared" si="158"/>
        <v>74.614992841610245</v>
      </c>
      <c r="T290" s="123">
        <f t="shared" si="158"/>
        <v>408.07923193681188</v>
      </c>
      <c r="U290" s="123">
        <f t="shared" si="158"/>
        <v>205.15794424792401</v>
      </c>
      <c r="V290" s="123">
        <f t="shared" si="158"/>
        <v>-89</v>
      </c>
      <c r="W290" s="123">
        <f t="shared" si="158"/>
        <v>-94.482065947127523</v>
      </c>
      <c r="X290" s="123">
        <f t="shared" si="158"/>
        <v>686.4426993109148</v>
      </c>
      <c r="Y290" s="123">
        <f t="shared" si="158"/>
        <v>-65.639294874521738</v>
      </c>
      <c r="Z290" s="123">
        <f t="shared" si="158"/>
        <v>405.7144353458126</v>
      </c>
      <c r="AA290" s="123">
        <f t="shared" si="158"/>
        <v>814.24991112089822</v>
      </c>
      <c r="AB290" s="123">
        <f t="shared" si="158"/>
        <v>880.76590276440481</v>
      </c>
      <c r="AC290" s="123">
        <f t="shared" si="158"/>
        <v>923.47492811300492</v>
      </c>
      <c r="AD290" s="123">
        <f t="shared" si="158"/>
        <v>997.65376678238624</v>
      </c>
      <c r="AE290" s="123">
        <f t="shared" si="158"/>
        <v>935.21096386837655</v>
      </c>
      <c r="AF290" s="123">
        <f t="shared" si="158"/>
        <v>845.92799817172295</v>
      </c>
      <c r="AG290" s="123">
        <f t="shared" si="158"/>
        <v>813.16262753726483</v>
      </c>
      <c r="AH290" s="123">
        <f t="shared" si="158"/>
        <v>696.67679353154631</v>
      </c>
      <c r="AI290" s="123">
        <f t="shared" si="158"/>
        <v>154.34375970933735</v>
      </c>
      <c r="AJ290" s="123">
        <f t="shared" si="158"/>
        <v>-369.95356479511179</v>
      </c>
      <c r="AK290" s="123">
        <f t="shared" si="158"/>
        <v>-258.95604774332196</v>
      </c>
      <c r="AL290" s="123">
        <f t="shared" si="158"/>
        <v>-266.23319949416805</v>
      </c>
      <c r="AM290" s="123">
        <f t="shared" si="158"/>
        <v>-687.02756790622061</v>
      </c>
      <c r="AN290" s="123">
        <f t="shared" si="158"/>
        <v>-1147.0234952315677</v>
      </c>
      <c r="AO290" s="123">
        <f t="shared" si="158"/>
        <v>0</v>
      </c>
      <c r="AP290" s="123">
        <f t="shared" si="158"/>
        <v>0</v>
      </c>
      <c r="AQ290" s="123">
        <f t="shared" si="158"/>
        <v>0</v>
      </c>
      <c r="AR290" s="123">
        <f t="shared" si="158"/>
        <v>0</v>
      </c>
      <c r="AS290" s="123">
        <f t="shared" si="158"/>
        <v>0</v>
      </c>
      <c r="AT290" s="123">
        <f t="shared" si="158"/>
        <v>0</v>
      </c>
      <c r="AU290" s="123">
        <f t="shared" si="158"/>
        <v>0</v>
      </c>
      <c r="AV290" s="123">
        <f t="shared" si="158"/>
        <v>0</v>
      </c>
    </row>
    <row r="291" spans="1:48" ht="15" customHeight="1">
      <c r="F291" s="123"/>
      <c r="G291" s="123"/>
      <c r="H291" s="123"/>
      <c r="I291" s="123"/>
      <c r="J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3"/>
      <c r="AC291" s="123"/>
      <c r="AD291" s="123"/>
      <c r="AE291" s="123"/>
      <c r="AF291" s="123"/>
      <c r="AG291" s="123"/>
      <c r="AH291" s="123"/>
      <c r="AI291" s="123"/>
      <c r="AJ291" s="123"/>
      <c r="AK291" s="123"/>
      <c r="AL291" s="123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3"/>
    </row>
    <row r="292" spans="1:48" ht="15" customHeight="1">
      <c r="B292" s="111" t="s">
        <v>141</v>
      </c>
    </row>
    <row r="293" spans="1:48" ht="15" customHeight="1">
      <c r="D293" s="121"/>
      <c r="E293" s="37" t="s">
        <v>142</v>
      </c>
      <c r="F293" s="126">
        <v>0.1</v>
      </c>
      <c r="G293" s="37" t="s">
        <v>26</v>
      </c>
      <c r="H293" s="37"/>
      <c r="I293" s="69" t="str">
        <f xml:space="preserve"> Sources!$I$59</f>
        <v>XLVII</v>
      </c>
    </row>
    <row r="294" spans="1:48" ht="15" customHeight="1">
      <c r="D294" s="121"/>
      <c r="E294" s="37" t="s">
        <v>143</v>
      </c>
      <c r="F294" s="125">
        <v>2011</v>
      </c>
      <c r="G294" s="37" t="s">
        <v>62</v>
      </c>
      <c r="H294" s="37"/>
      <c r="I294" s="69"/>
    </row>
    <row r="295" spans="1:48" ht="15" customHeight="1">
      <c r="D295" s="121"/>
      <c r="E295" s="37" t="s">
        <v>144</v>
      </c>
      <c r="F295" s="125">
        <v>2019</v>
      </c>
      <c r="G295" s="37" t="s">
        <v>62</v>
      </c>
      <c r="H295" s="37"/>
      <c r="I295" s="69"/>
    </row>
    <row r="296" spans="1:48" s="93" customFormat="1" ht="15" customHeight="1">
      <c r="A296" s="92"/>
      <c r="B296" s="92"/>
      <c r="C296" s="149"/>
      <c r="D296" s="183"/>
      <c r="E296" s="176" t="str">
        <f xml:space="preserve"> 'T&amp;E'!E$9</f>
        <v>Model calendar year</v>
      </c>
      <c r="F296" s="176">
        <f xml:space="preserve"> 'T&amp;E'!F$9</f>
        <v>0</v>
      </c>
      <c r="G296" s="176" t="str">
        <f xml:space="preserve"> 'T&amp;E'!G$9</f>
        <v>year</v>
      </c>
      <c r="H296" s="176">
        <f xml:space="preserve"> 'T&amp;E'!H$9</f>
        <v>0</v>
      </c>
      <c r="I296" s="176">
        <f xml:space="preserve"> 'T&amp;E'!I$9</f>
        <v>0</v>
      </c>
      <c r="J296" s="176">
        <f xml:space="preserve"> 'T&amp;E'!J$9</f>
        <v>0</v>
      </c>
      <c r="K296" s="176">
        <f xml:space="preserve"> 'T&amp;E'!K$9</f>
        <v>0</v>
      </c>
      <c r="L296" s="176">
        <f xml:space="preserve"> 'T&amp;E'!L$9</f>
        <v>2014</v>
      </c>
      <c r="M296" s="176">
        <f xml:space="preserve"> 'T&amp;E'!M$9</f>
        <v>2015</v>
      </c>
      <c r="N296" s="176">
        <f xml:space="preserve"> 'T&amp;E'!N$9</f>
        <v>2016</v>
      </c>
      <c r="O296" s="176">
        <f xml:space="preserve"> 'T&amp;E'!O$9</f>
        <v>2017</v>
      </c>
      <c r="P296" s="176">
        <f xml:space="preserve"> 'T&amp;E'!P$9</f>
        <v>2018</v>
      </c>
      <c r="Q296" s="176">
        <f xml:space="preserve"> 'T&amp;E'!Q$9</f>
        <v>2019</v>
      </c>
      <c r="R296" s="176">
        <f xml:space="preserve"> 'T&amp;E'!R$9</f>
        <v>2020</v>
      </c>
      <c r="S296" s="176">
        <f xml:space="preserve"> 'T&amp;E'!S$9</f>
        <v>2021</v>
      </c>
      <c r="T296" s="176">
        <f xml:space="preserve"> 'T&amp;E'!T$9</f>
        <v>2022</v>
      </c>
      <c r="U296" s="176">
        <f xml:space="preserve"> 'T&amp;E'!U$9</f>
        <v>2023</v>
      </c>
      <c r="V296" s="176">
        <f xml:space="preserve"> 'T&amp;E'!V$9</f>
        <v>2024</v>
      </c>
      <c r="W296" s="176">
        <f xml:space="preserve"> 'T&amp;E'!W$9</f>
        <v>2025</v>
      </c>
      <c r="X296" s="176">
        <f xml:space="preserve"> 'T&amp;E'!X$9</f>
        <v>2026</v>
      </c>
      <c r="Y296" s="176">
        <f xml:space="preserve"> 'T&amp;E'!Y$9</f>
        <v>2027</v>
      </c>
      <c r="Z296" s="176">
        <f xml:space="preserve"> 'T&amp;E'!Z$9</f>
        <v>2028</v>
      </c>
      <c r="AA296" s="176">
        <f xml:space="preserve"> 'T&amp;E'!AA$9</f>
        <v>2029</v>
      </c>
      <c r="AB296" s="176">
        <f xml:space="preserve"> 'T&amp;E'!AB$9</f>
        <v>2030</v>
      </c>
      <c r="AC296" s="176">
        <f xml:space="preserve"> 'T&amp;E'!AC$9</f>
        <v>2031</v>
      </c>
      <c r="AD296" s="176">
        <f xml:space="preserve"> 'T&amp;E'!AD$9</f>
        <v>2032</v>
      </c>
      <c r="AE296" s="176">
        <f xml:space="preserve"> 'T&amp;E'!AE$9</f>
        <v>2033</v>
      </c>
      <c r="AF296" s="176">
        <f xml:space="preserve"> 'T&amp;E'!AF$9</f>
        <v>2034</v>
      </c>
      <c r="AG296" s="176">
        <f xml:space="preserve"> 'T&amp;E'!AG$9</f>
        <v>2035</v>
      </c>
      <c r="AH296" s="176">
        <f xml:space="preserve"> 'T&amp;E'!AH$9</f>
        <v>2036</v>
      </c>
      <c r="AI296" s="176">
        <f xml:space="preserve"> 'T&amp;E'!AI$9</f>
        <v>2037</v>
      </c>
      <c r="AJ296" s="176">
        <f xml:space="preserve"> 'T&amp;E'!AJ$9</f>
        <v>2038</v>
      </c>
      <c r="AK296" s="176">
        <f xml:space="preserve"> 'T&amp;E'!AK$9</f>
        <v>2039</v>
      </c>
      <c r="AL296" s="176">
        <f xml:space="preserve"> 'T&amp;E'!AL$9</f>
        <v>2040</v>
      </c>
      <c r="AM296" s="176">
        <f xml:space="preserve"> 'T&amp;E'!AM$9</f>
        <v>2041</v>
      </c>
      <c r="AN296" s="176">
        <f xml:space="preserve"> 'T&amp;E'!AN$9</f>
        <v>2042</v>
      </c>
      <c r="AO296" s="176">
        <f xml:space="preserve"> 'T&amp;E'!AO$9</f>
        <v>2043</v>
      </c>
      <c r="AP296" s="176">
        <f xml:space="preserve"> 'T&amp;E'!AP$9</f>
        <v>2044</v>
      </c>
      <c r="AQ296" s="176">
        <f xml:space="preserve"> 'T&amp;E'!AQ$9</f>
        <v>2045</v>
      </c>
      <c r="AR296" s="176">
        <f xml:space="preserve"> 'T&amp;E'!AR$9</f>
        <v>2046</v>
      </c>
      <c r="AS296" s="176">
        <f xml:space="preserve"> 'T&amp;E'!AS$9</f>
        <v>2047</v>
      </c>
      <c r="AT296" s="176">
        <f xml:space="preserve"> 'T&amp;E'!AT$9</f>
        <v>2048</v>
      </c>
      <c r="AU296" s="176">
        <f xml:space="preserve"> 'T&amp;E'!AU$9</f>
        <v>2049</v>
      </c>
      <c r="AV296" s="176">
        <f xml:space="preserve"> 'T&amp;E'!AV$9</f>
        <v>2050</v>
      </c>
    </row>
    <row r="297" spans="1:48" ht="15" customHeight="1">
      <c r="D297" s="121"/>
      <c r="E297" s="37" t="s">
        <v>145</v>
      </c>
      <c r="F297" s="123"/>
      <c r="G297" s="37" t="s">
        <v>146</v>
      </c>
      <c r="H297" s="37"/>
      <c r="K297" s="119"/>
      <c r="L297" s="123">
        <f t="shared" ref="L297:AV297" si="159" xml:space="preserve"> IF(L296 &lt; $F294, 0, K297 + 1)</f>
        <v>1</v>
      </c>
      <c r="M297" s="123">
        <f t="shared" si="159"/>
        <v>2</v>
      </c>
      <c r="N297" s="123">
        <f t="shared" si="159"/>
        <v>3</v>
      </c>
      <c r="O297" s="123">
        <f t="shared" si="159"/>
        <v>4</v>
      </c>
      <c r="P297" s="123">
        <f t="shared" si="159"/>
        <v>5</v>
      </c>
      <c r="Q297" s="123">
        <f t="shared" si="159"/>
        <v>6</v>
      </c>
      <c r="R297" s="123">
        <f t="shared" si="159"/>
        <v>7</v>
      </c>
      <c r="S297" s="123">
        <f t="shared" si="159"/>
        <v>8</v>
      </c>
      <c r="T297" s="123">
        <f t="shared" si="159"/>
        <v>9</v>
      </c>
      <c r="U297" s="123">
        <f t="shared" si="159"/>
        <v>10</v>
      </c>
      <c r="V297" s="123">
        <f t="shared" si="159"/>
        <v>11</v>
      </c>
      <c r="W297" s="123">
        <f t="shared" si="159"/>
        <v>12</v>
      </c>
      <c r="X297" s="123">
        <f t="shared" si="159"/>
        <v>13</v>
      </c>
      <c r="Y297" s="123">
        <f t="shared" si="159"/>
        <v>14</v>
      </c>
      <c r="Z297" s="123">
        <f t="shared" si="159"/>
        <v>15</v>
      </c>
      <c r="AA297" s="123">
        <f t="shared" si="159"/>
        <v>16</v>
      </c>
      <c r="AB297" s="123">
        <f t="shared" si="159"/>
        <v>17</v>
      </c>
      <c r="AC297" s="123">
        <f t="shared" si="159"/>
        <v>18</v>
      </c>
      <c r="AD297" s="123">
        <f t="shared" si="159"/>
        <v>19</v>
      </c>
      <c r="AE297" s="123">
        <f t="shared" si="159"/>
        <v>20</v>
      </c>
      <c r="AF297" s="123">
        <f t="shared" si="159"/>
        <v>21</v>
      </c>
      <c r="AG297" s="123">
        <f t="shared" si="159"/>
        <v>22</v>
      </c>
      <c r="AH297" s="123">
        <f t="shared" si="159"/>
        <v>23</v>
      </c>
      <c r="AI297" s="123">
        <f t="shared" si="159"/>
        <v>24</v>
      </c>
      <c r="AJ297" s="123">
        <f t="shared" si="159"/>
        <v>25</v>
      </c>
      <c r="AK297" s="123">
        <f t="shared" si="159"/>
        <v>26</v>
      </c>
      <c r="AL297" s="123">
        <f t="shared" si="159"/>
        <v>27</v>
      </c>
      <c r="AM297" s="123">
        <f t="shared" si="159"/>
        <v>28</v>
      </c>
      <c r="AN297" s="123">
        <f t="shared" si="159"/>
        <v>29</v>
      </c>
      <c r="AO297" s="123">
        <f t="shared" si="159"/>
        <v>30</v>
      </c>
      <c r="AP297" s="123">
        <f t="shared" si="159"/>
        <v>31</v>
      </c>
      <c r="AQ297" s="123">
        <f t="shared" si="159"/>
        <v>32</v>
      </c>
      <c r="AR297" s="123">
        <f t="shared" si="159"/>
        <v>33</v>
      </c>
      <c r="AS297" s="123">
        <f t="shared" si="159"/>
        <v>34</v>
      </c>
      <c r="AT297" s="123">
        <f t="shared" si="159"/>
        <v>35</v>
      </c>
      <c r="AU297" s="123">
        <f t="shared" si="159"/>
        <v>36</v>
      </c>
      <c r="AV297" s="123">
        <f t="shared" si="159"/>
        <v>37</v>
      </c>
    </row>
    <row r="298" spans="1:48" ht="15" customHeight="1">
      <c r="D298" s="121"/>
      <c r="E298" s="37" t="s">
        <v>147</v>
      </c>
      <c r="F298" s="36"/>
      <c r="G298" s="37" t="s">
        <v>148</v>
      </c>
      <c r="H298" s="37"/>
      <c r="L298" s="122">
        <f t="shared" ref="L298:AV298" si="160" xml:space="preserve"> IF( L297 &gt; 0, 1 / ( 1 + $F293) ^ (L297 - 0.5), 0)</f>
        <v>0.95346258924559224</v>
      </c>
      <c r="M298" s="122">
        <f t="shared" si="160"/>
        <v>0.86678417204144742</v>
      </c>
      <c r="N298" s="122">
        <f t="shared" si="160"/>
        <v>0.78798561094677033</v>
      </c>
      <c r="O298" s="122">
        <f t="shared" si="160"/>
        <v>0.71635055540615489</v>
      </c>
      <c r="P298" s="122">
        <f t="shared" si="160"/>
        <v>0.65122777764195883</v>
      </c>
      <c r="Q298" s="122">
        <f t="shared" si="160"/>
        <v>0.59202525240178083</v>
      </c>
      <c r="R298" s="122">
        <f t="shared" si="160"/>
        <v>0.53820477491070973</v>
      </c>
      <c r="S298" s="122">
        <f t="shared" si="160"/>
        <v>0.48927706810064514</v>
      </c>
      <c r="T298" s="122">
        <f t="shared" si="160"/>
        <v>0.44479733463695009</v>
      </c>
      <c r="U298" s="122">
        <f t="shared" si="160"/>
        <v>0.4043612133063183</v>
      </c>
      <c r="V298" s="122">
        <f t="shared" si="160"/>
        <v>0.36760110300574383</v>
      </c>
      <c r="W298" s="122">
        <f t="shared" si="160"/>
        <v>0.33418282091431251</v>
      </c>
      <c r="X298" s="122">
        <f t="shared" si="160"/>
        <v>0.30380256446755688</v>
      </c>
      <c r="Y298" s="122">
        <f t="shared" si="160"/>
        <v>0.27618414951596076</v>
      </c>
      <c r="Z298" s="122">
        <f t="shared" si="160"/>
        <v>0.25107649955996431</v>
      </c>
      <c r="AA298" s="122">
        <f t="shared" si="160"/>
        <v>0.22825136323633116</v>
      </c>
      <c r="AB298" s="122">
        <f t="shared" si="160"/>
        <v>0.20750123930575562</v>
      </c>
      <c r="AC298" s="122">
        <f t="shared" si="160"/>
        <v>0.18863749027795962</v>
      </c>
      <c r="AD298" s="122">
        <f t="shared" si="160"/>
        <v>0.17148862752541782</v>
      </c>
      <c r="AE298" s="122">
        <f t="shared" si="160"/>
        <v>0.15589875229583436</v>
      </c>
      <c r="AF298" s="122">
        <f t="shared" si="160"/>
        <v>0.14172613845075852</v>
      </c>
      <c r="AG298" s="122">
        <f t="shared" si="160"/>
        <v>0.1288419440461441</v>
      </c>
      <c r="AH298" s="122">
        <f t="shared" si="160"/>
        <v>0.11712904004194918</v>
      </c>
      <c r="AI298" s="122">
        <f t="shared" si="160"/>
        <v>0.10648094549268106</v>
      </c>
      <c r="AJ298" s="122">
        <f t="shared" si="160"/>
        <v>9.6800859538800965E-2</v>
      </c>
      <c r="AK298" s="122">
        <f t="shared" si="160"/>
        <v>8.8000781398909919E-2</v>
      </c>
      <c r="AL298" s="122">
        <f t="shared" si="160"/>
        <v>8.0000710362645402E-2</v>
      </c>
      <c r="AM298" s="122">
        <f t="shared" si="160"/>
        <v>7.272791851149582E-2</v>
      </c>
      <c r="AN298" s="122">
        <f t="shared" si="160"/>
        <v>6.6116289555905275E-2</v>
      </c>
      <c r="AO298" s="122">
        <f t="shared" si="160"/>
        <v>6.0105717778095702E-2</v>
      </c>
      <c r="AP298" s="122">
        <f t="shared" si="160"/>
        <v>5.4641561616450646E-2</v>
      </c>
      <c r="AQ298" s="122">
        <f t="shared" si="160"/>
        <v>4.967414692404603E-2</v>
      </c>
      <c r="AR298" s="122">
        <f t="shared" si="160"/>
        <v>4.5158315385496389E-2</v>
      </c>
      <c r="AS298" s="122">
        <f t="shared" si="160"/>
        <v>4.1053013986814886E-2</v>
      </c>
      <c r="AT298" s="122">
        <f t="shared" si="160"/>
        <v>3.7320921806195353E-2</v>
      </c>
      <c r="AU298" s="122">
        <f t="shared" si="160"/>
        <v>3.3928110732904866E-2</v>
      </c>
      <c r="AV298" s="122">
        <f t="shared" si="160"/>
        <v>3.0843737029913505E-2</v>
      </c>
    </row>
    <row r="299" spans="1:48" ht="15" customHeight="1">
      <c r="D299" s="121"/>
      <c r="E299" s="37"/>
      <c r="F299" s="36"/>
      <c r="G299" s="37"/>
      <c r="H299" s="37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2"/>
      <c r="AC299" s="122"/>
      <c r="AD299" s="122"/>
      <c r="AE299" s="122"/>
      <c r="AF299" s="122"/>
      <c r="AG299" s="122"/>
      <c r="AH299" s="122"/>
      <c r="AI299" s="122"/>
      <c r="AJ299" s="122"/>
      <c r="AK299" s="122"/>
      <c r="AL299" s="122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2"/>
    </row>
    <row r="300" spans="1:48" ht="15" customHeight="1">
      <c r="D300" s="121"/>
      <c r="E300" s="37" t="s">
        <v>149</v>
      </c>
      <c r="F300" s="123"/>
      <c r="G300" s="37" t="s">
        <v>146</v>
      </c>
      <c r="H300" s="37"/>
      <c r="K300" s="119"/>
      <c r="L300" s="123">
        <f t="shared" ref="L300:AV300" si="161" xml:space="preserve"> IF(L296 &lt; $F295, 0, K300 + 1)</f>
        <v>0</v>
      </c>
      <c r="M300" s="123">
        <f t="shared" si="161"/>
        <v>0</v>
      </c>
      <c r="N300" s="123">
        <f t="shared" si="161"/>
        <v>0</v>
      </c>
      <c r="O300" s="123">
        <f t="shared" si="161"/>
        <v>0</v>
      </c>
      <c r="P300" s="123">
        <f t="shared" si="161"/>
        <v>0</v>
      </c>
      <c r="Q300" s="123">
        <f t="shared" si="161"/>
        <v>1</v>
      </c>
      <c r="R300" s="123">
        <f t="shared" si="161"/>
        <v>2</v>
      </c>
      <c r="S300" s="123">
        <f t="shared" si="161"/>
        <v>3</v>
      </c>
      <c r="T300" s="123">
        <f t="shared" si="161"/>
        <v>4</v>
      </c>
      <c r="U300" s="123">
        <f t="shared" si="161"/>
        <v>5</v>
      </c>
      <c r="V300" s="123">
        <f t="shared" si="161"/>
        <v>6</v>
      </c>
      <c r="W300" s="123">
        <f t="shared" si="161"/>
        <v>7</v>
      </c>
      <c r="X300" s="123">
        <f t="shared" si="161"/>
        <v>8</v>
      </c>
      <c r="Y300" s="123">
        <f t="shared" si="161"/>
        <v>9</v>
      </c>
      <c r="Z300" s="123">
        <f t="shared" si="161"/>
        <v>10</v>
      </c>
      <c r="AA300" s="123">
        <f t="shared" si="161"/>
        <v>11</v>
      </c>
      <c r="AB300" s="123">
        <f t="shared" si="161"/>
        <v>12</v>
      </c>
      <c r="AC300" s="123">
        <f t="shared" si="161"/>
        <v>13</v>
      </c>
      <c r="AD300" s="123">
        <f t="shared" si="161"/>
        <v>14</v>
      </c>
      <c r="AE300" s="123">
        <f t="shared" si="161"/>
        <v>15</v>
      </c>
      <c r="AF300" s="123">
        <f t="shared" si="161"/>
        <v>16</v>
      </c>
      <c r="AG300" s="123">
        <f t="shared" si="161"/>
        <v>17</v>
      </c>
      <c r="AH300" s="123">
        <f t="shared" si="161"/>
        <v>18</v>
      </c>
      <c r="AI300" s="123">
        <f t="shared" si="161"/>
        <v>19</v>
      </c>
      <c r="AJ300" s="123">
        <f t="shared" si="161"/>
        <v>20</v>
      </c>
      <c r="AK300" s="123">
        <f t="shared" si="161"/>
        <v>21</v>
      </c>
      <c r="AL300" s="123">
        <f t="shared" si="161"/>
        <v>22</v>
      </c>
      <c r="AM300" s="123">
        <f t="shared" si="161"/>
        <v>23</v>
      </c>
      <c r="AN300" s="123">
        <f t="shared" si="161"/>
        <v>24</v>
      </c>
      <c r="AO300" s="123">
        <f t="shared" si="161"/>
        <v>25</v>
      </c>
      <c r="AP300" s="123">
        <f t="shared" si="161"/>
        <v>26</v>
      </c>
      <c r="AQ300" s="123">
        <f t="shared" si="161"/>
        <v>27</v>
      </c>
      <c r="AR300" s="123">
        <f t="shared" si="161"/>
        <v>28</v>
      </c>
      <c r="AS300" s="123">
        <f t="shared" si="161"/>
        <v>29</v>
      </c>
      <c r="AT300" s="123">
        <f t="shared" si="161"/>
        <v>30</v>
      </c>
      <c r="AU300" s="123">
        <f t="shared" si="161"/>
        <v>31</v>
      </c>
      <c r="AV300" s="123">
        <f t="shared" si="161"/>
        <v>32</v>
      </c>
    </row>
    <row r="301" spans="1:48" ht="15" customHeight="1">
      <c r="D301" s="121"/>
      <c r="E301" s="37" t="s">
        <v>150</v>
      </c>
      <c r="F301" s="36"/>
      <c r="G301" s="37" t="s">
        <v>148</v>
      </c>
      <c r="H301" s="37"/>
      <c r="L301" s="122">
        <f t="shared" ref="L301:AV301" si="162" xml:space="preserve"> IF( L300 &gt; 0, 1 / ( 1 + $F293) ^ (L300 - 0.5), 0)</f>
        <v>0</v>
      </c>
      <c r="M301" s="122">
        <f t="shared" si="162"/>
        <v>0</v>
      </c>
      <c r="N301" s="122">
        <f t="shared" si="162"/>
        <v>0</v>
      </c>
      <c r="O301" s="122">
        <f t="shared" si="162"/>
        <v>0</v>
      </c>
      <c r="P301" s="122">
        <f t="shared" si="162"/>
        <v>0</v>
      </c>
      <c r="Q301" s="122">
        <f t="shared" si="162"/>
        <v>0.95346258924559224</v>
      </c>
      <c r="R301" s="122">
        <f t="shared" si="162"/>
        <v>0.86678417204144742</v>
      </c>
      <c r="S301" s="122">
        <f t="shared" si="162"/>
        <v>0.78798561094677033</v>
      </c>
      <c r="T301" s="122">
        <f t="shared" si="162"/>
        <v>0.71635055540615489</v>
      </c>
      <c r="U301" s="122">
        <f t="shared" si="162"/>
        <v>0.65122777764195883</v>
      </c>
      <c r="V301" s="122">
        <f t="shared" si="162"/>
        <v>0.59202525240178083</v>
      </c>
      <c r="W301" s="122">
        <f t="shared" si="162"/>
        <v>0.53820477491070973</v>
      </c>
      <c r="X301" s="122">
        <f t="shared" si="162"/>
        <v>0.48927706810064514</v>
      </c>
      <c r="Y301" s="122">
        <f t="shared" si="162"/>
        <v>0.44479733463695009</v>
      </c>
      <c r="Z301" s="122">
        <f t="shared" si="162"/>
        <v>0.4043612133063183</v>
      </c>
      <c r="AA301" s="122">
        <f t="shared" si="162"/>
        <v>0.36760110300574383</v>
      </c>
      <c r="AB301" s="122">
        <f t="shared" si="162"/>
        <v>0.33418282091431251</v>
      </c>
      <c r="AC301" s="122">
        <f t="shared" si="162"/>
        <v>0.30380256446755688</v>
      </c>
      <c r="AD301" s="122">
        <f t="shared" si="162"/>
        <v>0.27618414951596076</v>
      </c>
      <c r="AE301" s="122">
        <f t="shared" si="162"/>
        <v>0.25107649955996431</v>
      </c>
      <c r="AF301" s="122">
        <f t="shared" si="162"/>
        <v>0.22825136323633116</v>
      </c>
      <c r="AG301" s="122">
        <f t="shared" si="162"/>
        <v>0.20750123930575562</v>
      </c>
      <c r="AH301" s="122">
        <f t="shared" si="162"/>
        <v>0.18863749027795962</v>
      </c>
      <c r="AI301" s="122">
        <f t="shared" si="162"/>
        <v>0.17148862752541782</v>
      </c>
      <c r="AJ301" s="122">
        <f t="shared" si="162"/>
        <v>0.15589875229583436</v>
      </c>
      <c r="AK301" s="122">
        <f t="shared" si="162"/>
        <v>0.14172613845075852</v>
      </c>
      <c r="AL301" s="122">
        <f t="shared" si="162"/>
        <v>0.1288419440461441</v>
      </c>
      <c r="AM301" s="122">
        <f t="shared" si="162"/>
        <v>0.11712904004194918</v>
      </c>
      <c r="AN301" s="122">
        <f t="shared" si="162"/>
        <v>0.10648094549268106</v>
      </c>
      <c r="AO301" s="122">
        <f t="shared" si="162"/>
        <v>9.6800859538800965E-2</v>
      </c>
      <c r="AP301" s="122">
        <f t="shared" si="162"/>
        <v>8.8000781398909919E-2</v>
      </c>
      <c r="AQ301" s="122">
        <f t="shared" si="162"/>
        <v>8.0000710362645402E-2</v>
      </c>
      <c r="AR301" s="122">
        <f t="shared" si="162"/>
        <v>7.272791851149582E-2</v>
      </c>
      <c r="AS301" s="122">
        <f t="shared" si="162"/>
        <v>6.6116289555905275E-2</v>
      </c>
      <c r="AT301" s="122">
        <f t="shared" si="162"/>
        <v>6.0105717778095702E-2</v>
      </c>
      <c r="AU301" s="122">
        <f t="shared" si="162"/>
        <v>5.4641561616450646E-2</v>
      </c>
      <c r="AV301" s="122">
        <f t="shared" si="162"/>
        <v>4.967414692404603E-2</v>
      </c>
    </row>
    <row r="302" spans="1:48" ht="15" customHeight="1">
      <c r="D302" s="121"/>
      <c r="E302" s="37"/>
      <c r="F302" s="36"/>
      <c r="G302" s="37"/>
      <c r="H302" s="37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2"/>
      <c r="AC302" s="122"/>
      <c r="AD302" s="122"/>
      <c r="AE302" s="122"/>
      <c r="AF302" s="122"/>
      <c r="AG302" s="122"/>
      <c r="AH302" s="122"/>
      <c r="AI302" s="122"/>
      <c r="AJ302" s="122"/>
      <c r="AK302" s="122"/>
      <c r="AL302" s="122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2"/>
    </row>
    <row r="303" spans="1:48" ht="15" customHeight="1">
      <c r="D303" s="121"/>
      <c r="E303" s="37" t="str">
        <f>"NPV" &amp; $F$293 * 100 &amp; " from " &amp; F294</f>
        <v>NPV10 from 2011</v>
      </c>
      <c r="F303" s="120">
        <f xml:space="preserve"> SUMPRODUCT(L298:AV298,L290:AV290)</f>
        <v>1867.5748405964944</v>
      </c>
      <c r="G303" s="37" t="str">
        <f>"USD mn NPV" &amp; $F$293 * 100</f>
        <v>USD mn NPV10</v>
      </c>
      <c r="H303" s="37"/>
    </row>
    <row r="304" spans="1:48" ht="15" customHeight="1">
      <c r="D304" s="121"/>
      <c r="E304" s="37" t="str">
        <f>"NPV" &amp; $F$293 * 100 &amp; " from " &amp; F295</f>
        <v>NPV10 from 2019</v>
      </c>
      <c r="F304" s="120">
        <f xml:space="preserve"> SUMPRODUCT(L301:AV301,L290:AV290)</f>
        <v>2509.0551898310314</v>
      </c>
      <c r="G304" s="37" t="str">
        <f>"USD mn NPV" &amp; $F$293 * 100</f>
        <v>USD mn NPV10</v>
      </c>
      <c r="H304" s="37"/>
    </row>
    <row r="305" spans="1:11" ht="15" customHeight="1">
      <c r="E305" s="37"/>
    </row>
    <row r="306" spans="1:11" ht="15" customHeight="1">
      <c r="C306" s="191" t="s">
        <v>151</v>
      </c>
      <c r="E306" s="113"/>
      <c r="I306" s="69"/>
    </row>
    <row r="307" spans="1:11" ht="15" customHeight="1">
      <c r="F307" s="117" t="s">
        <v>152</v>
      </c>
      <c r="G307" s="3">
        <f xml:space="preserve"> F304</f>
        <v>2509.0551898310314</v>
      </c>
      <c r="H307" s="3"/>
      <c r="I307" s="3"/>
    </row>
    <row r="308" spans="1:11" ht="15" customHeight="1">
      <c r="F308" s="137">
        <v>0.08</v>
      </c>
      <c r="G308" s="116">
        <f t="dataTable" ref="G308:G311" dt2D="0" dtr="0" r1="F293"/>
        <v>2980.1833418873707</v>
      </c>
      <c r="H308" s="3"/>
      <c r="I308" s="3"/>
    </row>
    <row r="309" spans="1:11" ht="15" customHeight="1">
      <c r="F309" s="137">
        <v>0.1</v>
      </c>
      <c r="G309" s="116">
        <v>2509.0551898310314</v>
      </c>
      <c r="H309" s="3"/>
      <c r="I309" s="3"/>
    </row>
    <row r="310" spans="1:11" ht="15" customHeight="1">
      <c r="F310" s="137">
        <v>0.12</v>
      </c>
      <c r="G310" s="116">
        <v>2121.845975706889</v>
      </c>
      <c r="H310" s="3"/>
      <c r="I310" s="3"/>
    </row>
    <row r="311" spans="1:11" ht="15" customHeight="1">
      <c r="F311" s="137">
        <v>0.14000000000000001</v>
      </c>
      <c r="G311" s="116">
        <v>1804.2702099028293</v>
      </c>
      <c r="H311" s="3"/>
      <c r="I311" s="3"/>
    </row>
    <row r="314" spans="1:11" s="160" customFormat="1" ht="15" customHeight="1">
      <c r="A314" s="164" t="s">
        <v>153</v>
      </c>
      <c r="B314" s="162"/>
      <c r="C314" s="192"/>
      <c r="D314" s="163"/>
      <c r="E314" s="162"/>
      <c r="F314" s="162"/>
      <c r="G314" s="162"/>
      <c r="H314" s="162"/>
    </row>
    <row r="316" spans="1:11" ht="15" customHeight="1">
      <c r="E316" s="187" t="s">
        <v>154</v>
      </c>
    </row>
    <row r="317" spans="1:11" ht="15" customHeight="1">
      <c r="E317" s="187"/>
    </row>
    <row r="318" spans="1:11" ht="15" customHeight="1">
      <c r="E318" s="563" t="str">
        <f xml:space="preserve"> E$202</f>
        <v>check: net revenue</v>
      </c>
      <c r="F318" s="560">
        <f xml:space="preserve"> F$202</f>
        <v>0</v>
      </c>
      <c r="G318" s="121" t="str">
        <f xml:space="preserve"> G$202</f>
        <v>check</v>
      </c>
    </row>
    <row r="319" spans="1:11" ht="15" customHeight="1">
      <c r="E319" s="393"/>
      <c r="F319" s="393"/>
      <c r="G319" s="393"/>
      <c r="H319" s="475"/>
      <c r="I319" s="476"/>
    </row>
    <row r="320" spans="1:11" s="187" customFormat="1" ht="15" customHeight="1">
      <c r="A320" s="473"/>
      <c r="B320" s="473"/>
      <c r="C320" s="474"/>
      <c r="E320" s="187" t="str">
        <f ca="1">"SheetChecks: " &amp; A1</f>
        <v>SheetChecks: Kamoto_2019TR</v>
      </c>
      <c r="F320" s="546">
        <f>SUM(F318)</f>
        <v>0</v>
      </c>
      <c r="G320" s="187" t="s">
        <v>803</v>
      </c>
      <c r="I320" s="210"/>
      <c r="K320" s="136"/>
    </row>
    <row r="322" spans="1:11" ht="15" customHeight="1">
      <c r="E322" s="230" t="s">
        <v>155</v>
      </c>
      <c r="G322" s="113" t="s">
        <v>156</v>
      </c>
      <c r="H322" s="113"/>
    </row>
    <row r="323" spans="1:11" ht="15" customHeight="1">
      <c r="E323" s="110" t="s">
        <v>157</v>
      </c>
      <c r="G323" s="112"/>
      <c r="H323" s="112"/>
    </row>
    <row r="324" spans="1:11" ht="15" customHeight="1">
      <c r="E324" s="110" t="s">
        <v>158</v>
      </c>
      <c r="G324" s="112"/>
      <c r="H324" s="112"/>
    </row>
    <row r="325" spans="1:11" ht="15" customHeight="1">
      <c r="E325" s="110" t="s">
        <v>159</v>
      </c>
      <c r="G325" s="112"/>
      <c r="H325" s="112"/>
    </row>
    <row r="326" spans="1:11" ht="15" customHeight="1">
      <c r="E326" s="110" t="s">
        <v>160</v>
      </c>
      <c r="G326" s="112"/>
      <c r="H326" s="112"/>
    </row>
    <row r="327" spans="1:11" ht="15" customHeight="1">
      <c r="E327" s="110" t="s">
        <v>161</v>
      </c>
      <c r="G327" s="112"/>
      <c r="H327" s="112"/>
    </row>
    <row r="328" spans="1:11" ht="15" customHeight="1">
      <c r="E328" s="110" t="s">
        <v>162</v>
      </c>
    </row>
    <row r="330" spans="1:11" s="233" customFormat="1" ht="15" customHeight="1">
      <c r="A330" s="231" t="s">
        <v>163</v>
      </c>
      <c r="B330" s="231"/>
      <c r="C330" s="232"/>
      <c r="I330" s="234"/>
      <c r="K330" s="243"/>
    </row>
  </sheetData>
  <conditionalFormatting sqref="F2">
    <cfRule type="cellIs" dxfId="59" priority="5" stopIfTrue="1" operator="notEqual">
      <formula>0</formula>
    </cfRule>
    <cfRule type="cellIs" dxfId="58" priority="6" stopIfTrue="1" operator="equal">
      <formula>""</formula>
    </cfRule>
  </conditionalFormatting>
  <conditionalFormatting sqref="F3">
    <cfRule type="cellIs" dxfId="57" priority="17" stopIfTrue="1" operator="notEqual">
      <formula>0</formula>
    </cfRule>
    <cfRule type="cellIs" dxfId="56" priority="18" stopIfTrue="1" operator="equal">
      <formula>""</formula>
    </cfRule>
  </conditionalFormatting>
  <conditionalFormatting sqref="F117">
    <cfRule type="cellIs" dxfId="55" priority="1" stopIfTrue="1" operator="notEqual">
      <formula>0</formula>
    </cfRule>
    <cfRule type="cellIs" dxfId="54" priority="2" stopIfTrue="1" operator="equal">
      <formula>""</formula>
    </cfRule>
  </conditionalFormatting>
  <conditionalFormatting sqref="F202">
    <cfRule type="cellIs" dxfId="53" priority="11" stopIfTrue="1" operator="notEqual">
      <formula>0</formula>
    </cfRule>
    <cfRule type="cellIs" dxfId="52" priority="12" stopIfTrue="1" operator="equal">
      <formula>""</formula>
    </cfRule>
  </conditionalFormatting>
  <conditionalFormatting sqref="F320">
    <cfRule type="cellIs" dxfId="51" priority="3" stopIfTrue="1" operator="notEqual">
      <formula>0</formula>
    </cfRule>
    <cfRule type="cellIs" dxfId="50" priority="4" stopIfTrue="1" operator="equal">
      <formula>""</formula>
    </cfRule>
  </conditionalFormatting>
  <conditionalFormatting sqref="L3:AV3">
    <cfRule type="cellIs" dxfId="49" priority="19" stopIfTrue="1" operator="equal">
      <formula>#REF!</formula>
    </cfRule>
    <cfRule type="cellIs" dxfId="48" priority="20" stopIfTrue="1" operator="equal">
      <formula>#REF!</formula>
    </cfRule>
    <cfRule type="cellIs" dxfId="47" priority="21" operator="equal">
      <formula>#REF!</formula>
    </cfRule>
    <cfRule type="cellIs" dxfId="46" priority="22" operator="equal">
      <formula>#REF!</formula>
    </cfRule>
  </conditionalFormatting>
  <conditionalFormatting sqref="L202:AV202">
    <cfRule type="cellIs" dxfId="45" priority="13" stopIfTrue="1" operator="notEqual">
      <formula>0</formula>
    </cfRule>
    <cfRule type="cellIs" dxfId="44" priority="14" stopIfTrue="1" operator="equal">
      <formula>""</formula>
    </cfRule>
  </conditionalFormatting>
  <conditionalFormatting sqref="M3:AV3">
    <cfRule type="cellIs" dxfId="43" priority="23" stopIfTrue="1" operator="equal">
      <formula>#REF!</formula>
    </cfRule>
    <cfRule type="cellIs" dxfId="42" priority="24" stopIfTrue="1" operator="equal">
      <formula>#REF!</formula>
    </cfRule>
  </conditionalFormatting>
  <dataValidations disablePrompts="1" count="1">
    <dataValidation type="list" allowBlank="1" showInputMessage="1" showErrorMessage="1" sqref="G77:G78 G70:G71">
      <formula1>$F$74:$F$75</formula1>
    </dataValidation>
  </dataValidations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Kamoto_2019TR!L49:AV49</xm:f>
              <xm:sqref>H49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Kamoto_2019TR!L129:AV129</xm:f>
              <xm:sqref>H129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Kamoto_2019TR!L139:AV139</xm:f>
              <xm:sqref>H139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Kamoto_2019TR!L169:AV169</xm:f>
              <xm:sqref>H169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Kamoto_2019TR!L152:AV152</xm:f>
              <xm:sqref>H152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Kamoto_2019TR!L33:AV33</xm:f>
              <xm:sqref>H33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Kamoto_2019TR!L13:AV13</xm:f>
              <xm:sqref>H13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Kamoto_2019TR!L21:AV21</xm:f>
              <xm:sqref>H21</xm:sqref>
            </x14:sparkline>
          </x14:sparklines>
        </x14:sparklineGroup>
      </x14:sparklineGroup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3" tint="0.749992370372631"/>
  </sheetPr>
  <dimension ref="A1:BP228"/>
  <sheetViews>
    <sheetView zoomScaleNormal="100" workbookViewId="0">
      <pane xSplit="11" ySplit="4" topLeftCell="Q147" activePane="bottomRight" state="frozen"/>
      <selection activeCell="L1" sqref="L1:L1048576"/>
      <selection pane="topRight" activeCell="L1" sqref="L1:L1048576"/>
      <selection pane="bottomLeft" activeCell="L1" sqref="L1:L1048576"/>
      <selection pane="bottomRight" activeCell="L1" sqref="L1:L1048576"/>
    </sheetView>
  </sheetViews>
  <sheetFormatPr baseColWidth="10" defaultColWidth="0" defaultRowHeight="15" customHeight="1"/>
  <cols>
    <col min="1" max="2" width="1.296875" style="111" customWidth="1"/>
    <col min="3" max="3" width="1.296875" style="191" customWidth="1"/>
    <col min="4" max="4" width="1.296875" style="110" customWidth="1"/>
    <col min="5" max="5" width="50.69921875" style="110" customWidth="1"/>
    <col min="6" max="6" width="12.69921875" style="110" customWidth="1"/>
    <col min="7" max="7" width="20.69921875" style="110" customWidth="1"/>
    <col min="8" max="8" width="13.8984375" style="110" customWidth="1"/>
    <col min="9" max="9" width="13.296875" style="20" customWidth="1"/>
    <col min="10" max="10" width="12.69921875" style="110" customWidth="1" collapsed="1"/>
    <col min="11" max="11" width="1.59765625" style="123" customWidth="1"/>
    <col min="12" max="48" width="10.69921875" style="110" customWidth="1"/>
    <col min="49" max="57" width="11.69921875" style="110" hidden="1" customWidth="1"/>
    <col min="58" max="59" width="0" style="110" hidden="1" customWidth="1"/>
    <col min="60" max="16384" width="14.59765625" style="110" hidden="1"/>
  </cols>
  <sheetData>
    <row r="1" spans="1:48" s="187" customFormat="1" ht="26.25" customHeight="1">
      <c r="A1" s="483" t="str">
        <f ca="1" xml:space="preserve"> RIGHT(CELL("filename", $A$3), LEN(CELL("filename", $A$3)) - SEARCH("]", CELL("filename", $A$3)))</f>
        <v>Kamoto_2011TR</v>
      </c>
      <c r="B1" s="473"/>
      <c r="C1" s="474"/>
      <c r="F1" s="479"/>
      <c r="I1" s="210"/>
      <c r="K1" s="480"/>
    </row>
    <row r="2" spans="1:48" ht="15" customHeight="1">
      <c r="E2" s="110" t="s">
        <v>0</v>
      </c>
      <c r="F2" s="482">
        <f xml:space="preserve"> Track!$F$85</f>
        <v>0</v>
      </c>
      <c r="G2" s="22" t="s">
        <v>1</v>
      </c>
      <c r="H2" s="22"/>
      <c r="K2" s="161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168" t="s">
        <v>2</v>
      </c>
      <c r="H3" s="168"/>
      <c r="K3" s="161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166" t="s">
        <v>5</v>
      </c>
      <c r="G4" s="111" t="s">
        <v>6</v>
      </c>
      <c r="H4" s="111" t="s">
        <v>7</v>
      </c>
      <c r="I4" s="165" t="s">
        <v>8</v>
      </c>
      <c r="J4" s="27"/>
      <c r="K4" s="161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166"/>
      <c r="G5" s="111"/>
      <c r="H5" s="111"/>
      <c r="I5" s="165"/>
      <c r="J5" s="27"/>
      <c r="K5" s="161"/>
    </row>
    <row r="6" spans="1:48" s="160" customFormat="1" ht="15" customHeight="1">
      <c r="A6" s="164" t="s">
        <v>164</v>
      </c>
      <c r="B6" s="162"/>
      <c r="C6" s="192"/>
      <c r="D6" s="163"/>
      <c r="E6" s="162"/>
      <c r="F6" s="162"/>
      <c r="G6" s="162"/>
      <c r="H6" s="162"/>
    </row>
    <row r="7" spans="1:48" ht="15" customHeight="1">
      <c r="E7" s="111"/>
    </row>
    <row r="8" spans="1:48" ht="15" customHeight="1">
      <c r="E8" s="111"/>
    </row>
    <row r="9" spans="1:48" s="160" customFormat="1" ht="15" customHeight="1">
      <c r="A9" s="164" t="s">
        <v>9</v>
      </c>
      <c r="B9" s="162"/>
      <c r="C9" s="192"/>
      <c r="D9" s="163"/>
      <c r="E9" s="162"/>
      <c r="F9" s="162"/>
      <c r="G9" s="162"/>
      <c r="H9" s="162"/>
    </row>
    <row r="10" spans="1:48" s="3" customFormat="1" ht="15" customHeight="1">
      <c r="B10" s="241"/>
      <c r="C10" s="62"/>
    </row>
    <row r="11" spans="1:48" s="3" customFormat="1" ht="15" customHeight="1">
      <c r="B11" s="241" t="s">
        <v>165</v>
      </c>
      <c r="C11" s="62"/>
    </row>
    <row r="12" spans="1:48" s="123" customFormat="1" ht="15" customHeight="1">
      <c r="A12" s="134"/>
      <c r="B12" s="134"/>
      <c r="C12" s="151"/>
      <c r="E12" s="170" t="str">
        <f xml:space="preserve"> InputsTS!E$398</f>
        <v>LME Copper Price 2011TR real</v>
      </c>
      <c r="F12" s="170">
        <f xml:space="preserve"> InputsTS!F$398</f>
        <v>0</v>
      </c>
      <c r="G12" s="170" t="str">
        <f xml:space="preserve"> InputsTS!G$398</f>
        <v>$ / tonne</v>
      </c>
      <c r="H12" s="170">
        <f xml:space="preserve"> InputsTS!H$398</f>
        <v>0</v>
      </c>
      <c r="I12" s="170" t="str">
        <f xml:space="preserve"> InputsTS!I$398</f>
        <v>XVII</v>
      </c>
      <c r="J12" s="170">
        <f xml:space="preserve"> InputsTS!J$398</f>
        <v>0</v>
      </c>
      <c r="K12" s="170">
        <f xml:space="preserve"> InputsTS!K$398</f>
        <v>0</v>
      </c>
      <c r="L12" s="170">
        <f xml:space="preserve"> InputsTS!L$398</f>
        <v>0</v>
      </c>
      <c r="M12" s="170">
        <f xml:space="preserve"> InputsTS!M$398</f>
        <v>0</v>
      </c>
      <c r="N12" s="170">
        <f xml:space="preserve"> InputsTS!N$398</f>
        <v>0</v>
      </c>
      <c r="O12" s="170">
        <f xml:space="preserve"> InputsTS!O$398</f>
        <v>0</v>
      </c>
      <c r="P12" s="170">
        <f xml:space="preserve"> InputsTS!P$398</f>
        <v>0</v>
      </c>
      <c r="Q12" s="170">
        <f xml:space="preserve"> InputsTS!Q$398</f>
        <v>9600</v>
      </c>
      <c r="R12" s="170">
        <f xml:space="preserve"> InputsTS!R$398</f>
        <v>9208</v>
      </c>
      <c r="S12" s="170">
        <f xml:space="preserve"> InputsTS!S$398</f>
        <v>8822</v>
      </c>
      <c r="T12" s="170">
        <f xml:space="preserve"> InputsTS!T$398</f>
        <v>8347</v>
      </c>
      <c r="U12" s="170">
        <f xml:space="preserve"> InputsTS!U$398</f>
        <v>7880</v>
      </c>
      <c r="V12" s="170">
        <f xml:space="preserve"> InputsTS!V$398</f>
        <v>7240</v>
      </c>
      <c r="W12" s="170">
        <f xml:space="preserve"> InputsTS!W$398</f>
        <v>6859</v>
      </c>
      <c r="X12" s="170">
        <f xml:space="preserve"> InputsTS!X$398</f>
        <v>6397</v>
      </c>
      <c r="Y12" s="170">
        <f xml:space="preserve"> InputsTS!Y$398</f>
        <v>6036</v>
      </c>
      <c r="Z12" s="170">
        <f xml:space="preserve"> InputsTS!Z$398</f>
        <v>6036</v>
      </c>
      <c r="AA12" s="170">
        <f xml:space="preserve"> InputsTS!AA$398</f>
        <v>6036</v>
      </c>
      <c r="AB12" s="170">
        <f xml:space="preserve"> InputsTS!AB$398</f>
        <v>6036</v>
      </c>
      <c r="AC12" s="170">
        <f xml:space="preserve"> InputsTS!AC$398</f>
        <v>6036</v>
      </c>
      <c r="AD12" s="170">
        <f xml:space="preserve"> InputsTS!AD$398</f>
        <v>6036</v>
      </c>
      <c r="AE12" s="170">
        <f xml:space="preserve"> InputsTS!AE$398</f>
        <v>6036</v>
      </c>
      <c r="AF12" s="170">
        <f xml:space="preserve"> InputsTS!AF$398</f>
        <v>6036</v>
      </c>
      <c r="AG12" s="170">
        <f xml:space="preserve"> InputsTS!AG$398</f>
        <v>6036</v>
      </c>
      <c r="AH12" s="170">
        <f xml:space="preserve"> InputsTS!AH$398</f>
        <v>6036</v>
      </c>
      <c r="AI12" s="170">
        <f xml:space="preserve"> InputsTS!AI$398</f>
        <v>6036</v>
      </c>
      <c r="AJ12" s="170">
        <f xml:space="preserve"> InputsTS!AJ$398</f>
        <v>6036</v>
      </c>
      <c r="AK12" s="170">
        <f xml:space="preserve"> InputsTS!AK$398</f>
        <v>6036</v>
      </c>
      <c r="AL12" s="170">
        <f xml:space="preserve"> InputsTS!AL$398</f>
        <v>6036</v>
      </c>
      <c r="AM12" s="170">
        <f xml:space="preserve"> InputsTS!AM$398</f>
        <v>6036</v>
      </c>
      <c r="AN12" s="170">
        <f xml:space="preserve"> InputsTS!AN$398</f>
        <v>6036</v>
      </c>
      <c r="AO12" s="170">
        <f xml:space="preserve"> InputsTS!AO$398</f>
        <v>6036</v>
      </c>
      <c r="AP12" s="170">
        <f xml:space="preserve"> InputsTS!AP$398</f>
        <v>6036</v>
      </c>
      <c r="AQ12" s="170">
        <f xml:space="preserve"> InputsTS!AQ$398</f>
        <v>6036</v>
      </c>
      <c r="AR12" s="170">
        <f xml:space="preserve"> InputsTS!AR$398</f>
        <v>6036</v>
      </c>
      <c r="AS12" s="170">
        <f xml:space="preserve"> InputsTS!AS$398</f>
        <v>6036</v>
      </c>
      <c r="AT12" s="170">
        <f xml:space="preserve"> InputsTS!AT$398</f>
        <v>6036</v>
      </c>
      <c r="AU12" s="170">
        <f xml:space="preserve"> InputsTS!AU$398</f>
        <v>6036</v>
      </c>
      <c r="AV12" s="170">
        <f xml:space="preserve"> InputsTS!AV$398</f>
        <v>6036</v>
      </c>
    </row>
    <row r="13" spans="1:48" s="172" customFormat="1" ht="15" customHeight="1">
      <c r="A13" s="171"/>
      <c r="B13" s="171"/>
      <c r="C13" s="193"/>
      <c r="E13" s="173" t="str">
        <f xml:space="preserve"> InputsTS!E$405</f>
        <v>LME Cobalt Price real</v>
      </c>
      <c r="F13" s="173">
        <f xml:space="preserve"> InputsTS!F$405</f>
        <v>0</v>
      </c>
      <c r="G13" s="173" t="str">
        <f xml:space="preserve"> InputsTS!G$405</f>
        <v>$ / lb</v>
      </c>
      <c r="H13" s="173">
        <f xml:space="preserve"> InputsTS!H$405</f>
        <v>0</v>
      </c>
      <c r="I13" s="173" t="str">
        <f xml:space="preserve"> InputsTS!I$405</f>
        <v>XVII</v>
      </c>
      <c r="J13" s="173">
        <f xml:space="preserve"> InputsTS!J$405</f>
        <v>0</v>
      </c>
      <c r="K13" s="173">
        <f xml:space="preserve"> InputsTS!K$405</f>
        <v>0</v>
      </c>
      <c r="L13" s="170">
        <f xml:space="preserve"> InputsTS!L$405</f>
        <v>0</v>
      </c>
      <c r="M13" s="170">
        <f xml:space="preserve"> InputsTS!M$405</f>
        <v>0</v>
      </c>
      <c r="N13" s="170">
        <f xml:space="preserve"> InputsTS!N$405</f>
        <v>0</v>
      </c>
      <c r="O13" s="170">
        <f xml:space="preserve"> InputsTS!O$405</f>
        <v>0</v>
      </c>
      <c r="P13" s="170">
        <f xml:space="preserve"> InputsTS!P$405</f>
        <v>0</v>
      </c>
      <c r="Q13" s="170">
        <f xml:space="preserve"> InputsTS!Q$405</f>
        <v>17.239999999999998</v>
      </c>
      <c r="R13" s="170">
        <f xml:space="preserve"> InputsTS!R$405</f>
        <v>16.62</v>
      </c>
      <c r="S13" s="170">
        <f xml:space="preserve"> InputsTS!S$405</f>
        <v>15.68</v>
      </c>
      <c r="T13" s="170">
        <f xml:space="preserve"> InputsTS!T$405</f>
        <v>14.56</v>
      </c>
      <c r="U13" s="170">
        <f xml:space="preserve"> InputsTS!U$405</f>
        <v>14.41</v>
      </c>
      <c r="V13" s="170">
        <f xml:space="preserve"> InputsTS!V$405</f>
        <v>13.92</v>
      </c>
      <c r="W13" s="170">
        <f xml:space="preserve"> InputsTS!W$405</f>
        <v>11.89</v>
      </c>
      <c r="X13" s="170">
        <f xml:space="preserve"> InputsTS!X$405</f>
        <v>11.71</v>
      </c>
      <c r="Y13" s="170">
        <f xml:space="preserve"> InputsTS!Y$405</f>
        <v>11.54</v>
      </c>
      <c r="Z13" s="170">
        <f xml:space="preserve"> InputsTS!Z$405</f>
        <v>11.54</v>
      </c>
      <c r="AA13" s="170">
        <f xml:space="preserve"> InputsTS!AA$405</f>
        <v>11.54</v>
      </c>
      <c r="AB13" s="170">
        <f xml:space="preserve"> InputsTS!AB$405</f>
        <v>11.54</v>
      </c>
      <c r="AC13" s="170">
        <f xml:space="preserve"> InputsTS!AC$405</f>
        <v>11.54</v>
      </c>
      <c r="AD13" s="170">
        <f xml:space="preserve"> InputsTS!AD$405</f>
        <v>11.54</v>
      </c>
      <c r="AE13" s="170">
        <f xml:space="preserve"> InputsTS!AE$405</f>
        <v>11.54</v>
      </c>
      <c r="AF13" s="170">
        <f xml:space="preserve"> InputsTS!AF$405</f>
        <v>11.54</v>
      </c>
      <c r="AG13" s="170">
        <f xml:space="preserve"> InputsTS!AG$405</f>
        <v>11.54</v>
      </c>
      <c r="AH13" s="170">
        <f xml:space="preserve"> InputsTS!AH$405</f>
        <v>11.54</v>
      </c>
      <c r="AI13" s="170">
        <f xml:space="preserve"> InputsTS!AI$405</f>
        <v>11.54</v>
      </c>
      <c r="AJ13" s="170">
        <f xml:space="preserve"> InputsTS!AJ$405</f>
        <v>11.54</v>
      </c>
      <c r="AK13" s="170">
        <f xml:space="preserve"> InputsTS!AK$405</f>
        <v>11.54</v>
      </c>
      <c r="AL13" s="170">
        <f xml:space="preserve"> InputsTS!AL$405</f>
        <v>11.54</v>
      </c>
      <c r="AM13" s="170">
        <f xml:space="preserve"> InputsTS!AM$405</f>
        <v>11.54</v>
      </c>
      <c r="AN13" s="170">
        <f xml:space="preserve"> InputsTS!AN$405</f>
        <v>11.54</v>
      </c>
      <c r="AO13" s="170">
        <f xml:space="preserve"> InputsTS!AO$405</f>
        <v>11.54</v>
      </c>
      <c r="AP13" s="170">
        <f xml:space="preserve"> InputsTS!AP$405</f>
        <v>11.54</v>
      </c>
      <c r="AQ13" s="170">
        <f xml:space="preserve"> InputsTS!AQ$405</f>
        <v>11.54</v>
      </c>
      <c r="AR13" s="170">
        <f xml:space="preserve"> InputsTS!AR$405</f>
        <v>11.54</v>
      </c>
      <c r="AS13" s="170">
        <f xml:space="preserve"> InputsTS!AS$405</f>
        <v>11.54</v>
      </c>
      <c r="AT13" s="170">
        <f xml:space="preserve"> InputsTS!AT$405</f>
        <v>11.54</v>
      </c>
      <c r="AU13" s="170">
        <f xml:space="preserve"> InputsTS!AU$405</f>
        <v>11.54</v>
      </c>
      <c r="AV13" s="170">
        <f xml:space="preserve"> InputsTS!AV$405</f>
        <v>11.54</v>
      </c>
    </row>
    <row r="14" spans="1:48" ht="15" customHeight="1">
      <c r="E14" s="70" t="str">
        <f xml:space="preserve"> InputsCon!E$201</f>
        <v>Convert  lb / tonnes</v>
      </c>
      <c r="F14" s="174">
        <f xml:space="preserve"> InputsCon!F$201</f>
        <v>2204.62</v>
      </c>
      <c r="G14" s="112" t="str">
        <f xml:space="preserve"> InputsCon!G$201</f>
        <v>lb / tonne</v>
      </c>
    </row>
    <row r="15" spans="1:48" s="123" customFormat="1" ht="15" customHeight="1">
      <c r="A15" s="134"/>
      <c r="B15" s="134"/>
      <c r="C15" s="151"/>
      <c r="E15" s="123" t="str">
        <f xml:space="preserve"> E13</f>
        <v>LME Cobalt Price real</v>
      </c>
      <c r="G15" s="123" t="s">
        <v>14</v>
      </c>
      <c r="I15" s="159"/>
      <c r="L15" s="123">
        <f t="shared" ref="L15:AV15" si="0" xml:space="preserve"> L13 * $F14</f>
        <v>0</v>
      </c>
      <c r="M15" s="123">
        <f t="shared" si="0"/>
        <v>0</v>
      </c>
      <c r="N15" s="123">
        <f t="shared" si="0"/>
        <v>0</v>
      </c>
      <c r="O15" s="123">
        <f t="shared" si="0"/>
        <v>0</v>
      </c>
      <c r="P15" s="123">
        <f t="shared" si="0"/>
        <v>0</v>
      </c>
      <c r="Q15" s="123">
        <f t="shared" si="0"/>
        <v>38007.648799999995</v>
      </c>
      <c r="R15" s="123">
        <f t="shared" si="0"/>
        <v>36640.784399999997</v>
      </c>
      <c r="S15" s="123">
        <f t="shared" si="0"/>
        <v>34568.441599999998</v>
      </c>
      <c r="T15" s="123">
        <f t="shared" si="0"/>
        <v>32099.267199999998</v>
      </c>
      <c r="U15" s="123">
        <f t="shared" si="0"/>
        <v>31768.574199999999</v>
      </c>
      <c r="V15" s="123">
        <f t="shared" si="0"/>
        <v>30688.310399999998</v>
      </c>
      <c r="W15" s="123">
        <f t="shared" si="0"/>
        <v>26212.931799999998</v>
      </c>
      <c r="X15" s="123">
        <f t="shared" si="0"/>
        <v>25816.100200000001</v>
      </c>
      <c r="Y15" s="123">
        <f t="shared" si="0"/>
        <v>25441.314799999996</v>
      </c>
      <c r="Z15" s="123">
        <f t="shared" si="0"/>
        <v>25441.314799999996</v>
      </c>
      <c r="AA15" s="123">
        <f t="shared" si="0"/>
        <v>25441.314799999996</v>
      </c>
      <c r="AB15" s="123">
        <f t="shared" si="0"/>
        <v>25441.314799999996</v>
      </c>
      <c r="AC15" s="123">
        <f t="shared" si="0"/>
        <v>25441.314799999996</v>
      </c>
      <c r="AD15" s="123">
        <f t="shared" si="0"/>
        <v>25441.314799999996</v>
      </c>
      <c r="AE15" s="123">
        <f t="shared" si="0"/>
        <v>25441.314799999996</v>
      </c>
      <c r="AF15" s="123">
        <f t="shared" si="0"/>
        <v>25441.314799999996</v>
      </c>
      <c r="AG15" s="123">
        <f t="shared" si="0"/>
        <v>25441.314799999996</v>
      </c>
      <c r="AH15" s="123">
        <f t="shared" si="0"/>
        <v>25441.314799999996</v>
      </c>
      <c r="AI15" s="123">
        <f t="shared" si="0"/>
        <v>25441.314799999996</v>
      </c>
      <c r="AJ15" s="123">
        <f t="shared" si="0"/>
        <v>25441.314799999996</v>
      </c>
      <c r="AK15" s="123">
        <f t="shared" si="0"/>
        <v>25441.314799999996</v>
      </c>
      <c r="AL15" s="123">
        <f t="shared" si="0"/>
        <v>25441.314799999996</v>
      </c>
      <c r="AM15" s="123">
        <f t="shared" si="0"/>
        <v>25441.314799999996</v>
      </c>
      <c r="AN15" s="123">
        <f t="shared" si="0"/>
        <v>25441.314799999996</v>
      </c>
      <c r="AO15" s="123">
        <f t="shared" si="0"/>
        <v>25441.314799999996</v>
      </c>
      <c r="AP15" s="123">
        <f t="shared" si="0"/>
        <v>25441.314799999996</v>
      </c>
      <c r="AQ15" s="123">
        <f t="shared" si="0"/>
        <v>25441.314799999996</v>
      </c>
      <c r="AR15" s="123">
        <f t="shared" si="0"/>
        <v>25441.314799999996</v>
      </c>
      <c r="AS15" s="123">
        <f t="shared" si="0"/>
        <v>25441.314799999996</v>
      </c>
      <c r="AT15" s="123">
        <f t="shared" si="0"/>
        <v>25441.314799999996</v>
      </c>
      <c r="AU15" s="123">
        <f t="shared" si="0"/>
        <v>25441.314799999996</v>
      </c>
      <c r="AV15" s="123">
        <f t="shared" si="0"/>
        <v>25441.314799999996</v>
      </c>
    </row>
    <row r="17" spans="1:48" ht="15" customHeight="1">
      <c r="B17" s="111" t="s">
        <v>18</v>
      </c>
    </row>
    <row r="18" spans="1:48" s="123" customFormat="1" ht="15" customHeight="1">
      <c r="A18" s="134"/>
      <c r="B18" s="134"/>
      <c r="C18" s="151"/>
      <c r="E18" s="170" t="str">
        <f xml:space="preserve"> InputsTS!E$373</f>
        <v>Copper production 2011TR (original)</v>
      </c>
      <c r="F18" s="170">
        <f xml:space="preserve"> InputsTS!F$373</f>
        <v>0</v>
      </c>
      <c r="G18" s="170" t="str">
        <f xml:space="preserve"> InputsTS!G$373</f>
        <v>tonnes</v>
      </c>
      <c r="H18" s="170">
        <f xml:space="preserve"> InputsTS!H$373</f>
        <v>0</v>
      </c>
      <c r="I18" s="170" t="str">
        <f xml:space="preserve"> InputsTS!I$373</f>
        <v>XVIII</v>
      </c>
      <c r="J18" s="170">
        <f xml:space="preserve"> InputsTS!J$373</f>
        <v>5615000</v>
      </c>
      <c r="K18" s="170">
        <f xml:space="preserve"> InputsTS!K$373</f>
        <v>0</v>
      </c>
      <c r="L18" s="170">
        <f xml:space="preserve"> InputsTS!L$373</f>
        <v>0</v>
      </c>
      <c r="M18" s="170">
        <f xml:space="preserve"> InputsTS!M$373</f>
        <v>0</v>
      </c>
      <c r="N18" s="170">
        <f xml:space="preserve"> InputsTS!N$373</f>
        <v>0</v>
      </c>
      <c r="O18" s="170">
        <f xml:space="preserve"> InputsTS!O$373</f>
        <v>0</v>
      </c>
      <c r="P18" s="170">
        <f xml:space="preserve"> InputsTS!P$373</f>
        <v>0</v>
      </c>
      <c r="Q18" s="170">
        <f xml:space="preserve"> InputsTS!Q$373</f>
        <v>135000</v>
      </c>
      <c r="R18" s="170">
        <f xml:space="preserve"> InputsTS!R$373</f>
        <v>150000</v>
      </c>
      <c r="S18" s="170">
        <f xml:space="preserve"> InputsTS!S$373</f>
        <v>205000</v>
      </c>
      <c r="T18" s="170">
        <f xml:space="preserve"> InputsTS!T$373</f>
        <v>245000</v>
      </c>
      <c r="U18" s="170">
        <f xml:space="preserve"> InputsTS!U$373</f>
        <v>310000</v>
      </c>
      <c r="V18" s="170">
        <f xml:space="preserve"> InputsTS!V$373</f>
        <v>310000</v>
      </c>
      <c r="W18" s="170">
        <f xml:space="preserve"> InputsTS!W$373</f>
        <v>310000</v>
      </c>
      <c r="X18" s="170">
        <f xml:space="preserve"> InputsTS!X$373</f>
        <v>310000</v>
      </c>
      <c r="Y18" s="170">
        <f xml:space="preserve"> InputsTS!Y$373</f>
        <v>310000</v>
      </c>
      <c r="Z18" s="170">
        <f xml:space="preserve"> InputsTS!Z$373</f>
        <v>310000</v>
      </c>
      <c r="AA18" s="170">
        <f xml:space="preserve"> InputsTS!AA$373</f>
        <v>310000</v>
      </c>
      <c r="AB18" s="170">
        <f xml:space="preserve"> InputsTS!AB$373</f>
        <v>310000</v>
      </c>
      <c r="AC18" s="170">
        <f xml:space="preserve"> InputsTS!AC$373</f>
        <v>310000</v>
      </c>
      <c r="AD18" s="170">
        <f xml:space="preserve"> InputsTS!AD$373</f>
        <v>310000</v>
      </c>
      <c r="AE18" s="170">
        <f xml:space="preserve"> InputsTS!AE$373</f>
        <v>310000</v>
      </c>
      <c r="AF18" s="170">
        <f xml:space="preserve"> InputsTS!AF$373</f>
        <v>310000</v>
      </c>
      <c r="AG18" s="170">
        <f xml:space="preserve"> InputsTS!AG$373</f>
        <v>310000</v>
      </c>
      <c r="AH18" s="170">
        <f xml:space="preserve"> InputsTS!AH$373</f>
        <v>300000</v>
      </c>
      <c r="AI18" s="170">
        <f xml:space="preserve"> InputsTS!AI$373</f>
        <v>290000</v>
      </c>
      <c r="AJ18" s="170">
        <f xml:space="preserve"> InputsTS!AJ$373</f>
        <v>260000</v>
      </c>
      <c r="AK18" s="170">
        <f xml:space="preserve"> InputsTS!AK$373</f>
        <v>0</v>
      </c>
      <c r="AL18" s="170">
        <f xml:space="preserve"> InputsTS!AL$373</f>
        <v>0</v>
      </c>
      <c r="AM18" s="170">
        <f xml:space="preserve"> InputsTS!AM$373</f>
        <v>0</v>
      </c>
      <c r="AN18" s="170">
        <f xml:space="preserve"> InputsTS!AN$373</f>
        <v>0</v>
      </c>
      <c r="AO18" s="170">
        <f xml:space="preserve"> InputsTS!AO$373</f>
        <v>0</v>
      </c>
      <c r="AP18" s="170">
        <f xml:space="preserve"> InputsTS!AP$373</f>
        <v>0</v>
      </c>
      <c r="AQ18" s="170">
        <f xml:space="preserve"> InputsTS!AQ$373</f>
        <v>0</v>
      </c>
      <c r="AR18" s="170">
        <f xml:space="preserve"> InputsTS!AR$373</f>
        <v>0</v>
      </c>
      <c r="AS18" s="170">
        <f xml:space="preserve"> InputsTS!AS$373</f>
        <v>0</v>
      </c>
      <c r="AT18" s="170">
        <f xml:space="preserve"> InputsTS!AT$373</f>
        <v>0</v>
      </c>
      <c r="AU18" s="170">
        <f xml:space="preserve"> InputsTS!AU$373</f>
        <v>0</v>
      </c>
      <c r="AV18" s="170">
        <f xml:space="preserve"> InputsTS!AV$373</f>
        <v>0</v>
      </c>
    </row>
    <row r="19" spans="1:48" s="93" customFormat="1" ht="15" customHeight="1">
      <c r="A19" s="92"/>
      <c r="B19" s="92"/>
      <c r="C19" s="149"/>
      <c r="E19" s="93" t="s">
        <v>22</v>
      </c>
      <c r="G19" s="93" t="s">
        <v>23</v>
      </c>
      <c r="I19" s="94"/>
      <c r="J19" s="93">
        <f xml:space="preserve"> SUM(L19:AV19)</f>
        <v>25</v>
      </c>
      <c r="L19" s="93">
        <f xml:space="preserve"> (SUM(L18:$AV18) &gt; 0) * 1</f>
        <v>1</v>
      </c>
      <c r="M19" s="93">
        <f xml:space="preserve"> (SUM(M18:$AV18) &gt; 0) * 1</f>
        <v>1</v>
      </c>
      <c r="N19" s="93">
        <f xml:space="preserve"> (SUM(N18:$AV18) &gt; 0) * 1</f>
        <v>1</v>
      </c>
      <c r="O19" s="93">
        <f xml:space="preserve"> (SUM(O18:$AV18) &gt; 0) * 1</f>
        <v>1</v>
      </c>
      <c r="P19" s="93">
        <f xml:space="preserve"> (SUM(P18:$AV18) &gt; 0) * 1</f>
        <v>1</v>
      </c>
      <c r="Q19" s="93">
        <f xml:space="preserve"> (SUM(Q18:$AV18) &gt; 0) * 1</f>
        <v>1</v>
      </c>
      <c r="R19" s="93">
        <f xml:space="preserve"> (SUM(R18:$AV18) &gt; 0) * 1</f>
        <v>1</v>
      </c>
      <c r="S19" s="93">
        <f xml:space="preserve"> (SUM(S18:$AV18) &gt; 0) * 1</f>
        <v>1</v>
      </c>
      <c r="T19" s="93">
        <f xml:space="preserve"> (SUM(T18:$AV18) &gt; 0) * 1</f>
        <v>1</v>
      </c>
      <c r="U19" s="93">
        <f xml:space="preserve"> (SUM(U18:$AV18) &gt; 0) * 1</f>
        <v>1</v>
      </c>
      <c r="V19" s="93">
        <f xml:space="preserve"> (SUM(V18:$AV18) &gt; 0) * 1</f>
        <v>1</v>
      </c>
      <c r="W19" s="93">
        <f xml:space="preserve"> (SUM(W18:$AV18) &gt; 0) * 1</f>
        <v>1</v>
      </c>
      <c r="X19" s="93">
        <f xml:space="preserve"> (SUM(X18:$AV18) &gt; 0) * 1</f>
        <v>1</v>
      </c>
      <c r="Y19" s="93">
        <f xml:space="preserve"> (SUM(Y18:$AV18) &gt; 0) * 1</f>
        <v>1</v>
      </c>
      <c r="Z19" s="93">
        <f xml:space="preserve"> (SUM(Z18:$AV18) &gt; 0) * 1</f>
        <v>1</v>
      </c>
      <c r="AA19" s="93">
        <f xml:space="preserve"> (SUM(AA18:$AV18) &gt; 0) * 1</f>
        <v>1</v>
      </c>
      <c r="AB19" s="93">
        <f xml:space="preserve"> (SUM(AB18:$AV18) &gt; 0) * 1</f>
        <v>1</v>
      </c>
      <c r="AC19" s="93">
        <f xml:space="preserve"> (SUM(AC18:$AV18) &gt; 0) * 1</f>
        <v>1</v>
      </c>
      <c r="AD19" s="93">
        <f xml:space="preserve"> (SUM(AD18:$AV18) &gt; 0) * 1</f>
        <v>1</v>
      </c>
      <c r="AE19" s="93">
        <f xml:space="preserve"> (SUM(AE18:$AV18) &gt; 0) * 1</f>
        <v>1</v>
      </c>
      <c r="AF19" s="93">
        <f xml:space="preserve"> (SUM(AF18:$AV18) &gt; 0) * 1</f>
        <v>1</v>
      </c>
      <c r="AG19" s="93">
        <f xml:space="preserve"> (SUM(AG18:$AV18) &gt; 0) * 1</f>
        <v>1</v>
      </c>
      <c r="AH19" s="93">
        <f xml:space="preserve"> (SUM(AH18:$AV18) &gt; 0) * 1</f>
        <v>1</v>
      </c>
      <c r="AI19" s="93">
        <f xml:space="preserve"> (SUM(AI18:$AV18) &gt; 0) * 1</f>
        <v>1</v>
      </c>
      <c r="AJ19" s="93">
        <f xml:space="preserve"> (SUM(AJ18:$AV18) &gt; 0) * 1</f>
        <v>1</v>
      </c>
      <c r="AK19" s="93">
        <f xml:space="preserve"> (SUM(AK18:$AV18) &gt; 0) * 1</f>
        <v>0</v>
      </c>
      <c r="AL19" s="93">
        <f xml:space="preserve"> (SUM(AL18:$AV18) &gt; 0) * 1</f>
        <v>0</v>
      </c>
      <c r="AM19" s="93">
        <f xml:space="preserve"> (SUM(AM18:$AV18) &gt; 0) * 1</f>
        <v>0</v>
      </c>
      <c r="AN19" s="93">
        <f xml:space="preserve"> (SUM(AN18:$AV18) &gt; 0) * 1</f>
        <v>0</v>
      </c>
      <c r="AO19" s="93">
        <f xml:space="preserve"> (SUM(AO18:$AV18) &gt; 0) * 1</f>
        <v>0</v>
      </c>
      <c r="AP19" s="93">
        <f xml:space="preserve"> (SUM(AP18:$AV18) &gt; 0) * 1</f>
        <v>0</v>
      </c>
      <c r="AQ19" s="93">
        <f xml:space="preserve"> (SUM(AQ18:$AV18) &gt; 0) * 1</f>
        <v>0</v>
      </c>
      <c r="AR19" s="93">
        <f xml:space="preserve"> (SUM(AR18:$AV18) &gt; 0) * 1</f>
        <v>0</v>
      </c>
      <c r="AS19" s="93">
        <f xml:space="preserve"> (SUM(AS18:$AV18) &gt; 0) * 1</f>
        <v>0</v>
      </c>
      <c r="AT19" s="93">
        <f xml:space="preserve"> (SUM(AT18:$AV18) &gt; 0) * 1</f>
        <v>0</v>
      </c>
      <c r="AU19" s="93">
        <f xml:space="preserve"> (SUM(AU18:$AV18) &gt; 0) * 1</f>
        <v>0</v>
      </c>
      <c r="AV19" s="93">
        <f xml:space="preserve"> (SUM(AV18:$AV18) &gt; 0) * 1</f>
        <v>0</v>
      </c>
    </row>
    <row r="21" spans="1:48" ht="15" customHeight="1">
      <c r="E21" s="110" t="s">
        <v>25</v>
      </c>
      <c r="F21" s="137">
        <v>0.95</v>
      </c>
      <c r="G21" s="110" t="s">
        <v>26</v>
      </c>
      <c r="I21" s="136" t="s">
        <v>27</v>
      </c>
    </row>
    <row r="22" spans="1:48" s="123" customFormat="1" ht="15" customHeight="1">
      <c r="A22" s="134"/>
      <c r="B22" s="134"/>
      <c r="C22" s="151"/>
      <c r="E22" s="123" t="s">
        <v>166</v>
      </c>
      <c r="G22" s="123" t="s">
        <v>29</v>
      </c>
      <c r="I22" s="159"/>
      <c r="J22" s="123">
        <f xml:space="preserve"> SUM(L22:AV22)</f>
        <v>35433.408749999995</v>
      </c>
      <c r="L22" s="123">
        <f t="shared" ref="L22:AV22" si="1" xml:space="preserve"> L12 * L18 / 10^6 * $F21</f>
        <v>0</v>
      </c>
      <c r="M22" s="123">
        <f t="shared" si="1"/>
        <v>0</v>
      </c>
      <c r="N22" s="123">
        <f t="shared" si="1"/>
        <v>0</v>
      </c>
      <c r="O22" s="123">
        <f t="shared" si="1"/>
        <v>0</v>
      </c>
      <c r="P22" s="123">
        <f t="shared" si="1"/>
        <v>0</v>
      </c>
      <c r="Q22" s="123">
        <f t="shared" si="1"/>
        <v>1231.2</v>
      </c>
      <c r="R22" s="123">
        <f t="shared" si="1"/>
        <v>1312.1399999999999</v>
      </c>
      <c r="S22" s="123">
        <f t="shared" si="1"/>
        <v>1718.0844999999999</v>
      </c>
      <c r="T22" s="123">
        <f t="shared" si="1"/>
        <v>1942.7642499999999</v>
      </c>
      <c r="U22" s="123">
        <f t="shared" si="1"/>
        <v>2320.66</v>
      </c>
      <c r="V22" s="123">
        <f t="shared" si="1"/>
        <v>2132.1799999999998</v>
      </c>
      <c r="W22" s="123">
        <f t="shared" si="1"/>
        <v>2019.9754999999998</v>
      </c>
      <c r="X22" s="123">
        <f t="shared" si="1"/>
        <v>1883.9164999999998</v>
      </c>
      <c r="Y22" s="123">
        <f t="shared" si="1"/>
        <v>1777.6020000000001</v>
      </c>
      <c r="Z22" s="123">
        <f t="shared" si="1"/>
        <v>1777.6020000000001</v>
      </c>
      <c r="AA22" s="123">
        <f t="shared" si="1"/>
        <v>1777.6020000000001</v>
      </c>
      <c r="AB22" s="123">
        <f t="shared" si="1"/>
        <v>1777.6020000000001</v>
      </c>
      <c r="AC22" s="123">
        <f t="shared" si="1"/>
        <v>1777.6020000000001</v>
      </c>
      <c r="AD22" s="123">
        <f t="shared" si="1"/>
        <v>1777.6020000000001</v>
      </c>
      <c r="AE22" s="123">
        <f t="shared" si="1"/>
        <v>1777.6020000000001</v>
      </c>
      <c r="AF22" s="123">
        <f t="shared" si="1"/>
        <v>1777.6020000000001</v>
      </c>
      <c r="AG22" s="123">
        <f t="shared" si="1"/>
        <v>1777.6020000000001</v>
      </c>
      <c r="AH22" s="123">
        <f t="shared" si="1"/>
        <v>1720.2599999999998</v>
      </c>
      <c r="AI22" s="123">
        <f t="shared" si="1"/>
        <v>1662.9179999999999</v>
      </c>
      <c r="AJ22" s="123">
        <f t="shared" si="1"/>
        <v>1490.8919999999998</v>
      </c>
      <c r="AK22" s="123">
        <f t="shared" si="1"/>
        <v>0</v>
      </c>
      <c r="AL22" s="123">
        <f t="shared" si="1"/>
        <v>0</v>
      </c>
      <c r="AM22" s="123">
        <f t="shared" si="1"/>
        <v>0</v>
      </c>
      <c r="AN22" s="123">
        <f t="shared" si="1"/>
        <v>0</v>
      </c>
      <c r="AO22" s="123">
        <f t="shared" si="1"/>
        <v>0</v>
      </c>
      <c r="AP22" s="123">
        <f t="shared" si="1"/>
        <v>0</v>
      </c>
      <c r="AQ22" s="123">
        <f t="shared" si="1"/>
        <v>0</v>
      </c>
      <c r="AR22" s="123">
        <f t="shared" si="1"/>
        <v>0</v>
      </c>
      <c r="AS22" s="123">
        <f t="shared" si="1"/>
        <v>0</v>
      </c>
      <c r="AT22" s="123">
        <f t="shared" si="1"/>
        <v>0</v>
      </c>
      <c r="AU22" s="123">
        <f t="shared" si="1"/>
        <v>0</v>
      </c>
      <c r="AV22" s="123">
        <f t="shared" si="1"/>
        <v>0</v>
      </c>
    </row>
    <row r="24" spans="1:48" ht="15" customHeight="1">
      <c r="E24" s="186" t="str">
        <f xml:space="preserve"> InputsTS!E$381</f>
        <v>Finished metal ratio Co to Cu</v>
      </c>
      <c r="F24" s="186">
        <f xml:space="preserve"> InputsTS!F$381</f>
        <v>8.3136045206023065E-2</v>
      </c>
      <c r="G24" s="186" t="str">
        <f xml:space="preserve"> InputsTS!G$381</f>
        <v>%</v>
      </c>
      <c r="H24" s="186">
        <f xml:space="preserve"> InputsTS!H$381</f>
        <v>0</v>
      </c>
      <c r="I24" s="186" t="str">
        <f xml:space="preserve"> InputsTS!I$381</f>
        <v>LII</v>
      </c>
    </row>
    <row r="26" spans="1:48" s="123" customFormat="1" ht="15" customHeight="1">
      <c r="A26" s="134"/>
      <c r="B26" s="134"/>
      <c r="C26" s="151"/>
      <c r="E26" s="170" t="s">
        <v>167</v>
      </c>
      <c r="F26" s="170"/>
      <c r="G26" s="170" t="s">
        <v>168</v>
      </c>
      <c r="H26" s="170"/>
      <c r="I26" s="170"/>
      <c r="J26" s="170">
        <f xml:space="preserve"> SUM(L26:AV26)</f>
        <v>466808.89383181953</v>
      </c>
      <c r="K26" s="170"/>
      <c r="L26" s="170">
        <f t="shared" ref="L26:AV26" si="2" xml:space="preserve"> L18 * $F24</f>
        <v>0</v>
      </c>
      <c r="M26" s="170">
        <f t="shared" si="2"/>
        <v>0</v>
      </c>
      <c r="N26" s="170">
        <f t="shared" si="2"/>
        <v>0</v>
      </c>
      <c r="O26" s="170">
        <f t="shared" si="2"/>
        <v>0</v>
      </c>
      <c r="P26" s="170">
        <f t="shared" si="2"/>
        <v>0</v>
      </c>
      <c r="Q26" s="170">
        <f t="shared" si="2"/>
        <v>11223.366102813114</v>
      </c>
      <c r="R26" s="170">
        <f t="shared" si="2"/>
        <v>12470.40678090346</v>
      </c>
      <c r="S26" s="170">
        <f t="shared" si="2"/>
        <v>17042.889267234728</v>
      </c>
      <c r="T26" s="170">
        <f t="shared" si="2"/>
        <v>20368.331075475649</v>
      </c>
      <c r="U26" s="170">
        <f t="shared" si="2"/>
        <v>25772.174013867148</v>
      </c>
      <c r="V26" s="170">
        <f t="shared" si="2"/>
        <v>25772.174013867148</v>
      </c>
      <c r="W26" s="170">
        <f t="shared" si="2"/>
        <v>25772.174013867148</v>
      </c>
      <c r="X26" s="170">
        <f t="shared" si="2"/>
        <v>25772.174013867148</v>
      </c>
      <c r="Y26" s="170">
        <f t="shared" si="2"/>
        <v>25772.174013867148</v>
      </c>
      <c r="Z26" s="170">
        <f t="shared" si="2"/>
        <v>25772.174013867148</v>
      </c>
      <c r="AA26" s="170">
        <f t="shared" si="2"/>
        <v>25772.174013867148</v>
      </c>
      <c r="AB26" s="170">
        <f t="shared" si="2"/>
        <v>25772.174013867148</v>
      </c>
      <c r="AC26" s="170">
        <f t="shared" si="2"/>
        <v>25772.174013867148</v>
      </c>
      <c r="AD26" s="170">
        <f t="shared" si="2"/>
        <v>25772.174013867148</v>
      </c>
      <c r="AE26" s="170">
        <f t="shared" si="2"/>
        <v>25772.174013867148</v>
      </c>
      <c r="AF26" s="170">
        <f t="shared" si="2"/>
        <v>25772.174013867148</v>
      </c>
      <c r="AG26" s="170">
        <f t="shared" si="2"/>
        <v>25772.174013867148</v>
      </c>
      <c r="AH26" s="170">
        <f t="shared" si="2"/>
        <v>24940.813561806921</v>
      </c>
      <c r="AI26" s="170">
        <f t="shared" si="2"/>
        <v>24109.45310974669</v>
      </c>
      <c r="AJ26" s="170">
        <f t="shared" si="2"/>
        <v>21615.371753565996</v>
      </c>
      <c r="AK26" s="170">
        <f t="shared" si="2"/>
        <v>0</v>
      </c>
      <c r="AL26" s="170">
        <f t="shared" si="2"/>
        <v>0</v>
      </c>
      <c r="AM26" s="170">
        <f t="shared" si="2"/>
        <v>0</v>
      </c>
      <c r="AN26" s="170">
        <f t="shared" si="2"/>
        <v>0</v>
      </c>
      <c r="AO26" s="170">
        <f t="shared" si="2"/>
        <v>0</v>
      </c>
      <c r="AP26" s="170">
        <f t="shared" si="2"/>
        <v>0</v>
      </c>
      <c r="AQ26" s="170">
        <f t="shared" si="2"/>
        <v>0</v>
      </c>
      <c r="AR26" s="170">
        <f t="shared" si="2"/>
        <v>0</v>
      </c>
      <c r="AS26" s="170">
        <f t="shared" si="2"/>
        <v>0</v>
      </c>
      <c r="AT26" s="170">
        <f t="shared" si="2"/>
        <v>0</v>
      </c>
      <c r="AU26" s="170">
        <f t="shared" si="2"/>
        <v>0</v>
      </c>
      <c r="AV26" s="170">
        <f t="shared" si="2"/>
        <v>0</v>
      </c>
    </row>
    <row r="27" spans="1:48" s="123" customFormat="1" ht="15" customHeight="1">
      <c r="A27" s="134"/>
      <c r="B27" s="134"/>
      <c r="C27" s="151"/>
      <c r="E27" s="110" t="s">
        <v>34</v>
      </c>
      <c r="F27" s="137">
        <v>0.75</v>
      </c>
      <c r="G27" s="110" t="s">
        <v>26</v>
      </c>
      <c r="H27" s="110"/>
      <c r="I27" s="136" t="s">
        <v>27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</row>
    <row r="28" spans="1:48" s="123" customFormat="1" ht="15" customHeight="1">
      <c r="A28" s="134"/>
      <c r="B28" s="134"/>
      <c r="C28" s="151"/>
      <c r="E28" s="123" t="s">
        <v>169</v>
      </c>
      <c r="G28" s="123" t="s">
        <v>29</v>
      </c>
      <c r="I28" s="159"/>
      <c r="J28" s="123">
        <f xml:space="preserve"> SUM(L28:AV28)</f>
        <v>9581.9501357562276</v>
      </c>
      <c r="L28" s="123">
        <f t="shared" ref="L28:AV28" si="3" xml:space="preserve"> L26 * L15 * $F27 / 10^6</f>
        <v>0</v>
      </c>
      <c r="M28" s="123">
        <f t="shared" si="3"/>
        <v>0</v>
      </c>
      <c r="N28" s="123">
        <f t="shared" si="3"/>
        <v>0</v>
      </c>
      <c r="O28" s="123">
        <f t="shared" si="3"/>
        <v>0</v>
      </c>
      <c r="P28" s="123">
        <f t="shared" si="3"/>
        <v>0</v>
      </c>
      <c r="Q28" s="123">
        <f xml:space="preserve"> Q26 * Q15 * $F27 / 10^6</f>
        <v>319.93031789215911</v>
      </c>
      <c r="R28" s="123">
        <f t="shared" si="3"/>
        <v>342.6941146795362</v>
      </c>
      <c r="S28" s="123">
        <f t="shared" si="3"/>
        <v>441.85959174725281</v>
      </c>
      <c r="T28" s="123">
        <f t="shared" si="3"/>
        <v>490.35637620731717</v>
      </c>
      <c r="U28" s="123">
        <f t="shared" si="3"/>
        <v>614.05891684113772</v>
      </c>
      <c r="V28" s="123">
        <f t="shared" si="3"/>
        <v>593.17835686527667</v>
      </c>
      <c r="W28" s="123">
        <f t="shared" si="3"/>
        <v>506.67317982242383</v>
      </c>
      <c r="X28" s="123">
        <f t="shared" si="3"/>
        <v>499.00277003537286</v>
      </c>
      <c r="Y28" s="123">
        <f t="shared" si="3"/>
        <v>491.7584941253802</v>
      </c>
      <c r="Z28" s="123">
        <f t="shared" si="3"/>
        <v>491.7584941253802</v>
      </c>
      <c r="AA28" s="123">
        <f t="shared" si="3"/>
        <v>491.7584941253802</v>
      </c>
      <c r="AB28" s="123">
        <f t="shared" si="3"/>
        <v>491.7584941253802</v>
      </c>
      <c r="AC28" s="123">
        <f t="shared" si="3"/>
        <v>491.7584941253802</v>
      </c>
      <c r="AD28" s="123">
        <f t="shared" si="3"/>
        <v>491.7584941253802</v>
      </c>
      <c r="AE28" s="123">
        <f t="shared" si="3"/>
        <v>491.7584941253802</v>
      </c>
      <c r="AF28" s="123">
        <f t="shared" si="3"/>
        <v>491.7584941253802</v>
      </c>
      <c r="AG28" s="123">
        <f t="shared" si="3"/>
        <v>491.7584941253802</v>
      </c>
      <c r="AH28" s="123">
        <f t="shared" si="3"/>
        <v>475.89531689552928</v>
      </c>
      <c r="AI28" s="123">
        <f t="shared" si="3"/>
        <v>460.03213966567824</v>
      </c>
      <c r="AJ28" s="123">
        <f t="shared" si="3"/>
        <v>412.44260797612537</v>
      </c>
      <c r="AK28" s="123">
        <f t="shared" si="3"/>
        <v>0</v>
      </c>
      <c r="AL28" s="123">
        <f t="shared" si="3"/>
        <v>0</v>
      </c>
      <c r="AM28" s="123">
        <f t="shared" si="3"/>
        <v>0</v>
      </c>
      <c r="AN28" s="123">
        <f t="shared" si="3"/>
        <v>0</v>
      </c>
      <c r="AO28" s="123">
        <f t="shared" si="3"/>
        <v>0</v>
      </c>
      <c r="AP28" s="123">
        <f t="shared" si="3"/>
        <v>0</v>
      </c>
      <c r="AQ28" s="123">
        <f t="shared" si="3"/>
        <v>0</v>
      </c>
      <c r="AR28" s="123">
        <f t="shared" si="3"/>
        <v>0</v>
      </c>
      <c r="AS28" s="123">
        <f t="shared" si="3"/>
        <v>0</v>
      </c>
      <c r="AT28" s="123">
        <f t="shared" si="3"/>
        <v>0</v>
      </c>
      <c r="AU28" s="123">
        <f t="shared" si="3"/>
        <v>0</v>
      </c>
      <c r="AV28" s="123">
        <f t="shared" si="3"/>
        <v>0</v>
      </c>
    </row>
    <row r="30" spans="1:48" ht="15" customHeight="1">
      <c r="C30" s="191" t="s">
        <v>36</v>
      </c>
    </row>
    <row r="31" spans="1:48" ht="15" customHeight="1">
      <c r="E31" s="123" t="str">
        <f xml:space="preserve"> E$22</f>
        <v>Copper revenue (calculated)</v>
      </c>
      <c r="F31" s="123">
        <f t="shared" ref="F31:AV31" si="4" xml:space="preserve"> F$22</f>
        <v>0</v>
      </c>
      <c r="G31" s="123" t="str">
        <f t="shared" si="4"/>
        <v>$ mn</v>
      </c>
      <c r="H31" s="123">
        <f t="shared" si="4"/>
        <v>0</v>
      </c>
      <c r="I31" s="123">
        <f t="shared" si="4"/>
        <v>0</v>
      </c>
      <c r="J31" s="123">
        <f t="shared" si="4"/>
        <v>35433.408749999995</v>
      </c>
      <c r="K31" s="123">
        <f t="shared" si="4"/>
        <v>0</v>
      </c>
      <c r="L31" s="123">
        <f t="shared" si="4"/>
        <v>0</v>
      </c>
      <c r="M31" s="123">
        <f t="shared" si="4"/>
        <v>0</v>
      </c>
      <c r="N31" s="123">
        <f t="shared" si="4"/>
        <v>0</v>
      </c>
      <c r="O31" s="123">
        <f t="shared" si="4"/>
        <v>0</v>
      </c>
      <c r="P31" s="123">
        <f t="shared" si="4"/>
        <v>0</v>
      </c>
      <c r="Q31" s="123">
        <f t="shared" si="4"/>
        <v>1231.2</v>
      </c>
      <c r="R31" s="123">
        <f t="shared" si="4"/>
        <v>1312.1399999999999</v>
      </c>
      <c r="S31" s="123">
        <f t="shared" si="4"/>
        <v>1718.0844999999999</v>
      </c>
      <c r="T31" s="123">
        <f t="shared" si="4"/>
        <v>1942.7642499999999</v>
      </c>
      <c r="U31" s="123">
        <f t="shared" si="4"/>
        <v>2320.66</v>
      </c>
      <c r="V31" s="123">
        <f t="shared" si="4"/>
        <v>2132.1799999999998</v>
      </c>
      <c r="W31" s="123">
        <f t="shared" si="4"/>
        <v>2019.9754999999998</v>
      </c>
      <c r="X31" s="123">
        <f t="shared" si="4"/>
        <v>1883.9164999999998</v>
      </c>
      <c r="Y31" s="123">
        <f t="shared" si="4"/>
        <v>1777.6020000000001</v>
      </c>
      <c r="Z31" s="123">
        <f t="shared" si="4"/>
        <v>1777.6020000000001</v>
      </c>
      <c r="AA31" s="123">
        <f t="shared" si="4"/>
        <v>1777.6020000000001</v>
      </c>
      <c r="AB31" s="123">
        <f t="shared" si="4"/>
        <v>1777.6020000000001</v>
      </c>
      <c r="AC31" s="123">
        <f t="shared" si="4"/>
        <v>1777.6020000000001</v>
      </c>
      <c r="AD31" s="123">
        <f t="shared" si="4"/>
        <v>1777.6020000000001</v>
      </c>
      <c r="AE31" s="123">
        <f t="shared" si="4"/>
        <v>1777.6020000000001</v>
      </c>
      <c r="AF31" s="123">
        <f t="shared" si="4"/>
        <v>1777.6020000000001</v>
      </c>
      <c r="AG31" s="123">
        <f t="shared" si="4"/>
        <v>1777.6020000000001</v>
      </c>
      <c r="AH31" s="123">
        <f t="shared" si="4"/>
        <v>1720.2599999999998</v>
      </c>
      <c r="AI31" s="123">
        <f t="shared" si="4"/>
        <v>1662.9179999999999</v>
      </c>
      <c r="AJ31" s="123">
        <f t="shared" si="4"/>
        <v>1490.8919999999998</v>
      </c>
      <c r="AK31" s="123">
        <f t="shared" si="4"/>
        <v>0</v>
      </c>
      <c r="AL31" s="123">
        <f t="shared" si="4"/>
        <v>0</v>
      </c>
      <c r="AM31" s="123">
        <f t="shared" si="4"/>
        <v>0</v>
      </c>
      <c r="AN31" s="123">
        <f t="shared" si="4"/>
        <v>0</v>
      </c>
      <c r="AO31" s="123">
        <f t="shared" si="4"/>
        <v>0</v>
      </c>
      <c r="AP31" s="123">
        <f t="shared" si="4"/>
        <v>0</v>
      </c>
      <c r="AQ31" s="123">
        <f t="shared" si="4"/>
        <v>0</v>
      </c>
      <c r="AR31" s="123">
        <f t="shared" si="4"/>
        <v>0</v>
      </c>
      <c r="AS31" s="123">
        <f t="shared" si="4"/>
        <v>0</v>
      </c>
      <c r="AT31" s="123">
        <f t="shared" si="4"/>
        <v>0</v>
      </c>
      <c r="AU31" s="123">
        <f t="shared" si="4"/>
        <v>0</v>
      </c>
      <c r="AV31" s="123">
        <f t="shared" si="4"/>
        <v>0</v>
      </c>
    </row>
    <row r="32" spans="1:48" s="123" customFormat="1" ht="15" customHeight="1">
      <c r="A32" s="134"/>
      <c r="B32" s="134"/>
      <c r="C32" s="151"/>
      <c r="E32" s="123" t="str">
        <f xml:space="preserve"> E$28</f>
        <v>Cobalt revenue</v>
      </c>
      <c r="F32" s="123">
        <f t="shared" ref="F32:AV32" si="5" xml:space="preserve"> F$28</f>
        <v>0</v>
      </c>
      <c r="G32" s="123" t="str">
        <f t="shared" si="5"/>
        <v>$ mn</v>
      </c>
      <c r="H32" s="123">
        <f t="shared" si="5"/>
        <v>0</v>
      </c>
      <c r="I32" s="123">
        <f t="shared" si="5"/>
        <v>0</v>
      </c>
      <c r="J32" s="123">
        <f t="shared" si="5"/>
        <v>9581.9501357562276</v>
      </c>
      <c r="K32" s="123">
        <f t="shared" si="5"/>
        <v>0</v>
      </c>
      <c r="L32" s="123">
        <f t="shared" si="5"/>
        <v>0</v>
      </c>
      <c r="M32" s="123">
        <f t="shared" si="5"/>
        <v>0</v>
      </c>
      <c r="N32" s="123">
        <f t="shared" si="5"/>
        <v>0</v>
      </c>
      <c r="O32" s="123">
        <f t="shared" si="5"/>
        <v>0</v>
      </c>
      <c r="P32" s="123">
        <f t="shared" si="5"/>
        <v>0</v>
      </c>
      <c r="Q32" s="123">
        <f t="shared" si="5"/>
        <v>319.93031789215911</v>
      </c>
      <c r="R32" s="123">
        <f t="shared" si="5"/>
        <v>342.6941146795362</v>
      </c>
      <c r="S32" s="123">
        <f t="shared" si="5"/>
        <v>441.85959174725281</v>
      </c>
      <c r="T32" s="123">
        <f t="shared" si="5"/>
        <v>490.35637620731717</v>
      </c>
      <c r="U32" s="123">
        <f t="shared" si="5"/>
        <v>614.05891684113772</v>
      </c>
      <c r="V32" s="123">
        <f t="shared" si="5"/>
        <v>593.17835686527667</v>
      </c>
      <c r="W32" s="123">
        <f t="shared" si="5"/>
        <v>506.67317982242383</v>
      </c>
      <c r="X32" s="123">
        <f t="shared" si="5"/>
        <v>499.00277003537286</v>
      </c>
      <c r="Y32" s="123">
        <f t="shared" si="5"/>
        <v>491.7584941253802</v>
      </c>
      <c r="Z32" s="123">
        <f t="shared" si="5"/>
        <v>491.7584941253802</v>
      </c>
      <c r="AA32" s="123">
        <f t="shared" si="5"/>
        <v>491.7584941253802</v>
      </c>
      <c r="AB32" s="123">
        <f t="shared" si="5"/>
        <v>491.7584941253802</v>
      </c>
      <c r="AC32" s="123">
        <f t="shared" si="5"/>
        <v>491.7584941253802</v>
      </c>
      <c r="AD32" s="123">
        <f t="shared" si="5"/>
        <v>491.7584941253802</v>
      </c>
      <c r="AE32" s="123">
        <f t="shared" si="5"/>
        <v>491.7584941253802</v>
      </c>
      <c r="AF32" s="123">
        <f t="shared" si="5"/>
        <v>491.7584941253802</v>
      </c>
      <c r="AG32" s="123">
        <f t="shared" si="5"/>
        <v>491.7584941253802</v>
      </c>
      <c r="AH32" s="123">
        <f t="shared" si="5"/>
        <v>475.89531689552928</v>
      </c>
      <c r="AI32" s="123">
        <f t="shared" si="5"/>
        <v>460.03213966567824</v>
      </c>
      <c r="AJ32" s="123">
        <f t="shared" si="5"/>
        <v>412.44260797612537</v>
      </c>
      <c r="AK32" s="123">
        <f t="shared" si="5"/>
        <v>0</v>
      </c>
      <c r="AL32" s="123">
        <f t="shared" si="5"/>
        <v>0</v>
      </c>
      <c r="AM32" s="123">
        <f t="shared" si="5"/>
        <v>0</v>
      </c>
      <c r="AN32" s="123">
        <f t="shared" si="5"/>
        <v>0</v>
      </c>
      <c r="AO32" s="123">
        <f t="shared" si="5"/>
        <v>0</v>
      </c>
      <c r="AP32" s="123">
        <f t="shared" si="5"/>
        <v>0</v>
      </c>
      <c r="AQ32" s="123">
        <f t="shared" si="5"/>
        <v>0</v>
      </c>
      <c r="AR32" s="123">
        <f t="shared" si="5"/>
        <v>0</v>
      </c>
      <c r="AS32" s="123">
        <f t="shared" si="5"/>
        <v>0</v>
      </c>
      <c r="AT32" s="123">
        <f t="shared" si="5"/>
        <v>0</v>
      </c>
      <c r="AU32" s="123">
        <f t="shared" si="5"/>
        <v>0</v>
      </c>
      <c r="AV32" s="123">
        <f t="shared" si="5"/>
        <v>0</v>
      </c>
    </row>
    <row r="33" spans="1:48" ht="15" customHeight="1">
      <c r="E33" s="157" t="s">
        <v>37</v>
      </c>
      <c r="F33" s="157"/>
      <c r="G33" s="157" t="s">
        <v>29</v>
      </c>
      <c r="H33" s="156"/>
      <c r="I33" s="158"/>
      <c r="J33" s="157">
        <f xml:space="preserve"> SUM(L33:AV33)</f>
        <v>45015.358885756228</v>
      </c>
      <c r="K33" s="156"/>
      <c r="L33" s="156">
        <f t="shared" ref="L33:AV33" si="6">SUM(L31:L32)</f>
        <v>0</v>
      </c>
      <c r="M33" s="156">
        <f t="shared" si="6"/>
        <v>0</v>
      </c>
      <c r="N33" s="156">
        <f t="shared" si="6"/>
        <v>0</v>
      </c>
      <c r="O33" s="156">
        <f t="shared" si="6"/>
        <v>0</v>
      </c>
      <c r="P33" s="156">
        <f t="shared" si="6"/>
        <v>0</v>
      </c>
      <c r="Q33" s="156">
        <f t="shared" si="6"/>
        <v>1551.1303178921592</v>
      </c>
      <c r="R33" s="156">
        <f t="shared" si="6"/>
        <v>1654.834114679536</v>
      </c>
      <c r="S33" s="156">
        <f t="shared" si="6"/>
        <v>2159.944091747253</v>
      </c>
      <c r="T33" s="156">
        <f t="shared" si="6"/>
        <v>2433.1206262073169</v>
      </c>
      <c r="U33" s="156">
        <f t="shared" si="6"/>
        <v>2934.7189168411378</v>
      </c>
      <c r="V33" s="156">
        <f t="shared" si="6"/>
        <v>2725.3583568652766</v>
      </c>
      <c r="W33" s="156">
        <f t="shared" si="6"/>
        <v>2526.6486798224237</v>
      </c>
      <c r="X33" s="156">
        <f t="shared" si="6"/>
        <v>2382.9192700353728</v>
      </c>
      <c r="Y33" s="156">
        <f t="shared" si="6"/>
        <v>2269.3604941253802</v>
      </c>
      <c r="Z33" s="156">
        <f t="shared" si="6"/>
        <v>2269.3604941253802</v>
      </c>
      <c r="AA33" s="156">
        <f t="shared" si="6"/>
        <v>2269.3604941253802</v>
      </c>
      <c r="AB33" s="156">
        <f t="shared" si="6"/>
        <v>2269.3604941253802</v>
      </c>
      <c r="AC33" s="156">
        <f t="shared" si="6"/>
        <v>2269.3604941253802</v>
      </c>
      <c r="AD33" s="156">
        <f t="shared" si="6"/>
        <v>2269.3604941253802</v>
      </c>
      <c r="AE33" s="156">
        <f t="shared" si="6"/>
        <v>2269.3604941253802</v>
      </c>
      <c r="AF33" s="156">
        <f t="shared" si="6"/>
        <v>2269.3604941253802</v>
      </c>
      <c r="AG33" s="156">
        <f t="shared" si="6"/>
        <v>2269.3604941253802</v>
      </c>
      <c r="AH33" s="156">
        <f t="shared" si="6"/>
        <v>2196.1553168955288</v>
      </c>
      <c r="AI33" s="156">
        <f t="shared" si="6"/>
        <v>2122.9501396656783</v>
      </c>
      <c r="AJ33" s="156">
        <f t="shared" si="6"/>
        <v>1903.3346079761252</v>
      </c>
      <c r="AK33" s="156">
        <f t="shared" si="6"/>
        <v>0</v>
      </c>
      <c r="AL33" s="156">
        <f t="shared" si="6"/>
        <v>0</v>
      </c>
      <c r="AM33" s="156">
        <f t="shared" si="6"/>
        <v>0</v>
      </c>
      <c r="AN33" s="156">
        <f t="shared" si="6"/>
        <v>0</v>
      </c>
      <c r="AO33" s="156">
        <f t="shared" si="6"/>
        <v>0</v>
      </c>
      <c r="AP33" s="156">
        <f t="shared" si="6"/>
        <v>0</v>
      </c>
      <c r="AQ33" s="156">
        <f t="shared" si="6"/>
        <v>0</v>
      </c>
      <c r="AR33" s="156">
        <f t="shared" si="6"/>
        <v>0</v>
      </c>
      <c r="AS33" s="156">
        <f t="shared" si="6"/>
        <v>0</v>
      </c>
      <c r="AT33" s="156">
        <f t="shared" si="6"/>
        <v>0</v>
      </c>
      <c r="AU33" s="156">
        <f t="shared" si="6"/>
        <v>0</v>
      </c>
      <c r="AV33" s="156">
        <f t="shared" si="6"/>
        <v>0</v>
      </c>
    </row>
    <row r="34" spans="1:48" ht="15" customHeight="1">
      <c r="E34" s="110" t="s">
        <v>170</v>
      </c>
      <c r="G34" s="110" t="s">
        <v>29</v>
      </c>
      <c r="J34" s="110">
        <f xml:space="preserve"> SUM(L34:AV34)</f>
        <v>2.3588857562303929</v>
      </c>
      <c r="L34" s="123">
        <f t="shared" ref="L34:AV34" si="7" xml:space="preserve"> L33 - L36</f>
        <v>0</v>
      </c>
      <c r="M34" s="123">
        <f t="shared" si="7"/>
        <v>0</v>
      </c>
      <c r="N34" s="123">
        <f t="shared" si="7"/>
        <v>0</v>
      </c>
      <c r="O34" s="123">
        <f t="shared" si="7"/>
        <v>0</v>
      </c>
      <c r="P34" s="123">
        <f t="shared" si="7"/>
        <v>0</v>
      </c>
      <c r="Q34" s="123">
        <f t="shared" si="7"/>
        <v>186.13031789215916</v>
      </c>
      <c r="R34" s="123">
        <f t="shared" si="7"/>
        <v>71.834114679536015</v>
      </c>
      <c r="S34" s="123">
        <f t="shared" si="7"/>
        <v>364.94409174725297</v>
      </c>
      <c r="T34" s="123">
        <f t="shared" si="7"/>
        <v>-63.879373792683054</v>
      </c>
      <c r="U34" s="123">
        <f t="shared" si="7"/>
        <v>145.7189168411378</v>
      </c>
      <c r="V34" s="123">
        <f t="shared" si="7"/>
        <v>88.358356865276619</v>
      </c>
      <c r="W34" s="123">
        <f t="shared" si="7"/>
        <v>-82.351320177576326</v>
      </c>
      <c r="X34" s="123">
        <f t="shared" si="7"/>
        <v>-72.080729964627153</v>
      </c>
      <c r="Y34" s="123">
        <f t="shared" si="7"/>
        <v>-54.639505874619772</v>
      </c>
      <c r="Z34" s="123">
        <f t="shared" si="7"/>
        <v>-50.639505874619772</v>
      </c>
      <c r="AA34" s="123">
        <f t="shared" si="7"/>
        <v>-48.639505874619772</v>
      </c>
      <c r="AB34" s="123">
        <f t="shared" si="7"/>
        <v>-84.639505874619772</v>
      </c>
      <c r="AC34" s="123">
        <f t="shared" si="7"/>
        <v>-92.639505874619772</v>
      </c>
      <c r="AD34" s="123">
        <f t="shared" si="7"/>
        <v>-99.639505874619772</v>
      </c>
      <c r="AE34" s="123">
        <f t="shared" si="7"/>
        <v>-93.639505874619772</v>
      </c>
      <c r="AF34" s="123">
        <f t="shared" si="7"/>
        <v>-62.639505874619772</v>
      </c>
      <c r="AG34" s="123">
        <f t="shared" si="7"/>
        <v>-3.6395058746197719</v>
      </c>
      <c r="AH34" s="123">
        <f t="shared" si="7"/>
        <v>-61.844683104471187</v>
      </c>
      <c r="AI34" s="123">
        <f t="shared" si="7"/>
        <v>-44.049860334321693</v>
      </c>
      <c r="AJ34" s="123">
        <f t="shared" si="7"/>
        <v>60.334607976125199</v>
      </c>
      <c r="AK34" s="123">
        <f t="shared" si="7"/>
        <v>0</v>
      </c>
      <c r="AL34" s="123">
        <f t="shared" si="7"/>
        <v>0</v>
      </c>
      <c r="AM34" s="123">
        <f t="shared" si="7"/>
        <v>0</v>
      </c>
      <c r="AN34" s="123">
        <f t="shared" si="7"/>
        <v>0</v>
      </c>
      <c r="AO34" s="123">
        <f t="shared" si="7"/>
        <v>0</v>
      </c>
      <c r="AP34" s="123">
        <f t="shared" si="7"/>
        <v>0</v>
      </c>
      <c r="AQ34" s="123">
        <f t="shared" si="7"/>
        <v>0</v>
      </c>
      <c r="AR34" s="123">
        <f t="shared" si="7"/>
        <v>0</v>
      </c>
      <c r="AS34" s="123">
        <f t="shared" si="7"/>
        <v>0</v>
      </c>
      <c r="AT34" s="123">
        <f t="shared" si="7"/>
        <v>0</v>
      </c>
      <c r="AU34" s="123">
        <f t="shared" si="7"/>
        <v>0</v>
      </c>
      <c r="AV34" s="123">
        <f t="shared" si="7"/>
        <v>0</v>
      </c>
    </row>
    <row r="35" spans="1:48" ht="15" customHeight="1">
      <c r="Q35" s="187" t="s">
        <v>171</v>
      </c>
    </row>
    <row r="36" spans="1:48" s="112" customFormat="1" ht="14.4" customHeight="1">
      <c r="A36" s="155"/>
      <c r="B36" s="155"/>
      <c r="C36" s="191"/>
      <c r="E36" s="170" t="str">
        <f xml:space="preserve"> InputsTS!E$411</f>
        <v>Revenue 2011TR</v>
      </c>
      <c r="F36" s="170">
        <f xml:space="preserve"> InputsTS!F$411</f>
        <v>0</v>
      </c>
      <c r="G36" s="170" t="str">
        <f xml:space="preserve"> InputsTS!G$411</f>
        <v>$ mn</v>
      </c>
      <c r="H36" s="170">
        <f xml:space="preserve"> InputsTS!H$411</f>
        <v>0</v>
      </c>
      <c r="I36" s="170" t="str">
        <f xml:space="preserve"> InputsTS!I$411</f>
        <v>XVII</v>
      </c>
      <c r="J36" s="170">
        <f xml:space="preserve"> InputsTS!J$411</f>
        <v>45013</v>
      </c>
      <c r="K36" s="170">
        <f xml:space="preserve"> InputsTS!K$411</f>
        <v>0</v>
      </c>
      <c r="L36" s="170">
        <f xml:space="preserve"> InputsTS!L$411</f>
        <v>0</v>
      </c>
      <c r="M36" s="170">
        <f xml:space="preserve"> InputsTS!M$411</f>
        <v>0</v>
      </c>
      <c r="N36" s="170">
        <f xml:space="preserve"> InputsTS!N$411</f>
        <v>0</v>
      </c>
      <c r="O36" s="170">
        <f xml:space="preserve"> InputsTS!O$411</f>
        <v>0</v>
      </c>
      <c r="P36" s="170">
        <f xml:space="preserve"> InputsTS!P$411</f>
        <v>0</v>
      </c>
      <c r="Q36" s="170">
        <f xml:space="preserve"> InputsTS!Q$411</f>
        <v>1365</v>
      </c>
      <c r="R36" s="170">
        <f xml:space="preserve"> InputsTS!R$411</f>
        <v>1583</v>
      </c>
      <c r="S36" s="170">
        <f xml:space="preserve"> InputsTS!S$411</f>
        <v>1795</v>
      </c>
      <c r="T36" s="170">
        <f xml:space="preserve"> InputsTS!T$411</f>
        <v>2497</v>
      </c>
      <c r="U36" s="170">
        <f xml:space="preserve"> InputsTS!U$411</f>
        <v>2789</v>
      </c>
      <c r="V36" s="170">
        <f xml:space="preserve"> InputsTS!V$411</f>
        <v>2637</v>
      </c>
      <c r="W36" s="170">
        <f xml:space="preserve"> InputsTS!W$411</f>
        <v>2609</v>
      </c>
      <c r="X36" s="170">
        <f xml:space="preserve"> InputsTS!X$411</f>
        <v>2455</v>
      </c>
      <c r="Y36" s="170">
        <f xml:space="preserve"> InputsTS!Y$411</f>
        <v>2324</v>
      </c>
      <c r="Z36" s="170">
        <f xml:space="preserve"> InputsTS!Z$411</f>
        <v>2320</v>
      </c>
      <c r="AA36" s="170">
        <f xml:space="preserve"> InputsTS!AA$411</f>
        <v>2318</v>
      </c>
      <c r="AB36" s="170">
        <f xml:space="preserve"> InputsTS!AB$411</f>
        <v>2354</v>
      </c>
      <c r="AC36" s="170">
        <f xml:space="preserve"> InputsTS!AC$411</f>
        <v>2362</v>
      </c>
      <c r="AD36" s="170">
        <f xml:space="preserve"> InputsTS!AD$411</f>
        <v>2369</v>
      </c>
      <c r="AE36" s="170">
        <f xml:space="preserve"> InputsTS!AE$411</f>
        <v>2363</v>
      </c>
      <c r="AF36" s="170">
        <f xml:space="preserve"> InputsTS!AF$411</f>
        <v>2332</v>
      </c>
      <c r="AG36" s="170">
        <f xml:space="preserve"> InputsTS!AG$411</f>
        <v>2273</v>
      </c>
      <c r="AH36" s="170">
        <f xml:space="preserve"> InputsTS!AH$411</f>
        <v>2258</v>
      </c>
      <c r="AI36" s="170">
        <f xml:space="preserve"> InputsTS!AI$411</f>
        <v>2167</v>
      </c>
      <c r="AJ36" s="170">
        <f xml:space="preserve"> InputsTS!AJ$411</f>
        <v>1843</v>
      </c>
      <c r="AK36" s="170">
        <f xml:space="preserve"> InputsTS!AK$411</f>
        <v>0</v>
      </c>
      <c r="AL36" s="170">
        <f xml:space="preserve"> InputsTS!AL$411</f>
        <v>0</v>
      </c>
      <c r="AM36" s="170">
        <f xml:space="preserve"> InputsTS!AM$411</f>
        <v>0</v>
      </c>
      <c r="AN36" s="170">
        <f xml:space="preserve"> InputsTS!AN$411</f>
        <v>0</v>
      </c>
      <c r="AO36" s="170">
        <f xml:space="preserve"> InputsTS!AO$411</f>
        <v>0</v>
      </c>
      <c r="AP36" s="170">
        <f xml:space="preserve"> InputsTS!AP$411</f>
        <v>0</v>
      </c>
      <c r="AQ36" s="170">
        <f xml:space="preserve"> InputsTS!AQ$411</f>
        <v>0</v>
      </c>
      <c r="AR36" s="170">
        <f xml:space="preserve"> InputsTS!AR$411</f>
        <v>0</v>
      </c>
      <c r="AS36" s="170">
        <f xml:space="preserve"> InputsTS!AS$411</f>
        <v>0</v>
      </c>
      <c r="AT36" s="170">
        <f xml:space="preserve"> InputsTS!AT$411</f>
        <v>0</v>
      </c>
      <c r="AU36" s="170">
        <f xml:space="preserve"> InputsTS!AU$411</f>
        <v>0</v>
      </c>
      <c r="AV36" s="170">
        <f xml:space="preserve"> InputsTS!AV$411</f>
        <v>0</v>
      </c>
    </row>
    <row r="38" spans="1:48" ht="15" customHeight="1">
      <c r="C38" s="191" t="s">
        <v>39</v>
      </c>
      <c r="Q38" s="78"/>
      <c r="R38" s="78"/>
      <c r="S38" s="78"/>
      <c r="T38" s="78"/>
      <c r="U38" s="78"/>
      <c r="V38" s="78"/>
      <c r="W38" s="78"/>
      <c r="X38" s="78"/>
    </row>
    <row r="39" spans="1:48" s="123" customFormat="1" ht="15" customHeight="1">
      <c r="A39" s="134"/>
      <c r="B39" s="134"/>
      <c r="C39" s="151"/>
      <c r="E39" s="170" t="str">
        <f xml:space="preserve"> InputsTS!E$412</f>
        <v>Freight, Insurance &amp; Sales 2011TR</v>
      </c>
      <c r="F39" s="170">
        <f xml:space="preserve"> InputsTS!F$412</f>
        <v>0</v>
      </c>
      <c r="G39" s="170" t="str">
        <f xml:space="preserve"> InputsTS!G$412</f>
        <v>$ mn</v>
      </c>
      <c r="H39" s="170">
        <f xml:space="preserve"> InputsTS!H$412</f>
        <v>0</v>
      </c>
      <c r="I39" s="170" t="str">
        <f xml:space="preserve"> InputsTS!I$412</f>
        <v>XVII</v>
      </c>
      <c r="J39" s="170">
        <f xml:space="preserve"> InputsTS!J$412</f>
        <v>-4714</v>
      </c>
      <c r="K39" s="170">
        <f xml:space="preserve"> InputsTS!K$412</f>
        <v>0</v>
      </c>
      <c r="L39" s="170">
        <f xml:space="preserve"> InputsTS!L$412</f>
        <v>0</v>
      </c>
      <c r="M39" s="170">
        <f xml:space="preserve"> InputsTS!M$412</f>
        <v>0</v>
      </c>
      <c r="N39" s="170">
        <f xml:space="preserve"> InputsTS!N$412</f>
        <v>0</v>
      </c>
      <c r="O39" s="170">
        <f xml:space="preserve"> InputsTS!O$412</f>
        <v>0</v>
      </c>
      <c r="P39" s="170">
        <f xml:space="preserve"> InputsTS!P$412</f>
        <v>0</v>
      </c>
      <c r="Q39" s="170">
        <f xml:space="preserve"> InputsTS!Q$412</f>
        <v>-151</v>
      </c>
      <c r="R39" s="170">
        <f xml:space="preserve"> InputsTS!R$412</f>
        <v>-123</v>
      </c>
      <c r="S39" s="170">
        <f xml:space="preserve"> InputsTS!S$412</f>
        <v>-145</v>
      </c>
      <c r="T39" s="170">
        <f xml:space="preserve"> InputsTS!T$412</f>
        <v>-208</v>
      </c>
      <c r="U39" s="170">
        <f xml:space="preserve"> InputsTS!U$412</f>
        <v>-243</v>
      </c>
      <c r="V39" s="170">
        <f xml:space="preserve"> InputsTS!V$412</f>
        <v>-247</v>
      </c>
      <c r="W39" s="170">
        <f xml:space="preserve"> InputsTS!W$412</f>
        <v>-263</v>
      </c>
      <c r="X39" s="170">
        <f xml:space="preserve"> InputsTS!X$412</f>
        <v>-261</v>
      </c>
      <c r="Y39" s="170">
        <f xml:space="preserve"> InputsTS!Y$412</f>
        <v>-258</v>
      </c>
      <c r="Z39" s="170">
        <f xml:space="preserve"> InputsTS!Z$412</f>
        <v>-262</v>
      </c>
      <c r="AA39" s="170">
        <f xml:space="preserve"> InputsTS!AA$412</f>
        <v>-262</v>
      </c>
      <c r="AB39" s="170">
        <f xml:space="preserve"> InputsTS!AB$412</f>
        <v>-266</v>
      </c>
      <c r="AC39" s="170">
        <f xml:space="preserve"> InputsTS!AC$412</f>
        <v>-267</v>
      </c>
      <c r="AD39" s="170">
        <f xml:space="preserve"> InputsTS!AD$412</f>
        <v>-268</v>
      </c>
      <c r="AE39" s="170">
        <f xml:space="preserve"> InputsTS!AE$412</f>
        <v>-267</v>
      </c>
      <c r="AF39" s="170">
        <f xml:space="preserve"> InputsTS!AF$412</f>
        <v>-264</v>
      </c>
      <c r="AG39" s="170">
        <f xml:space="preserve"> InputsTS!AG$412</f>
        <v>-257</v>
      </c>
      <c r="AH39" s="170">
        <f xml:space="preserve"> InputsTS!AH$412</f>
        <v>-255</v>
      </c>
      <c r="AI39" s="170">
        <f xml:space="preserve"> InputsTS!AI$412</f>
        <v>-243</v>
      </c>
      <c r="AJ39" s="170">
        <f xml:space="preserve"> InputsTS!AJ$412</f>
        <v>-204</v>
      </c>
      <c r="AK39" s="170">
        <f xml:space="preserve"> InputsTS!AK$412</f>
        <v>0</v>
      </c>
      <c r="AL39" s="170">
        <f xml:space="preserve"> InputsTS!AL$412</f>
        <v>0</v>
      </c>
      <c r="AM39" s="170">
        <f xml:space="preserve"> InputsTS!AM$412</f>
        <v>0</v>
      </c>
      <c r="AN39" s="170">
        <f xml:space="preserve"> InputsTS!AN$412</f>
        <v>0</v>
      </c>
      <c r="AO39" s="170">
        <f xml:space="preserve"> InputsTS!AO$412</f>
        <v>0</v>
      </c>
      <c r="AP39" s="170">
        <f xml:space="preserve"> InputsTS!AP$412</f>
        <v>0</v>
      </c>
      <c r="AQ39" s="170">
        <f xml:space="preserve"> InputsTS!AQ$412</f>
        <v>0</v>
      </c>
      <c r="AR39" s="170">
        <f xml:space="preserve"> InputsTS!AR$412</f>
        <v>0</v>
      </c>
      <c r="AS39" s="170">
        <f xml:space="preserve"> InputsTS!AS$412</f>
        <v>0</v>
      </c>
      <c r="AT39" s="170">
        <f xml:space="preserve"> InputsTS!AT$412</f>
        <v>0</v>
      </c>
      <c r="AU39" s="170">
        <f xml:space="preserve"> InputsTS!AU$412</f>
        <v>0</v>
      </c>
      <c r="AV39" s="170">
        <f xml:space="preserve"> InputsTS!AV$412</f>
        <v>0</v>
      </c>
    </row>
    <row r="40" spans="1:48" s="123" customFormat="1" ht="15" customHeight="1">
      <c r="A40" s="134"/>
      <c r="B40" s="134"/>
      <c r="C40" s="151"/>
      <c r="E40" s="170" t="str">
        <f xml:space="preserve"> InputsTS!E$413</f>
        <v>Royalties 2011TR</v>
      </c>
      <c r="F40" s="170">
        <f xml:space="preserve"> InputsTS!F$413</f>
        <v>0</v>
      </c>
      <c r="G40" s="170" t="str">
        <f xml:space="preserve"> InputsTS!G$413</f>
        <v>$ mn</v>
      </c>
      <c r="H40" s="170">
        <f xml:space="preserve"> InputsTS!H$413</f>
        <v>0</v>
      </c>
      <c r="I40" s="170" t="str">
        <f xml:space="preserve"> InputsTS!I$413</f>
        <v>XVII</v>
      </c>
      <c r="J40" s="170">
        <f xml:space="preserve"> InputsTS!J$413</f>
        <v>-1755</v>
      </c>
      <c r="K40" s="170">
        <f xml:space="preserve"> InputsTS!K$413</f>
        <v>0</v>
      </c>
      <c r="L40" s="170">
        <f xml:space="preserve"> InputsTS!L$413</f>
        <v>0</v>
      </c>
      <c r="M40" s="170">
        <f xml:space="preserve"> InputsTS!M$413</f>
        <v>0</v>
      </c>
      <c r="N40" s="170">
        <f xml:space="preserve"> InputsTS!N$413</f>
        <v>0</v>
      </c>
      <c r="O40" s="170">
        <f xml:space="preserve"> InputsTS!O$413</f>
        <v>0</v>
      </c>
      <c r="P40" s="170">
        <f xml:space="preserve"> InputsTS!P$413</f>
        <v>0</v>
      </c>
      <c r="Q40" s="170">
        <f xml:space="preserve"> InputsTS!Q$413</f>
        <v>-55</v>
      </c>
      <c r="R40" s="170">
        <f xml:space="preserve"> InputsTS!R$413</f>
        <v>-66</v>
      </c>
      <c r="S40" s="170">
        <f xml:space="preserve"> InputsTS!S$413</f>
        <v>-74</v>
      </c>
      <c r="T40" s="170">
        <f xml:space="preserve"> InputsTS!T$413</f>
        <v>-103</v>
      </c>
      <c r="U40" s="170">
        <f xml:space="preserve"> InputsTS!U$413</f>
        <v>-83</v>
      </c>
      <c r="V40" s="170">
        <f xml:space="preserve"> InputsTS!V$413</f>
        <v>-78</v>
      </c>
      <c r="W40" s="170">
        <f xml:space="preserve"> InputsTS!W$413</f>
        <v>-106</v>
      </c>
      <c r="X40" s="170">
        <f xml:space="preserve"> InputsTS!X$413</f>
        <v>-99</v>
      </c>
      <c r="Y40" s="170">
        <f xml:space="preserve"> InputsTS!Y$413</f>
        <v>-93</v>
      </c>
      <c r="Z40" s="170">
        <f xml:space="preserve"> InputsTS!Z$413</f>
        <v>-93</v>
      </c>
      <c r="AA40" s="170">
        <f xml:space="preserve"> InputsTS!AA$413</f>
        <v>-93</v>
      </c>
      <c r="AB40" s="170">
        <f xml:space="preserve"> InputsTS!AB$413</f>
        <v>-94</v>
      </c>
      <c r="AC40" s="170">
        <f xml:space="preserve"> InputsTS!AC$413</f>
        <v>-94</v>
      </c>
      <c r="AD40" s="170">
        <f xml:space="preserve"> InputsTS!AD$413</f>
        <v>-95</v>
      </c>
      <c r="AE40" s="170">
        <f xml:space="preserve"> InputsTS!AE$413</f>
        <v>-94</v>
      </c>
      <c r="AF40" s="170">
        <f xml:space="preserve"> InputsTS!AF$413</f>
        <v>-93</v>
      </c>
      <c r="AG40" s="170">
        <f xml:space="preserve"> InputsTS!AG$413</f>
        <v>-91</v>
      </c>
      <c r="AH40" s="170">
        <f xml:space="preserve"> InputsTS!AH$413</f>
        <v>-90</v>
      </c>
      <c r="AI40" s="170">
        <f xml:space="preserve"> InputsTS!AI$413</f>
        <v>-87</v>
      </c>
      <c r="AJ40" s="170">
        <f xml:space="preserve"> InputsTS!AJ$413</f>
        <v>-74</v>
      </c>
      <c r="AK40" s="170">
        <f xml:space="preserve"> InputsTS!AK$413</f>
        <v>0</v>
      </c>
      <c r="AL40" s="170">
        <f xml:space="preserve"> InputsTS!AL$413</f>
        <v>0</v>
      </c>
      <c r="AM40" s="170">
        <f xml:space="preserve"> InputsTS!AM$413</f>
        <v>0</v>
      </c>
      <c r="AN40" s="170">
        <f xml:space="preserve"> InputsTS!AN$413</f>
        <v>0</v>
      </c>
      <c r="AO40" s="170">
        <f xml:space="preserve"> InputsTS!AO$413</f>
        <v>0</v>
      </c>
      <c r="AP40" s="170">
        <f xml:space="preserve"> InputsTS!AP$413</f>
        <v>0</v>
      </c>
      <c r="AQ40" s="170">
        <f xml:space="preserve"> InputsTS!AQ$413</f>
        <v>0</v>
      </c>
      <c r="AR40" s="170">
        <f xml:space="preserve"> InputsTS!AR$413</f>
        <v>0</v>
      </c>
      <c r="AS40" s="170">
        <f xml:space="preserve"> InputsTS!AS$413</f>
        <v>0</v>
      </c>
      <c r="AT40" s="170">
        <f xml:space="preserve"> InputsTS!AT$413</f>
        <v>0</v>
      </c>
      <c r="AU40" s="170">
        <f xml:space="preserve"> InputsTS!AU$413</f>
        <v>0</v>
      </c>
      <c r="AV40" s="170">
        <f xml:space="preserve"> InputsTS!AV$413</f>
        <v>0</v>
      </c>
    </row>
    <row r="41" spans="1:48" s="123" customFormat="1" ht="15" customHeight="1">
      <c r="A41" s="134"/>
      <c r="B41" s="134"/>
      <c r="C41" s="151"/>
      <c r="E41" s="170" t="str">
        <f xml:space="preserve"> InputsTS!E$414</f>
        <v>Net Revenue 2011TR</v>
      </c>
      <c r="F41" s="170">
        <f xml:space="preserve"> InputsTS!F$414</f>
        <v>0</v>
      </c>
      <c r="G41" s="170" t="str">
        <f xml:space="preserve"> InputsTS!G$414</f>
        <v>$ mn</v>
      </c>
      <c r="H41" s="170">
        <f xml:space="preserve"> InputsTS!H$414</f>
        <v>0</v>
      </c>
      <c r="I41" s="170" t="str">
        <f xml:space="preserve"> InputsTS!I$414</f>
        <v>XVII</v>
      </c>
      <c r="J41" s="170">
        <f xml:space="preserve"> InputsTS!J$414</f>
        <v>38546</v>
      </c>
      <c r="K41" s="170">
        <f xml:space="preserve"> InputsTS!K$414</f>
        <v>0</v>
      </c>
      <c r="L41" s="170">
        <f xml:space="preserve"> InputsTS!L$414</f>
        <v>0</v>
      </c>
      <c r="M41" s="170">
        <f xml:space="preserve"> InputsTS!M$414</f>
        <v>0</v>
      </c>
      <c r="N41" s="170">
        <f xml:space="preserve"> InputsTS!N$414</f>
        <v>0</v>
      </c>
      <c r="O41" s="170">
        <f xml:space="preserve"> InputsTS!O$414</f>
        <v>0</v>
      </c>
      <c r="P41" s="170">
        <f xml:space="preserve"> InputsTS!P$414</f>
        <v>0</v>
      </c>
      <c r="Q41" s="170">
        <f xml:space="preserve"> InputsTS!Q$414</f>
        <v>1160</v>
      </c>
      <c r="R41" s="170">
        <f xml:space="preserve"> InputsTS!R$414</f>
        <v>1394</v>
      </c>
      <c r="S41" s="170">
        <f xml:space="preserve"> InputsTS!S$414</f>
        <v>1575</v>
      </c>
      <c r="T41" s="170">
        <f xml:space="preserve"> InputsTS!T$414</f>
        <v>2185</v>
      </c>
      <c r="U41" s="170">
        <f xml:space="preserve"> InputsTS!U$414</f>
        <v>2464</v>
      </c>
      <c r="V41" s="170">
        <f xml:space="preserve"> InputsTS!V$414</f>
        <v>2313</v>
      </c>
      <c r="W41" s="170">
        <f xml:space="preserve"> InputsTS!W$414</f>
        <v>2240</v>
      </c>
      <c r="X41" s="170">
        <f xml:space="preserve"> InputsTS!X$414</f>
        <v>2095</v>
      </c>
      <c r="Y41" s="170">
        <f xml:space="preserve"> InputsTS!Y$414</f>
        <v>1973</v>
      </c>
      <c r="Z41" s="170">
        <f xml:space="preserve"> InputsTS!Z$414</f>
        <v>1966</v>
      </c>
      <c r="AA41" s="170">
        <f xml:space="preserve"> InputsTS!AA$414</f>
        <v>1964</v>
      </c>
      <c r="AB41" s="170">
        <f xml:space="preserve"> InputsTS!AB$414</f>
        <v>1993</v>
      </c>
      <c r="AC41" s="170">
        <f xml:space="preserve"> InputsTS!AC$414</f>
        <v>2000</v>
      </c>
      <c r="AD41" s="170">
        <f xml:space="preserve"> InputsTS!AD$414</f>
        <v>2007</v>
      </c>
      <c r="AE41" s="170">
        <f xml:space="preserve"> InputsTS!AE$414</f>
        <v>2002</v>
      </c>
      <c r="AF41" s="170">
        <f xml:space="preserve"> InputsTS!AF$414</f>
        <v>1975</v>
      </c>
      <c r="AG41" s="170">
        <f xml:space="preserve"> InputsTS!AG$414</f>
        <v>1925</v>
      </c>
      <c r="AH41" s="170">
        <f xml:space="preserve"> InputsTS!AH$414</f>
        <v>1913</v>
      </c>
      <c r="AI41" s="170">
        <f xml:space="preserve"> InputsTS!AI$414</f>
        <v>1837</v>
      </c>
      <c r="AJ41" s="170">
        <f xml:space="preserve"> InputsTS!AJ$414</f>
        <v>1565</v>
      </c>
      <c r="AK41" s="170">
        <f xml:space="preserve"> InputsTS!AK$414</f>
        <v>0</v>
      </c>
      <c r="AL41" s="170">
        <f xml:space="preserve"> InputsTS!AL$414</f>
        <v>0</v>
      </c>
      <c r="AM41" s="170">
        <f xml:space="preserve"> InputsTS!AM$414</f>
        <v>0</v>
      </c>
      <c r="AN41" s="170">
        <f xml:space="preserve"> InputsTS!AN$414</f>
        <v>0</v>
      </c>
      <c r="AO41" s="170">
        <f xml:space="preserve"> InputsTS!AO$414</f>
        <v>0</v>
      </c>
      <c r="AP41" s="170">
        <f xml:space="preserve"> InputsTS!AP$414</f>
        <v>0</v>
      </c>
      <c r="AQ41" s="170">
        <f xml:space="preserve"> InputsTS!AQ$414</f>
        <v>0</v>
      </c>
      <c r="AR41" s="170">
        <f xml:space="preserve"> InputsTS!AR$414</f>
        <v>0</v>
      </c>
      <c r="AS41" s="170">
        <f xml:space="preserve"> InputsTS!AS$414</f>
        <v>0</v>
      </c>
      <c r="AT41" s="170">
        <f xml:space="preserve"> InputsTS!AT$414</f>
        <v>0</v>
      </c>
      <c r="AU41" s="170">
        <f xml:space="preserve"> InputsTS!AU$414</f>
        <v>0</v>
      </c>
      <c r="AV41" s="170">
        <f xml:space="preserve"> InputsTS!AV$414</f>
        <v>0</v>
      </c>
    </row>
    <row r="42" spans="1:48" s="123" customFormat="1" ht="15" customHeight="1">
      <c r="A42" s="134"/>
      <c r="B42" s="134"/>
      <c r="C42" s="151"/>
      <c r="E42" s="123" t="s">
        <v>113</v>
      </c>
      <c r="G42" s="123" t="str">
        <f xml:space="preserve"> G41</f>
        <v>$ mn</v>
      </c>
      <c r="J42" s="123">
        <f xml:space="preserve"> SUM(L42:AV42)</f>
        <v>-2</v>
      </c>
      <c r="L42" s="123">
        <f xml:space="preserve"> L36 + L39 + L40 - L41</f>
        <v>0</v>
      </c>
      <c r="M42" s="123">
        <f t="shared" ref="M42:AV42" si="8" xml:space="preserve"> M36 + M39 + M40 - M41</f>
        <v>0</v>
      </c>
      <c r="N42" s="123">
        <f t="shared" si="8"/>
        <v>0</v>
      </c>
      <c r="O42" s="123">
        <f t="shared" si="8"/>
        <v>0</v>
      </c>
      <c r="P42" s="123">
        <f t="shared" si="8"/>
        <v>0</v>
      </c>
      <c r="Q42" s="123">
        <f t="shared" si="8"/>
        <v>-1</v>
      </c>
      <c r="R42" s="123">
        <f t="shared" si="8"/>
        <v>0</v>
      </c>
      <c r="S42" s="123">
        <f t="shared" si="8"/>
        <v>1</v>
      </c>
      <c r="T42" s="123">
        <f t="shared" si="8"/>
        <v>1</v>
      </c>
      <c r="U42" s="123">
        <f t="shared" si="8"/>
        <v>-1</v>
      </c>
      <c r="V42" s="123">
        <f t="shared" si="8"/>
        <v>-1</v>
      </c>
      <c r="W42" s="123">
        <f t="shared" si="8"/>
        <v>0</v>
      </c>
      <c r="X42" s="123">
        <f t="shared" si="8"/>
        <v>0</v>
      </c>
      <c r="Y42" s="123">
        <f t="shared" si="8"/>
        <v>0</v>
      </c>
      <c r="Z42" s="123">
        <f t="shared" si="8"/>
        <v>-1</v>
      </c>
      <c r="AA42" s="123">
        <f t="shared" si="8"/>
        <v>-1</v>
      </c>
      <c r="AB42" s="123">
        <f t="shared" si="8"/>
        <v>1</v>
      </c>
      <c r="AC42" s="123">
        <f t="shared" si="8"/>
        <v>1</v>
      </c>
      <c r="AD42" s="123">
        <f t="shared" si="8"/>
        <v>-1</v>
      </c>
      <c r="AE42" s="123">
        <f t="shared" si="8"/>
        <v>0</v>
      </c>
      <c r="AF42" s="123">
        <f t="shared" si="8"/>
        <v>0</v>
      </c>
      <c r="AG42" s="123">
        <f t="shared" si="8"/>
        <v>0</v>
      </c>
      <c r="AH42" s="123">
        <f t="shared" si="8"/>
        <v>0</v>
      </c>
      <c r="AI42" s="123">
        <f t="shared" si="8"/>
        <v>0</v>
      </c>
      <c r="AJ42" s="123">
        <f t="shared" si="8"/>
        <v>0</v>
      </c>
      <c r="AK42" s="123">
        <f t="shared" si="8"/>
        <v>0</v>
      </c>
      <c r="AL42" s="123">
        <f t="shared" si="8"/>
        <v>0</v>
      </c>
      <c r="AM42" s="123">
        <f t="shared" si="8"/>
        <v>0</v>
      </c>
      <c r="AN42" s="123">
        <f t="shared" si="8"/>
        <v>0</v>
      </c>
      <c r="AO42" s="123">
        <f t="shared" si="8"/>
        <v>0</v>
      </c>
      <c r="AP42" s="123">
        <f t="shared" si="8"/>
        <v>0</v>
      </c>
      <c r="AQ42" s="123">
        <f t="shared" si="8"/>
        <v>0</v>
      </c>
      <c r="AR42" s="123">
        <f t="shared" si="8"/>
        <v>0</v>
      </c>
      <c r="AS42" s="123">
        <f t="shared" si="8"/>
        <v>0</v>
      </c>
      <c r="AT42" s="123">
        <f t="shared" si="8"/>
        <v>0</v>
      </c>
      <c r="AU42" s="123">
        <f t="shared" si="8"/>
        <v>0</v>
      </c>
      <c r="AV42" s="123">
        <f t="shared" si="8"/>
        <v>0</v>
      </c>
    </row>
    <row r="43" spans="1:48" s="123" customFormat="1" ht="15" customHeight="1">
      <c r="A43" s="134"/>
      <c r="B43" s="134"/>
      <c r="C43" s="151"/>
    </row>
    <row r="44" spans="1:48" s="123" customFormat="1" ht="15" customHeight="1">
      <c r="A44" s="134"/>
      <c r="B44" s="134"/>
      <c r="C44" s="151"/>
      <c r="E44" s="123" t="s">
        <v>172</v>
      </c>
      <c r="G44" s="123" t="s">
        <v>29</v>
      </c>
      <c r="J44" s="123">
        <f xml:space="preserve"> SUM(L44:AV44)</f>
        <v>40299</v>
      </c>
      <c r="L44" s="123">
        <f t="shared" ref="L44:AV44" si="9" xml:space="preserve"> L36 + L39</f>
        <v>0</v>
      </c>
      <c r="M44" s="123">
        <f t="shared" si="9"/>
        <v>0</v>
      </c>
      <c r="N44" s="123">
        <f t="shared" si="9"/>
        <v>0</v>
      </c>
      <c r="O44" s="123">
        <f t="shared" si="9"/>
        <v>0</v>
      </c>
      <c r="P44" s="123">
        <f t="shared" si="9"/>
        <v>0</v>
      </c>
      <c r="Q44" s="123">
        <f t="shared" si="9"/>
        <v>1214</v>
      </c>
      <c r="R44" s="123">
        <f t="shared" si="9"/>
        <v>1460</v>
      </c>
      <c r="S44" s="123">
        <f t="shared" si="9"/>
        <v>1650</v>
      </c>
      <c r="T44" s="123">
        <f t="shared" si="9"/>
        <v>2289</v>
      </c>
      <c r="U44" s="123">
        <f t="shared" si="9"/>
        <v>2546</v>
      </c>
      <c r="V44" s="123">
        <f t="shared" si="9"/>
        <v>2390</v>
      </c>
      <c r="W44" s="123">
        <f t="shared" si="9"/>
        <v>2346</v>
      </c>
      <c r="X44" s="123">
        <f t="shared" si="9"/>
        <v>2194</v>
      </c>
      <c r="Y44" s="123">
        <f t="shared" si="9"/>
        <v>2066</v>
      </c>
      <c r="Z44" s="123">
        <f t="shared" si="9"/>
        <v>2058</v>
      </c>
      <c r="AA44" s="123">
        <f t="shared" si="9"/>
        <v>2056</v>
      </c>
      <c r="AB44" s="123">
        <f t="shared" si="9"/>
        <v>2088</v>
      </c>
      <c r="AC44" s="123">
        <f t="shared" si="9"/>
        <v>2095</v>
      </c>
      <c r="AD44" s="123">
        <f t="shared" si="9"/>
        <v>2101</v>
      </c>
      <c r="AE44" s="123">
        <f t="shared" si="9"/>
        <v>2096</v>
      </c>
      <c r="AF44" s="123">
        <f t="shared" si="9"/>
        <v>2068</v>
      </c>
      <c r="AG44" s="123">
        <f t="shared" si="9"/>
        <v>2016</v>
      </c>
      <c r="AH44" s="123">
        <f t="shared" si="9"/>
        <v>2003</v>
      </c>
      <c r="AI44" s="123">
        <f t="shared" si="9"/>
        <v>1924</v>
      </c>
      <c r="AJ44" s="123">
        <f t="shared" si="9"/>
        <v>1639</v>
      </c>
      <c r="AK44" s="123">
        <f t="shared" si="9"/>
        <v>0</v>
      </c>
      <c r="AL44" s="123">
        <f t="shared" si="9"/>
        <v>0</v>
      </c>
      <c r="AM44" s="123">
        <f t="shared" si="9"/>
        <v>0</v>
      </c>
      <c r="AN44" s="123">
        <f t="shared" si="9"/>
        <v>0</v>
      </c>
      <c r="AO44" s="123">
        <f t="shared" si="9"/>
        <v>0</v>
      </c>
      <c r="AP44" s="123">
        <f t="shared" si="9"/>
        <v>0</v>
      </c>
      <c r="AQ44" s="123">
        <f t="shared" si="9"/>
        <v>0</v>
      </c>
      <c r="AR44" s="123">
        <f t="shared" si="9"/>
        <v>0</v>
      </c>
      <c r="AS44" s="123">
        <f t="shared" si="9"/>
        <v>0</v>
      </c>
      <c r="AT44" s="123">
        <f t="shared" si="9"/>
        <v>0</v>
      </c>
      <c r="AU44" s="123">
        <f t="shared" si="9"/>
        <v>0</v>
      </c>
      <c r="AV44" s="123">
        <f t="shared" si="9"/>
        <v>0</v>
      </c>
    </row>
    <row r="45" spans="1:48" s="123" customFormat="1" ht="15" customHeight="1">
      <c r="A45" s="134"/>
      <c r="B45" s="134"/>
      <c r="C45" s="151"/>
    </row>
    <row r="46" spans="1:48" s="160" customFormat="1" ht="15" customHeight="1">
      <c r="A46" s="164" t="s">
        <v>173</v>
      </c>
      <c r="B46" s="162"/>
      <c r="C46" s="192"/>
      <c r="D46" s="163"/>
      <c r="E46" s="162"/>
      <c r="F46" s="162"/>
      <c r="G46" s="162"/>
      <c r="H46" s="162"/>
    </row>
    <row r="47" spans="1:48" s="229" customFormat="1" ht="15.75" customHeight="1">
      <c r="A47" s="225"/>
      <c r="B47" s="226"/>
      <c r="C47" s="227"/>
      <c r="D47" s="228"/>
      <c r="E47" s="226"/>
      <c r="F47" s="226"/>
      <c r="G47" s="226"/>
      <c r="H47" s="226"/>
    </row>
    <row r="48" spans="1:48" s="123" customFormat="1" ht="15" customHeight="1">
      <c r="A48" s="134"/>
      <c r="B48" s="134" t="s">
        <v>174</v>
      </c>
      <c r="C48" s="151"/>
    </row>
    <row r="49" spans="1:48" s="123" customFormat="1" ht="15" customHeight="1">
      <c r="A49" s="134"/>
      <c r="B49" s="134"/>
      <c r="C49" s="151"/>
      <c r="E49" s="123" t="s">
        <v>175</v>
      </c>
      <c r="F49" s="78">
        <f xml:space="preserve"> IFERROR(J40 * -1 / J44, 0)</f>
        <v>4.354946772872776E-2</v>
      </c>
      <c r="G49" s="123" t="s">
        <v>26</v>
      </c>
      <c r="H49" s="3"/>
      <c r="I49" s="136" t="s">
        <v>176</v>
      </c>
      <c r="L49" s="78">
        <f t="shared" ref="L49:AV49" si="10" xml:space="preserve"> IFERROR(L40 * -1 / L44, 0)</f>
        <v>0</v>
      </c>
      <c r="M49" s="78">
        <f t="shared" si="10"/>
        <v>0</v>
      </c>
      <c r="N49" s="78">
        <f t="shared" si="10"/>
        <v>0</v>
      </c>
      <c r="O49" s="78">
        <f t="shared" si="10"/>
        <v>0</v>
      </c>
      <c r="P49" s="78">
        <f t="shared" si="10"/>
        <v>0</v>
      </c>
      <c r="Q49" s="78">
        <f t="shared" si="10"/>
        <v>4.5304777594728174E-2</v>
      </c>
      <c r="R49" s="78">
        <f t="shared" si="10"/>
        <v>4.5205479452054796E-2</v>
      </c>
      <c r="S49" s="78">
        <f t="shared" si="10"/>
        <v>4.4848484848484846E-2</v>
      </c>
      <c r="T49" s="78">
        <f t="shared" si="10"/>
        <v>4.4997815640017473E-2</v>
      </c>
      <c r="U49" s="78">
        <f t="shared" si="10"/>
        <v>3.260015710919089E-2</v>
      </c>
      <c r="V49" s="78">
        <f t="shared" si="10"/>
        <v>3.2635983263598324E-2</v>
      </c>
      <c r="W49" s="78">
        <f t="shared" si="10"/>
        <v>4.5183290707587385E-2</v>
      </c>
      <c r="X49" s="78">
        <f t="shared" si="10"/>
        <v>4.5123062898814952E-2</v>
      </c>
      <c r="Y49" s="78">
        <f t="shared" si="10"/>
        <v>4.5014520813165537E-2</v>
      </c>
      <c r="Z49" s="78">
        <f t="shared" si="10"/>
        <v>4.5189504373177841E-2</v>
      </c>
      <c r="AA49" s="78">
        <f t="shared" si="10"/>
        <v>4.5233463035019454E-2</v>
      </c>
      <c r="AB49" s="78">
        <f t="shared" si="10"/>
        <v>4.5019157088122604E-2</v>
      </c>
      <c r="AC49" s="78">
        <f t="shared" si="10"/>
        <v>4.4868735083532223E-2</v>
      </c>
      <c r="AD49" s="78">
        <f t="shared" si="10"/>
        <v>4.5216563541170873E-2</v>
      </c>
      <c r="AE49" s="78">
        <f t="shared" si="10"/>
        <v>4.4847328244274808E-2</v>
      </c>
      <c r="AF49" s="78">
        <f t="shared" si="10"/>
        <v>4.497098646034816E-2</v>
      </c>
      <c r="AG49" s="78">
        <f t="shared" si="10"/>
        <v>4.5138888888888888E-2</v>
      </c>
      <c r="AH49" s="78">
        <f t="shared" si="10"/>
        <v>4.4932601098352475E-2</v>
      </c>
      <c r="AI49" s="78">
        <f t="shared" si="10"/>
        <v>4.5218295218295221E-2</v>
      </c>
      <c r="AJ49" s="78">
        <f t="shared" si="10"/>
        <v>4.5149481391092129E-2</v>
      </c>
      <c r="AK49" s="78">
        <f t="shared" si="10"/>
        <v>0</v>
      </c>
      <c r="AL49" s="78">
        <f t="shared" si="10"/>
        <v>0</v>
      </c>
      <c r="AM49" s="78">
        <f t="shared" si="10"/>
        <v>0</v>
      </c>
      <c r="AN49" s="78">
        <f t="shared" si="10"/>
        <v>0</v>
      </c>
      <c r="AO49" s="78">
        <f t="shared" si="10"/>
        <v>0</v>
      </c>
      <c r="AP49" s="78">
        <f t="shared" si="10"/>
        <v>0</v>
      </c>
      <c r="AQ49" s="78">
        <f t="shared" si="10"/>
        <v>0</v>
      </c>
      <c r="AR49" s="78">
        <f t="shared" si="10"/>
        <v>0</v>
      </c>
      <c r="AS49" s="78">
        <f t="shared" si="10"/>
        <v>0</v>
      </c>
      <c r="AT49" s="78">
        <f t="shared" si="10"/>
        <v>0</v>
      </c>
      <c r="AU49" s="78">
        <f t="shared" si="10"/>
        <v>0</v>
      </c>
      <c r="AV49" s="78">
        <f t="shared" si="10"/>
        <v>0</v>
      </c>
    </row>
    <row r="50" spans="1:48" s="123" customFormat="1" ht="15" customHeight="1">
      <c r="A50" s="134"/>
      <c r="B50" s="134"/>
      <c r="C50" s="151"/>
    </row>
    <row r="51" spans="1:48" s="123" customFormat="1" ht="15" customHeight="1">
      <c r="A51" s="134"/>
      <c r="B51" s="134"/>
      <c r="C51" s="151"/>
      <c r="E51" s="123" t="str">
        <f xml:space="preserve"> E$39</f>
        <v>Freight, Insurance &amp; Sales 2011TR</v>
      </c>
      <c r="F51" s="78">
        <f xml:space="preserve"> SUM(L39:AV39) * -1 / SUM(L33:AV33)</f>
        <v>0.10471981378541459</v>
      </c>
      <c r="G51" s="123" t="s">
        <v>177</v>
      </c>
      <c r="I51" s="123" t="s">
        <v>178</v>
      </c>
      <c r="L51" s="78">
        <f t="shared" ref="L51:AV51" si="11" xml:space="preserve"> IFERROR(L39 * -1 / L33, 0)</f>
        <v>0</v>
      </c>
      <c r="M51" s="78">
        <f t="shared" si="11"/>
        <v>0</v>
      </c>
      <c r="N51" s="78">
        <f t="shared" si="11"/>
        <v>0</v>
      </c>
      <c r="O51" s="78">
        <f t="shared" si="11"/>
        <v>0</v>
      </c>
      <c r="P51" s="78">
        <f t="shared" si="11"/>
        <v>0</v>
      </c>
      <c r="Q51" s="78">
        <f t="shared" si="11"/>
        <v>9.7348364775175597E-2</v>
      </c>
      <c r="R51" s="78">
        <f t="shared" si="11"/>
        <v>7.4327691766143789E-2</v>
      </c>
      <c r="S51" s="78">
        <f t="shared" si="11"/>
        <v>6.7131367221039739E-2</v>
      </c>
      <c r="T51" s="78">
        <f t="shared" si="11"/>
        <v>8.5486924799213437E-2</v>
      </c>
      <c r="U51" s="78">
        <f t="shared" si="11"/>
        <v>8.2801796998521235E-2</v>
      </c>
      <c r="V51" s="78">
        <f t="shared" si="11"/>
        <v>9.0630283308541074E-2</v>
      </c>
      <c r="W51" s="78">
        <f t="shared" si="11"/>
        <v>0.10409045076202839</v>
      </c>
      <c r="X51" s="78">
        <f t="shared" si="11"/>
        <v>0.1095295183861288</v>
      </c>
      <c r="Y51" s="78">
        <f t="shared" si="11"/>
        <v>0.11368841603961831</v>
      </c>
      <c r="Z51" s="78">
        <f t="shared" si="11"/>
        <v>0.11545102714100773</v>
      </c>
      <c r="AA51" s="78">
        <f t="shared" si="11"/>
        <v>0.11545102714100773</v>
      </c>
      <c r="AB51" s="78">
        <f t="shared" si="11"/>
        <v>0.11721363824239717</v>
      </c>
      <c r="AC51" s="78">
        <f t="shared" si="11"/>
        <v>0.11765429101774452</v>
      </c>
      <c r="AD51" s="78">
        <f t="shared" si="11"/>
        <v>0.11809494379309188</v>
      </c>
      <c r="AE51" s="78">
        <f t="shared" si="11"/>
        <v>0.11765429101774452</v>
      </c>
      <c r="AF51" s="78">
        <f t="shared" si="11"/>
        <v>0.11633233269170246</v>
      </c>
      <c r="AG51" s="78">
        <f t="shared" si="11"/>
        <v>0.11324776326427095</v>
      </c>
      <c r="AH51" s="78">
        <f t="shared" si="11"/>
        <v>0.11611200630402879</v>
      </c>
      <c r="AI51" s="78">
        <f t="shared" si="11"/>
        <v>0.11446335712729815</v>
      </c>
      <c r="AJ51" s="78">
        <f t="shared" si="11"/>
        <v>0.10718031351141119</v>
      </c>
      <c r="AK51" s="78">
        <f t="shared" si="11"/>
        <v>0</v>
      </c>
      <c r="AL51" s="78">
        <f t="shared" si="11"/>
        <v>0</v>
      </c>
      <c r="AM51" s="78">
        <f t="shared" si="11"/>
        <v>0</v>
      </c>
      <c r="AN51" s="78">
        <f t="shared" si="11"/>
        <v>0</v>
      </c>
      <c r="AO51" s="78">
        <f t="shared" si="11"/>
        <v>0</v>
      </c>
      <c r="AP51" s="78">
        <f t="shared" si="11"/>
        <v>0</v>
      </c>
      <c r="AQ51" s="78">
        <f t="shared" si="11"/>
        <v>0</v>
      </c>
      <c r="AR51" s="78">
        <f t="shared" si="11"/>
        <v>0</v>
      </c>
      <c r="AS51" s="78">
        <f t="shared" si="11"/>
        <v>0</v>
      </c>
      <c r="AT51" s="78">
        <f t="shared" si="11"/>
        <v>0</v>
      </c>
      <c r="AU51" s="78">
        <f t="shared" si="11"/>
        <v>0</v>
      </c>
      <c r="AV51" s="78">
        <f t="shared" si="11"/>
        <v>0</v>
      </c>
    </row>
    <row r="52" spans="1:48" s="123" customFormat="1" ht="15" customHeight="1">
      <c r="A52" s="134"/>
      <c r="B52" s="134"/>
      <c r="C52" s="151"/>
      <c r="F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</row>
    <row r="53" spans="1:48" s="123" customFormat="1" ht="15" customHeight="1">
      <c r="A53" s="134"/>
      <c r="B53" s="134"/>
      <c r="C53" s="151"/>
      <c r="E53" s="123" t="str">
        <f t="shared" ref="E53:AV53" si="12" xml:space="preserve"> E$18</f>
        <v>Copper production 2011TR (original)</v>
      </c>
      <c r="F53" s="123">
        <f t="shared" si="12"/>
        <v>0</v>
      </c>
      <c r="G53" s="123" t="str">
        <f t="shared" si="12"/>
        <v>tonnes</v>
      </c>
      <c r="H53" s="123">
        <f t="shared" si="12"/>
        <v>0</v>
      </c>
      <c r="I53" s="123" t="str">
        <f t="shared" si="12"/>
        <v>XVIII</v>
      </c>
      <c r="J53" s="123">
        <f t="shared" si="12"/>
        <v>5615000</v>
      </c>
      <c r="K53" s="123">
        <f t="shared" si="12"/>
        <v>0</v>
      </c>
      <c r="L53" s="123">
        <f t="shared" si="12"/>
        <v>0</v>
      </c>
      <c r="M53" s="123">
        <f t="shared" si="12"/>
        <v>0</v>
      </c>
      <c r="N53" s="123">
        <f t="shared" si="12"/>
        <v>0</v>
      </c>
      <c r="O53" s="123">
        <f t="shared" si="12"/>
        <v>0</v>
      </c>
      <c r="P53" s="123">
        <f t="shared" si="12"/>
        <v>0</v>
      </c>
      <c r="Q53" s="123">
        <f t="shared" si="12"/>
        <v>135000</v>
      </c>
      <c r="R53" s="123">
        <f t="shared" si="12"/>
        <v>150000</v>
      </c>
      <c r="S53" s="123">
        <f t="shared" si="12"/>
        <v>205000</v>
      </c>
      <c r="T53" s="123">
        <f t="shared" si="12"/>
        <v>245000</v>
      </c>
      <c r="U53" s="123">
        <f t="shared" si="12"/>
        <v>310000</v>
      </c>
      <c r="V53" s="123">
        <f t="shared" si="12"/>
        <v>310000</v>
      </c>
      <c r="W53" s="123">
        <f t="shared" si="12"/>
        <v>310000</v>
      </c>
      <c r="X53" s="123">
        <f t="shared" si="12"/>
        <v>310000</v>
      </c>
      <c r="Y53" s="123">
        <f t="shared" si="12"/>
        <v>310000</v>
      </c>
      <c r="Z53" s="123">
        <f t="shared" si="12"/>
        <v>310000</v>
      </c>
      <c r="AA53" s="123">
        <f t="shared" si="12"/>
        <v>310000</v>
      </c>
      <c r="AB53" s="123">
        <f t="shared" si="12"/>
        <v>310000</v>
      </c>
      <c r="AC53" s="123">
        <f t="shared" si="12"/>
        <v>310000</v>
      </c>
      <c r="AD53" s="123">
        <f t="shared" si="12"/>
        <v>310000</v>
      </c>
      <c r="AE53" s="123">
        <f t="shared" si="12"/>
        <v>310000</v>
      </c>
      <c r="AF53" s="123">
        <f t="shared" si="12"/>
        <v>310000</v>
      </c>
      <c r="AG53" s="123">
        <f t="shared" si="12"/>
        <v>310000</v>
      </c>
      <c r="AH53" s="123">
        <f t="shared" si="12"/>
        <v>300000</v>
      </c>
      <c r="AI53" s="123">
        <f t="shared" si="12"/>
        <v>290000</v>
      </c>
      <c r="AJ53" s="123">
        <f t="shared" si="12"/>
        <v>260000</v>
      </c>
      <c r="AK53" s="123">
        <f t="shared" si="12"/>
        <v>0</v>
      </c>
      <c r="AL53" s="123">
        <f t="shared" si="12"/>
        <v>0</v>
      </c>
      <c r="AM53" s="123">
        <f t="shared" si="12"/>
        <v>0</v>
      </c>
      <c r="AN53" s="123">
        <f t="shared" si="12"/>
        <v>0</v>
      </c>
      <c r="AO53" s="123">
        <f t="shared" si="12"/>
        <v>0</v>
      </c>
      <c r="AP53" s="123">
        <f t="shared" si="12"/>
        <v>0</v>
      </c>
      <c r="AQ53" s="123">
        <f t="shared" si="12"/>
        <v>0</v>
      </c>
      <c r="AR53" s="123">
        <f t="shared" si="12"/>
        <v>0</v>
      </c>
      <c r="AS53" s="123">
        <f t="shared" si="12"/>
        <v>0</v>
      </c>
      <c r="AT53" s="123">
        <f t="shared" si="12"/>
        <v>0</v>
      </c>
      <c r="AU53" s="123">
        <f t="shared" si="12"/>
        <v>0</v>
      </c>
      <c r="AV53" s="123">
        <f t="shared" si="12"/>
        <v>0</v>
      </c>
    </row>
    <row r="54" spans="1:48" s="123" customFormat="1" ht="15" customHeight="1">
      <c r="A54" s="134"/>
      <c r="B54" s="134"/>
      <c r="C54" s="151"/>
      <c r="E54" s="123" t="str">
        <f t="shared" ref="E54:AV54" si="13" xml:space="preserve"> E$26</f>
        <v>Cobalt production 2011TR (Co / Cu ratio)</v>
      </c>
      <c r="F54" s="123">
        <f t="shared" si="13"/>
        <v>0</v>
      </c>
      <c r="G54" s="123" t="str">
        <f t="shared" si="13"/>
        <v>tonnes</v>
      </c>
      <c r="H54" s="123">
        <f t="shared" si="13"/>
        <v>0</v>
      </c>
      <c r="I54" s="123">
        <f t="shared" si="13"/>
        <v>0</v>
      </c>
      <c r="J54" s="123">
        <f t="shared" si="13"/>
        <v>466808.89383181953</v>
      </c>
      <c r="K54" s="123">
        <f t="shared" si="13"/>
        <v>0</v>
      </c>
      <c r="L54" s="123">
        <f t="shared" si="13"/>
        <v>0</v>
      </c>
      <c r="M54" s="123">
        <f t="shared" si="13"/>
        <v>0</v>
      </c>
      <c r="N54" s="123">
        <f t="shared" si="13"/>
        <v>0</v>
      </c>
      <c r="O54" s="123">
        <f t="shared" si="13"/>
        <v>0</v>
      </c>
      <c r="P54" s="123">
        <f t="shared" si="13"/>
        <v>0</v>
      </c>
      <c r="Q54" s="123">
        <f t="shared" si="13"/>
        <v>11223.366102813114</v>
      </c>
      <c r="R54" s="123">
        <f t="shared" si="13"/>
        <v>12470.40678090346</v>
      </c>
      <c r="S54" s="123">
        <f t="shared" si="13"/>
        <v>17042.889267234728</v>
      </c>
      <c r="T54" s="123">
        <f t="shared" si="13"/>
        <v>20368.331075475649</v>
      </c>
      <c r="U54" s="123">
        <f t="shared" si="13"/>
        <v>25772.174013867148</v>
      </c>
      <c r="V54" s="123">
        <f t="shared" si="13"/>
        <v>25772.174013867148</v>
      </c>
      <c r="W54" s="123">
        <f t="shared" si="13"/>
        <v>25772.174013867148</v>
      </c>
      <c r="X54" s="123">
        <f t="shared" si="13"/>
        <v>25772.174013867148</v>
      </c>
      <c r="Y54" s="123">
        <f t="shared" si="13"/>
        <v>25772.174013867148</v>
      </c>
      <c r="Z54" s="123">
        <f t="shared" si="13"/>
        <v>25772.174013867148</v>
      </c>
      <c r="AA54" s="123">
        <f t="shared" si="13"/>
        <v>25772.174013867148</v>
      </c>
      <c r="AB54" s="123">
        <f t="shared" si="13"/>
        <v>25772.174013867148</v>
      </c>
      <c r="AC54" s="123">
        <f t="shared" si="13"/>
        <v>25772.174013867148</v>
      </c>
      <c r="AD54" s="123">
        <f t="shared" si="13"/>
        <v>25772.174013867148</v>
      </c>
      <c r="AE54" s="123">
        <f t="shared" si="13"/>
        <v>25772.174013867148</v>
      </c>
      <c r="AF54" s="123">
        <f t="shared" si="13"/>
        <v>25772.174013867148</v>
      </c>
      <c r="AG54" s="123">
        <f t="shared" si="13"/>
        <v>25772.174013867148</v>
      </c>
      <c r="AH54" s="123">
        <f t="shared" si="13"/>
        <v>24940.813561806921</v>
      </c>
      <c r="AI54" s="123">
        <f t="shared" si="13"/>
        <v>24109.45310974669</v>
      </c>
      <c r="AJ54" s="123">
        <f t="shared" si="13"/>
        <v>21615.371753565996</v>
      </c>
      <c r="AK54" s="123">
        <f t="shared" si="13"/>
        <v>0</v>
      </c>
      <c r="AL54" s="123">
        <f t="shared" si="13"/>
        <v>0</v>
      </c>
      <c r="AM54" s="123">
        <f t="shared" si="13"/>
        <v>0</v>
      </c>
      <c r="AN54" s="123">
        <f t="shared" si="13"/>
        <v>0</v>
      </c>
      <c r="AO54" s="123">
        <f t="shared" si="13"/>
        <v>0</v>
      </c>
      <c r="AP54" s="123">
        <f t="shared" si="13"/>
        <v>0</v>
      </c>
      <c r="AQ54" s="123">
        <f t="shared" si="13"/>
        <v>0</v>
      </c>
      <c r="AR54" s="123">
        <f t="shared" si="13"/>
        <v>0</v>
      </c>
      <c r="AS54" s="123">
        <f t="shared" si="13"/>
        <v>0</v>
      </c>
      <c r="AT54" s="123">
        <f t="shared" si="13"/>
        <v>0</v>
      </c>
      <c r="AU54" s="123">
        <f t="shared" si="13"/>
        <v>0</v>
      </c>
      <c r="AV54" s="123">
        <f t="shared" si="13"/>
        <v>0</v>
      </c>
    </row>
    <row r="55" spans="1:48" s="123" customFormat="1" ht="15" customHeight="1">
      <c r="A55" s="134"/>
      <c r="B55" s="134"/>
      <c r="C55" s="151"/>
      <c r="E55" s="123" t="s">
        <v>179</v>
      </c>
      <c r="G55" s="123" t="s">
        <v>168</v>
      </c>
      <c r="J55" s="123">
        <f xml:space="preserve"> SUM(L55:AV55)</f>
        <v>6081808.8938318193</v>
      </c>
      <c r="L55" s="123">
        <f t="shared" ref="L55:AV55" si="14">SUM(L53:L54)</f>
        <v>0</v>
      </c>
      <c r="M55" s="123">
        <f t="shared" si="14"/>
        <v>0</v>
      </c>
      <c r="N55" s="123">
        <f t="shared" si="14"/>
        <v>0</v>
      </c>
      <c r="O55" s="123">
        <f t="shared" si="14"/>
        <v>0</v>
      </c>
      <c r="P55" s="123">
        <f t="shared" si="14"/>
        <v>0</v>
      </c>
      <c r="Q55" s="123">
        <f t="shared" si="14"/>
        <v>146223.3661028131</v>
      </c>
      <c r="R55" s="123">
        <f t="shared" si="14"/>
        <v>162470.40678090346</v>
      </c>
      <c r="S55" s="123">
        <f t="shared" si="14"/>
        <v>222042.88926723471</v>
      </c>
      <c r="T55" s="123">
        <f t="shared" si="14"/>
        <v>265368.33107547567</v>
      </c>
      <c r="U55" s="123">
        <f t="shared" si="14"/>
        <v>335772.17401386716</v>
      </c>
      <c r="V55" s="123">
        <f t="shared" si="14"/>
        <v>335772.17401386716</v>
      </c>
      <c r="W55" s="123">
        <f t="shared" si="14"/>
        <v>335772.17401386716</v>
      </c>
      <c r="X55" s="123">
        <f t="shared" si="14"/>
        <v>335772.17401386716</v>
      </c>
      <c r="Y55" s="123">
        <f t="shared" si="14"/>
        <v>335772.17401386716</v>
      </c>
      <c r="Z55" s="123">
        <f t="shared" si="14"/>
        <v>335772.17401386716</v>
      </c>
      <c r="AA55" s="123">
        <f t="shared" si="14"/>
        <v>335772.17401386716</v>
      </c>
      <c r="AB55" s="123">
        <f t="shared" si="14"/>
        <v>335772.17401386716</v>
      </c>
      <c r="AC55" s="123">
        <f t="shared" si="14"/>
        <v>335772.17401386716</v>
      </c>
      <c r="AD55" s="123">
        <f t="shared" si="14"/>
        <v>335772.17401386716</v>
      </c>
      <c r="AE55" s="123">
        <f t="shared" si="14"/>
        <v>335772.17401386716</v>
      </c>
      <c r="AF55" s="123">
        <f t="shared" si="14"/>
        <v>335772.17401386716</v>
      </c>
      <c r="AG55" s="123">
        <f t="shared" si="14"/>
        <v>335772.17401386716</v>
      </c>
      <c r="AH55" s="123">
        <f t="shared" si="14"/>
        <v>324940.81356180692</v>
      </c>
      <c r="AI55" s="123">
        <f t="shared" si="14"/>
        <v>314109.45310974668</v>
      </c>
      <c r="AJ55" s="123">
        <f t="shared" si="14"/>
        <v>281615.37175356597</v>
      </c>
      <c r="AK55" s="123">
        <f t="shared" si="14"/>
        <v>0</v>
      </c>
      <c r="AL55" s="123">
        <f t="shared" si="14"/>
        <v>0</v>
      </c>
      <c r="AM55" s="123">
        <f t="shared" si="14"/>
        <v>0</v>
      </c>
      <c r="AN55" s="123">
        <f t="shared" si="14"/>
        <v>0</v>
      </c>
      <c r="AO55" s="123">
        <f t="shared" si="14"/>
        <v>0</v>
      </c>
      <c r="AP55" s="123">
        <f t="shared" si="14"/>
        <v>0</v>
      </c>
      <c r="AQ55" s="123">
        <f t="shared" si="14"/>
        <v>0</v>
      </c>
      <c r="AR55" s="123">
        <f t="shared" si="14"/>
        <v>0</v>
      </c>
      <c r="AS55" s="123">
        <f t="shared" si="14"/>
        <v>0</v>
      </c>
      <c r="AT55" s="123">
        <f t="shared" si="14"/>
        <v>0</v>
      </c>
      <c r="AU55" s="123">
        <f t="shared" si="14"/>
        <v>0</v>
      </c>
      <c r="AV55" s="123">
        <f t="shared" si="14"/>
        <v>0</v>
      </c>
    </row>
    <row r="56" spans="1:48" s="123" customFormat="1" ht="15" customHeight="1">
      <c r="A56" s="134"/>
      <c r="B56" s="134"/>
      <c r="C56" s="151"/>
    </row>
    <row r="57" spans="1:48" s="123" customFormat="1" ht="15" customHeight="1">
      <c r="A57" s="134"/>
      <c r="B57" s="134"/>
      <c r="C57" s="151"/>
      <c r="E57" s="123" t="str">
        <f xml:space="preserve"> E$39</f>
        <v>Freight, Insurance &amp; Sales 2011TR</v>
      </c>
      <c r="F57" s="123">
        <f xml:space="preserve"> SUM(L39:AV39) * -1 / SUM(L55:AV55) * 10^6</f>
        <v>775.09834364919732</v>
      </c>
      <c r="G57" s="123" t="s">
        <v>180</v>
      </c>
      <c r="L57" s="123">
        <f t="shared" ref="L57:AV57" si="15" xml:space="preserve"> IFERROR(L39 * -1 / L55 * 10^6, 0)</f>
        <v>0</v>
      </c>
      <c r="M57" s="123">
        <f t="shared" si="15"/>
        <v>0</v>
      </c>
      <c r="N57" s="123">
        <f t="shared" si="15"/>
        <v>0</v>
      </c>
      <c r="O57" s="123">
        <f t="shared" si="15"/>
        <v>0</v>
      </c>
      <c r="P57" s="123">
        <f t="shared" si="15"/>
        <v>0</v>
      </c>
      <c r="Q57" s="123">
        <f t="shared" si="15"/>
        <v>1032.6666935968931</v>
      </c>
      <c r="R57" s="123">
        <f t="shared" si="15"/>
        <v>757.06094689520557</v>
      </c>
      <c r="S57" s="123">
        <f t="shared" si="15"/>
        <v>653.02699167046285</v>
      </c>
      <c r="T57" s="123">
        <f t="shared" si="15"/>
        <v>783.8162118178335</v>
      </c>
      <c r="U57" s="123">
        <f t="shared" si="15"/>
        <v>723.70499644191557</v>
      </c>
      <c r="V57" s="123">
        <f t="shared" si="15"/>
        <v>735.61783588951914</v>
      </c>
      <c r="W57" s="123">
        <f t="shared" si="15"/>
        <v>783.26919367993332</v>
      </c>
      <c r="X57" s="123">
        <f t="shared" si="15"/>
        <v>777.31277395613154</v>
      </c>
      <c r="Y57" s="123">
        <f t="shared" si="15"/>
        <v>768.37814437042891</v>
      </c>
      <c r="Z57" s="123">
        <f t="shared" si="15"/>
        <v>780.29098381803249</v>
      </c>
      <c r="AA57" s="123">
        <f t="shared" si="15"/>
        <v>780.29098381803249</v>
      </c>
      <c r="AB57" s="123">
        <f t="shared" si="15"/>
        <v>792.20382326563606</v>
      </c>
      <c r="AC57" s="123">
        <f t="shared" si="15"/>
        <v>795.1820331275369</v>
      </c>
      <c r="AD57" s="123">
        <f t="shared" si="15"/>
        <v>798.16024298943785</v>
      </c>
      <c r="AE57" s="123">
        <f t="shared" si="15"/>
        <v>795.1820331275369</v>
      </c>
      <c r="AF57" s="123">
        <f t="shared" si="15"/>
        <v>786.24740354183427</v>
      </c>
      <c r="AG57" s="123">
        <f t="shared" si="15"/>
        <v>765.39993450852796</v>
      </c>
      <c r="AH57" s="123">
        <f t="shared" si="15"/>
        <v>784.7582986108838</v>
      </c>
      <c r="AI57" s="123">
        <f t="shared" si="15"/>
        <v>773.61568585170301</v>
      </c>
      <c r="AJ57" s="123">
        <f t="shared" si="15"/>
        <v>724.39227564081591</v>
      </c>
      <c r="AK57" s="123">
        <f t="shared" si="15"/>
        <v>0</v>
      </c>
      <c r="AL57" s="123">
        <f t="shared" si="15"/>
        <v>0</v>
      </c>
      <c r="AM57" s="123">
        <f t="shared" si="15"/>
        <v>0</v>
      </c>
      <c r="AN57" s="123">
        <f t="shared" si="15"/>
        <v>0</v>
      </c>
      <c r="AO57" s="123">
        <f t="shared" si="15"/>
        <v>0</v>
      </c>
      <c r="AP57" s="123">
        <f t="shared" si="15"/>
        <v>0</v>
      </c>
      <c r="AQ57" s="123">
        <f t="shared" si="15"/>
        <v>0</v>
      </c>
      <c r="AR57" s="123">
        <f t="shared" si="15"/>
        <v>0</v>
      </c>
      <c r="AS57" s="123">
        <f t="shared" si="15"/>
        <v>0</v>
      </c>
      <c r="AT57" s="123">
        <f t="shared" si="15"/>
        <v>0</v>
      </c>
      <c r="AU57" s="123">
        <f t="shared" si="15"/>
        <v>0</v>
      </c>
      <c r="AV57" s="123">
        <f t="shared" si="15"/>
        <v>0</v>
      </c>
    </row>
    <row r="58" spans="1:48" s="123" customFormat="1" ht="15" customHeight="1">
      <c r="A58" s="134"/>
      <c r="B58" s="134"/>
      <c r="C58" s="151"/>
    </row>
    <row r="59" spans="1:48" s="160" customFormat="1" ht="15" customHeight="1">
      <c r="A59" s="164" t="s">
        <v>181</v>
      </c>
      <c r="B59" s="162"/>
      <c r="C59" s="192"/>
      <c r="D59" s="163"/>
      <c r="E59" s="162"/>
      <c r="F59" s="162"/>
      <c r="G59" s="162"/>
      <c r="H59" s="162"/>
    </row>
    <row r="60" spans="1:48" s="123" customFormat="1" ht="15" customHeight="1">
      <c r="A60" s="134"/>
      <c r="B60" s="134" t="s">
        <v>181</v>
      </c>
      <c r="C60" s="151"/>
    </row>
    <row r="61" spans="1:48" s="132" customFormat="1" ht="15" customHeight="1">
      <c r="A61" s="133"/>
      <c r="B61" s="133"/>
      <c r="C61" s="151"/>
      <c r="E61" s="170" t="str">
        <f xml:space="preserve"> InputsTS!E$415</f>
        <v>Operating Costs 2011TR</v>
      </c>
      <c r="F61" s="170">
        <f xml:space="preserve"> InputsTS!F$415</f>
        <v>0</v>
      </c>
      <c r="G61" s="170" t="str">
        <f xml:space="preserve"> InputsTS!G$415</f>
        <v>$ mn</v>
      </c>
      <c r="H61" s="170">
        <f xml:space="preserve"> InputsTS!H$415</f>
        <v>0</v>
      </c>
      <c r="I61" s="170" t="str">
        <f xml:space="preserve"> InputsTS!I$415</f>
        <v>XVII</v>
      </c>
      <c r="J61" s="170">
        <f xml:space="preserve"> InputsTS!J$415</f>
        <v>-12423</v>
      </c>
      <c r="K61" s="170">
        <f xml:space="preserve"> InputsTS!K$415</f>
        <v>0</v>
      </c>
      <c r="L61" s="170">
        <f xml:space="preserve"> InputsTS!L$415</f>
        <v>0</v>
      </c>
      <c r="M61" s="170">
        <f xml:space="preserve"> InputsTS!M$415</f>
        <v>0</v>
      </c>
      <c r="N61" s="170">
        <f xml:space="preserve"> InputsTS!N$415</f>
        <v>0</v>
      </c>
      <c r="O61" s="170">
        <f xml:space="preserve"> InputsTS!O$415</f>
        <v>0</v>
      </c>
      <c r="P61" s="170">
        <f xml:space="preserve"> InputsTS!P$415</f>
        <v>0</v>
      </c>
      <c r="Q61" s="170">
        <f xml:space="preserve"> InputsTS!Q$415</f>
        <v>-388</v>
      </c>
      <c r="R61" s="170">
        <f xml:space="preserve"> InputsTS!R$415</f>
        <v>-483</v>
      </c>
      <c r="S61" s="170">
        <f xml:space="preserve"> InputsTS!S$415</f>
        <v>-485</v>
      </c>
      <c r="T61" s="170">
        <f xml:space="preserve"> InputsTS!T$415</f>
        <v>-529</v>
      </c>
      <c r="U61" s="170">
        <f xml:space="preserve"> InputsTS!U$415</f>
        <v>-637</v>
      </c>
      <c r="V61" s="170">
        <f xml:space="preserve"> InputsTS!V$415</f>
        <v>-606</v>
      </c>
      <c r="W61" s="170">
        <f xml:space="preserve"> InputsTS!W$415</f>
        <v>-648</v>
      </c>
      <c r="X61" s="170">
        <f xml:space="preserve"> InputsTS!X$415</f>
        <v>-651</v>
      </c>
      <c r="Y61" s="170">
        <f xml:space="preserve"> InputsTS!Y$415</f>
        <v>-656</v>
      </c>
      <c r="Z61" s="170">
        <f xml:space="preserve"> InputsTS!Z$415</f>
        <v>-696</v>
      </c>
      <c r="AA61" s="170">
        <f xml:space="preserve"> InputsTS!AA$415</f>
        <v>-676</v>
      </c>
      <c r="AB61" s="170">
        <f xml:space="preserve"> InputsTS!AB$415</f>
        <v>-702</v>
      </c>
      <c r="AC61" s="170">
        <f xml:space="preserve"> InputsTS!AC$415</f>
        <v>-734</v>
      </c>
      <c r="AD61" s="170">
        <f xml:space="preserve"> InputsTS!AD$415</f>
        <v>-724</v>
      </c>
      <c r="AE61" s="170">
        <f xml:space="preserve"> InputsTS!AE$415</f>
        <v>-703</v>
      </c>
      <c r="AF61" s="170">
        <f xml:space="preserve"> InputsTS!AF$415</f>
        <v>-698</v>
      </c>
      <c r="AG61" s="170">
        <f xml:space="preserve"> InputsTS!AG$415</f>
        <v>-680</v>
      </c>
      <c r="AH61" s="170">
        <f xml:space="preserve"> InputsTS!AH$415</f>
        <v>-670</v>
      </c>
      <c r="AI61" s="170">
        <f xml:space="preserve"> InputsTS!AI$415</f>
        <v>-577</v>
      </c>
      <c r="AJ61" s="170">
        <f xml:space="preserve"> InputsTS!AJ$415</f>
        <v>-480</v>
      </c>
      <c r="AK61" s="170">
        <f xml:space="preserve"> InputsTS!AK$415</f>
        <v>0</v>
      </c>
      <c r="AL61" s="170">
        <f xml:space="preserve"> InputsTS!AL$415</f>
        <v>0</v>
      </c>
      <c r="AM61" s="170">
        <f xml:space="preserve"> InputsTS!AM$415</f>
        <v>0</v>
      </c>
      <c r="AN61" s="170">
        <f xml:space="preserve"> InputsTS!AN$415</f>
        <v>0</v>
      </c>
      <c r="AO61" s="170">
        <f xml:space="preserve"> InputsTS!AO$415</f>
        <v>0</v>
      </c>
      <c r="AP61" s="170">
        <f xml:space="preserve"> InputsTS!AP$415</f>
        <v>0</v>
      </c>
      <c r="AQ61" s="170">
        <f xml:space="preserve"> InputsTS!AQ$415</f>
        <v>0</v>
      </c>
      <c r="AR61" s="170">
        <f xml:space="preserve"> InputsTS!AR$415</f>
        <v>0</v>
      </c>
      <c r="AS61" s="170">
        <f xml:space="preserve"> InputsTS!AS$415</f>
        <v>0</v>
      </c>
      <c r="AT61" s="170">
        <f xml:space="preserve"> InputsTS!AT$415</f>
        <v>0</v>
      </c>
      <c r="AU61" s="170">
        <f xml:space="preserve"> InputsTS!AU$415</f>
        <v>0</v>
      </c>
      <c r="AV61" s="170">
        <f xml:space="preserve"> InputsTS!AV$415</f>
        <v>0</v>
      </c>
    </row>
    <row r="62" spans="1:48" s="132" customFormat="1" ht="15" customHeight="1">
      <c r="A62" s="133"/>
      <c r="B62" s="133"/>
      <c r="C62" s="151"/>
      <c r="E62" s="170" t="str">
        <f xml:space="preserve"> InputsTS!E$416</f>
        <v>Other Costs 2011TR</v>
      </c>
      <c r="F62" s="170">
        <f xml:space="preserve"> InputsTS!F$416</f>
        <v>0</v>
      </c>
      <c r="G62" s="170" t="str">
        <f xml:space="preserve"> InputsTS!G$416</f>
        <v>$ mn</v>
      </c>
      <c r="H62" s="170">
        <f xml:space="preserve"> InputsTS!H$416</f>
        <v>0</v>
      </c>
      <c r="I62" s="170" t="str">
        <f xml:space="preserve"> InputsTS!I$416</f>
        <v>XVII</v>
      </c>
      <c r="J62" s="170">
        <f xml:space="preserve"> InputsTS!J$416</f>
        <v>-265</v>
      </c>
      <c r="K62" s="170">
        <f xml:space="preserve"> InputsTS!K$416</f>
        <v>0</v>
      </c>
      <c r="L62" s="170">
        <f xml:space="preserve"> InputsTS!L$416</f>
        <v>0</v>
      </c>
      <c r="M62" s="170">
        <f xml:space="preserve"> InputsTS!M$416</f>
        <v>0</v>
      </c>
      <c r="N62" s="170">
        <f xml:space="preserve"> InputsTS!N$416</f>
        <v>0</v>
      </c>
      <c r="O62" s="170">
        <f xml:space="preserve"> InputsTS!O$416</f>
        <v>0</v>
      </c>
      <c r="P62" s="170">
        <f xml:space="preserve"> InputsTS!P$416</f>
        <v>0</v>
      </c>
      <c r="Q62" s="170">
        <f xml:space="preserve"> InputsTS!Q$416</f>
        <v>-47</v>
      </c>
      <c r="R62" s="170">
        <f xml:space="preserve"> InputsTS!R$416</f>
        <v>-17</v>
      </c>
      <c r="S62" s="170">
        <f xml:space="preserve"> InputsTS!S$416</f>
        <v>-17</v>
      </c>
      <c r="T62" s="170">
        <f xml:space="preserve"> InputsTS!T$416</f>
        <v>-17</v>
      </c>
      <c r="U62" s="170">
        <f xml:space="preserve"> InputsTS!U$416</f>
        <v>-17</v>
      </c>
      <c r="V62" s="170">
        <f xml:space="preserve"> InputsTS!V$416</f>
        <v>-17</v>
      </c>
      <c r="W62" s="170">
        <f xml:space="preserve"> InputsTS!W$416</f>
        <v>-2</v>
      </c>
      <c r="X62" s="170">
        <f xml:space="preserve"> InputsTS!X$416</f>
        <v>-2</v>
      </c>
      <c r="Y62" s="170">
        <f xml:space="preserve"> InputsTS!Y$416</f>
        <v>-2</v>
      </c>
      <c r="Z62" s="170">
        <f xml:space="preserve"> InputsTS!Z$416</f>
        <v>-1</v>
      </c>
      <c r="AA62" s="170">
        <f xml:space="preserve"> InputsTS!AA$416</f>
        <v>-1</v>
      </c>
      <c r="AB62" s="170">
        <f xml:space="preserve"> InputsTS!AB$416</f>
        <v>-2</v>
      </c>
      <c r="AC62" s="170">
        <f xml:space="preserve"> InputsTS!AC$416</f>
        <v>-1</v>
      </c>
      <c r="AD62" s="170">
        <f xml:space="preserve"> InputsTS!AD$416</f>
        <v>-1</v>
      </c>
      <c r="AE62" s="170">
        <f xml:space="preserve"> InputsTS!AE$416</f>
        <v>-2</v>
      </c>
      <c r="AF62" s="170">
        <f xml:space="preserve"> InputsTS!AF$416</f>
        <v>-1</v>
      </c>
      <c r="AG62" s="170">
        <f xml:space="preserve"> InputsTS!AG$416</f>
        <v>-1</v>
      </c>
      <c r="AH62" s="170">
        <f xml:space="preserve"> InputsTS!AH$416</f>
        <v>-2</v>
      </c>
      <c r="AI62" s="170">
        <f xml:space="preserve"> InputsTS!AI$416</f>
        <v>-1</v>
      </c>
      <c r="AJ62" s="170">
        <f xml:space="preserve"> InputsTS!AJ$416</f>
        <v>-1</v>
      </c>
      <c r="AK62" s="170">
        <f xml:space="preserve"> InputsTS!AK$416</f>
        <v>-57</v>
      </c>
      <c r="AL62" s="170">
        <f xml:space="preserve"> InputsTS!AL$416</f>
        <v>-56</v>
      </c>
      <c r="AM62" s="170">
        <f xml:space="preserve"> InputsTS!AM$416</f>
        <v>0</v>
      </c>
      <c r="AN62" s="170">
        <f xml:space="preserve"> InputsTS!AN$416</f>
        <v>0</v>
      </c>
      <c r="AO62" s="170">
        <f xml:space="preserve"> InputsTS!AO$416</f>
        <v>0</v>
      </c>
      <c r="AP62" s="170">
        <f xml:space="preserve"> InputsTS!AP$416</f>
        <v>0</v>
      </c>
      <c r="AQ62" s="170">
        <f xml:space="preserve"> InputsTS!AQ$416</f>
        <v>0</v>
      </c>
      <c r="AR62" s="170">
        <f xml:space="preserve"> InputsTS!AR$416</f>
        <v>0</v>
      </c>
      <c r="AS62" s="170">
        <f xml:space="preserve"> InputsTS!AS$416</f>
        <v>0</v>
      </c>
      <c r="AT62" s="170">
        <f xml:space="preserve"> InputsTS!AT$416</f>
        <v>0</v>
      </c>
      <c r="AU62" s="170">
        <f xml:space="preserve"> InputsTS!AU$416</f>
        <v>0</v>
      </c>
      <c r="AV62" s="170">
        <f xml:space="preserve"> InputsTS!AV$416</f>
        <v>0</v>
      </c>
    </row>
    <row r="63" spans="1:48" s="132" customFormat="1" ht="15" customHeight="1">
      <c r="A63" s="133"/>
      <c r="B63" s="133"/>
      <c r="C63" s="151"/>
      <c r="E63" s="170" t="str">
        <f xml:space="preserve"> InputsTS!E$417</f>
        <v>Net Change in Working Capital 2011TR</v>
      </c>
      <c r="F63" s="170">
        <f xml:space="preserve"> InputsTS!F$417</f>
        <v>0</v>
      </c>
      <c r="G63" s="170" t="str">
        <f xml:space="preserve"> InputsTS!G$417</f>
        <v>$ mn</v>
      </c>
      <c r="H63" s="170">
        <f xml:space="preserve"> InputsTS!H$417</f>
        <v>0</v>
      </c>
      <c r="I63" s="170" t="str">
        <f xml:space="preserve"> InputsTS!I$417</f>
        <v>XVII</v>
      </c>
      <c r="J63" s="170">
        <f xml:space="preserve"> InputsTS!J$417</f>
        <v>180</v>
      </c>
      <c r="K63" s="170">
        <f xml:space="preserve"> InputsTS!K$417</f>
        <v>0</v>
      </c>
      <c r="L63" s="170">
        <f xml:space="preserve"> InputsTS!L$417</f>
        <v>0</v>
      </c>
      <c r="M63" s="170">
        <f xml:space="preserve"> InputsTS!M$417</f>
        <v>0</v>
      </c>
      <c r="N63" s="170">
        <f xml:space="preserve"> InputsTS!N$417</f>
        <v>0</v>
      </c>
      <c r="O63" s="170">
        <f xml:space="preserve"> InputsTS!O$417</f>
        <v>0</v>
      </c>
      <c r="P63" s="170">
        <f xml:space="preserve"> InputsTS!P$417</f>
        <v>0</v>
      </c>
      <c r="Q63" s="170">
        <f xml:space="preserve"> InputsTS!Q$417</f>
        <v>24</v>
      </c>
      <c r="R63" s="170">
        <f xml:space="preserve"> InputsTS!R$417</f>
        <v>-28</v>
      </c>
      <c r="S63" s="170">
        <f xml:space="preserve"> InputsTS!S$417</f>
        <v>-84</v>
      </c>
      <c r="T63" s="170">
        <f xml:space="preserve"> InputsTS!T$417</f>
        <v>10</v>
      </c>
      <c r="U63" s="170">
        <f xml:space="preserve"> InputsTS!U$417</f>
        <v>-36</v>
      </c>
      <c r="V63" s="170">
        <f xml:space="preserve"> InputsTS!V$417</f>
        <v>15</v>
      </c>
      <c r="W63" s="170">
        <f xml:space="preserve"> InputsTS!W$417</f>
        <v>-3</v>
      </c>
      <c r="X63" s="170">
        <f xml:space="preserve"> InputsTS!X$417</f>
        <v>10</v>
      </c>
      <c r="Y63" s="170">
        <f xml:space="preserve"> InputsTS!Y$417</f>
        <v>8</v>
      </c>
      <c r="Z63" s="170">
        <f xml:space="preserve"> InputsTS!Z$417</f>
        <v>-7</v>
      </c>
      <c r="AA63" s="170">
        <f xml:space="preserve"> InputsTS!AA$417</f>
        <v>8</v>
      </c>
      <c r="AB63" s="170">
        <f xml:space="preserve"> InputsTS!AB$417</f>
        <v>-7</v>
      </c>
      <c r="AC63" s="170">
        <f xml:space="preserve"> InputsTS!AC$417</f>
        <v>-1</v>
      </c>
      <c r="AD63" s="170">
        <f xml:space="preserve"> InputsTS!AD$417</f>
        <v>4</v>
      </c>
      <c r="AE63" s="170">
        <f xml:space="preserve"> InputsTS!AE$417</f>
        <v>4</v>
      </c>
      <c r="AF63" s="170">
        <f xml:space="preserve"> InputsTS!AF$417</f>
        <v>3</v>
      </c>
      <c r="AG63" s="170">
        <f xml:space="preserve"> InputsTS!AG$417</f>
        <v>9</v>
      </c>
      <c r="AH63" s="170">
        <f xml:space="preserve"> InputsTS!AH$417</f>
        <v>0</v>
      </c>
      <c r="AI63" s="170">
        <f xml:space="preserve"> InputsTS!AI$417</f>
        <v>35</v>
      </c>
      <c r="AJ63" s="170">
        <f xml:space="preserve"> InputsTS!AJ$417</f>
        <v>24</v>
      </c>
      <c r="AK63" s="170">
        <f xml:space="preserve"> InputsTS!AK$417</f>
        <v>192</v>
      </c>
      <c r="AL63" s="170">
        <f xml:space="preserve"> InputsTS!AL$417</f>
        <v>0</v>
      </c>
      <c r="AM63" s="170">
        <f xml:space="preserve"> InputsTS!AM$417</f>
        <v>0</v>
      </c>
      <c r="AN63" s="170">
        <f xml:space="preserve"> InputsTS!AN$417</f>
        <v>0</v>
      </c>
      <c r="AO63" s="170">
        <f xml:space="preserve"> InputsTS!AO$417</f>
        <v>0</v>
      </c>
      <c r="AP63" s="170">
        <f xml:space="preserve"> InputsTS!AP$417</f>
        <v>0</v>
      </c>
      <c r="AQ63" s="170">
        <f xml:space="preserve"> InputsTS!AQ$417</f>
        <v>0</v>
      </c>
      <c r="AR63" s="170">
        <f xml:space="preserve"> InputsTS!AR$417</f>
        <v>0</v>
      </c>
      <c r="AS63" s="170">
        <f xml:space="preserve"> InputsTS!AS$417</f>
        <v>0</v>
      </c>
      <c r="AT63" s="170">
        <f xml:space="preserve"> InputsTS!AT$417</f>
        <v>0</v>
      </c>
      <c r="AU63" s="170">
        <f xml:space="preserve"> InputsTS!AU$417</f>
        <v>0</v>
      </c>
      <c r="AV63" s="170">
        <f xml:space="preserve"> InputsTS!AV$417</f>
        <v>0</v>
      </c>
    </row>
    <row r="64" spans="1:48" s="132" customFormat="1" ht="15" customHeight="1">
      <c r="A64" s="133"/>
      <c r="B64" s="133"/>
      <c r="C64" s="151"/>
      <c r="E64" s="170" t="str">
        <f xml:space="preserve"> InputsTS!E$418</f>
        <v>Total Expenses 2011TR</v>
      </c>
      <c r="F64" s="170">
        <f xml:space="preserve"> InputsTS!F$418</f>
        <v>0</v>
      </c>
      <c r="G64" s="170" t="str">
        <f xml:space="preserve"> InputsTS!G$418</f>
        <v>$ mn</v>
      </c>
      <c r="H64" s="170">
        <f xml:space="preserve"> InputsTS!H$418</f>
        <v>0</v>
      </c>
      <c r="I64" s="170" t="str">
        <f xml:space="preserve"> InputsTS!I$418</f>
        <v>XVII</v>
      </c>
      <c r="J64" s="170">
        <f xml:space="preserve"> InputsTS!J$418</f>
        <v>-12509</v>
      </c>
      <c r="K64" s="170">
        <f xml:space="preserve"> InputsTS!K$418</f>
        <v>0</v>
      </c>
      <c r="L64" s="170">
        <f xml:space="preserve"> InputsTS!L$418</f>
        <v>0</v>
      </c>
      <c r="M64" s="170">
        <f xml:space="preserve"> InputsTS!M$418</f>
        <v>0</v>
      </c>
      <c r="N64" s="170">
        <f xml:space="preserve"> InputsTS!N$418</f>
        <v>0</v>
      </c>
      <c r="O64" s="170">
        <f xml:space="preserve"> InputsTS!O$418</f>
        <v>0</v>
      </c>
      <c r="P64" s="170">
        <f xml:space="preserve"> InputsTS!P$418</f>
        <v>0</v>
      </c>
      <c r="Q64" s="170">
        <f xml:space="preserve"> InputsTS!Q$418</f>
        <v>-411</v>
      </c>
      <c r="R64" s="170">
        <f xml:space="preserve"> InputsTS!R$418</f>
        <v>-528</v>
      </c>
      <c r="S64" s="170">
        <f xml:space="preserve"> InputsTS!S$418</f>
        <v>-586</v>
      </c>
      <c r="T64" s="170">
        <f xml:space="preserve"> InputsTS!T$418</f>
        <v>-536</v>
      </c>
      <c r="U64" s="170">
        <f xml:space="preserve"> InputsTS!U$418</f>
        <v>-690</v>
      </c>
      <c r="V64" s="170">
        <f xml:space="preserve"> InputsTS!V$418</f>
        <v>-608</v>
      </c>
      <c r="W64" s="170">
        <f xml:space="preserve"> InputsTS!W$418</f>
        <v>-652</v>
      </c>
      <c r="X64" s="170">
        <f xml:space="preserve"> InputsTS!X$418</f>
        <v>-642</v>
      </c>
      <c r="Y64" s="170">
        <f xml:space="preserve"> InputsTS!Y$418</f>
        <v>-650</v>
      </c>
      <c r="Z64" s="170">
        <f xml:space="preserve"> InputsTS!Z$418</f>
        <v>-704</v>
      </c>
      <c r="AA64" s="170">
        <f xml:space="preserve"> InputsTS!AA$418</f>
        <v>-669</v>
      </c>
      <c r="AB64" s="170">
        <f xml:space="preserve"> InputsTS!AB$418</f>
        <v>-711</v>
      </c>
      <c r="AC64" s="170">
        <f xml:space="preserve"> InputsTS!AC$418</f>
        <v>-736</v>
      </c>
      <c r="AD64" s="170">
        <f xml:space="preserve"> InputsTS!AD$418</f>
        <v>-722</v>
      </c>
      <c r="AE64" s="170">
        <f xml:space="preserve"> InputsTS!AE$418</f>
        <v>-701</v>
      </c>
      <c r="AF64" s="170">
        <f xml:space="preserve"> InputsTS!AF$418</f>
        <v>-697</v>
      </c>
      <c r="AG64" s="170">
        <f xml:space="preserve"> InputsTS!AG$418</f>
        <v>-673</v>
      </c>
      <c r="AH64" s="170">
        <f xml:space="preserve"> InputsTS!AH$418</f>
        <v>-672</v>
      </c>
      <c r="AI64" s="170">
        <f xml:space="preserve"> InputsTS!AI$418</f>
        <v>-543</v>
      </c>
      <c r="AJ64" s="170">
        <f xml:space="preserve"> InputsTS!AJ$418</f>
        <v>-457</v>
      </c>
      <c r="AK64" s="170">
        <f xml:space="preserve"> InputsTS!AK$418</f>
        <v>135</v>
      </c>
      <c r="AL64" s="170">
        <f xml:space="preserve"> InputsTS!AL$418</f>
        <v>-56</v>
      </c>
      <c r="AM64" s="170">
        <f xml:space="preserve"> InputsTS!AM$418</f>
        <v>0</v>
      </c>
      <c r="AN64" s="170">
        <f xml:space="preserve"> InputsTS!AN$418</f>
        <v>0</v>
      </c>
      <c r="AO64" s="170">
        <f xml:space="preserve"> InputsTS!AO$418</f>
        <v>0</v>
      </c>
      <c r="AP64" s="170">
        <f xml:space="preserve"> InputsTS!AP$418</f>
        <v>0</v>
      </c>
      <c r="AQ64" s="170">
        <f xml:space="preserve"> InputsTS!AQ$418</f>
        <v>0</v>
      </c>
      <c r="AR64" s="170">
        <f xml:space="preserve"> InputsTS!AR$418</f>
        <v>0</v>
      </c>
      <c r="AS64" s="170">
        <f xml:space="preserve"> InputsTS!AS$418</f>
        <v>0</v>
      </c>
      <c r="AT64" s="170">
        <f xml:space="preserve"> InputsTS!AT$418</f>
        <v>0</v>
      </c>
      <c r="AU64" s="170">
        <f xml:space="preserve"> InputsTS!AU$418</f>
        <v>0</v>
      </c>
      <c r="AV64" s="170">
        <f xml:space="preserve"> InputsTS!AV$418</f>
        <v>0</v>
      </c>
    </row>
    <row r="65" spans="1:48" s="123" customFormat="1" ht="15" customHeight="1">
      <c r="A65" s="134"/>
      <c r="B65" s="134"/>
      <c r="C65" s="151"/>
      <c r="E65" s="123" t="s">
        <v>113</v>
      </c>
      <c r="G65" s="123" t="s">
        <v>29</v>
      </c>
      <c r="J65" s="123">
        <f xml:space="preserve"> SUM(L65:AV65)</f>
        <v>1</v>
      </c>
      <c r="L65" s="123">
        <f t="shared" ref="L65:AV65" si="16" xml:space="preserve"> L61 + L62 + L63 - L64</f>
        <v>0</v>
      </c>
      <c r="M65" s="123">
        <f t="shared" si="16"/>
        <v>0</v>
      </c>
      <c r="N65" s="123">
        <f t="shared" si="16"/>
        <v>0</v>
      </c>
      <c r="O65" s="123">
        <f t="shared" si="16"/>
        <v>0</v>
      </c>
      <c r="P65" s="123">
        <f t="shared" si="16"/>
        <v>0</v>
      </c>
      <c r="Q65" s="123">
        <f t="shared" si="16"/>
        <v>0</v>
      </c>
      <c r="R65" s="123">
        <f t="shared" si="16"/>
        <v>0</v>
      </c>
      <c r="S65" s="123">
        <f t="shared" si="16"/>
        <v>0</v>
      </c>
      <c r="T65" s="123">
        <f t="shared" si="16"/>
        <v>0</v>
      </c>
      <c r="U65" s="123">
        <f t="shared" si="16"/>
        <v>0</v>
      </c>
      <c r="V65" s="123">
        <f t="shared" si="16"/>
        <v>0</v>
      </c>
      <c r="W65" s="123">
        <f t="shared" si="16"/>
        <v>-1</v>
      </c>
      <c r="X65" s="123">
        <f t="shared" si="16"/>
        <v>-1</v>
      </c>
      <c r="Y65" s="123">
        <f t="shared" si="16"/>
        <v>0</v>
      </c>
      <c r="Z65" s="123">
        <f t="shared" si="16"/>
        <v>0</v>
      </c>
      <c r="AA65" s="123">
        <f t="shared" si="16"/>
        <v>0</v>
      </c>
      <c r="AB65" s="123">
        <f t="shared" si="16"/>
        <v>0</v>
      </c>
      <c r="AC65" s="123">
        <f t="shared" si="16"/>
        <v>0</v>
      </c>
      <c r="AD65" s="123">
        <f t="shared" si="16"/>
        <v>1</v>
      </c>
      <c r="AE65" s="123">
        <f t="shared" si="16"/>
        <v>0</v>
      </c>
      <c r="AF65" s="123">
        <f t="shared" si="16"/>
        <v>1</v>
      </c>
      <c r="AG65" s="123">
        <f t="shared" si="16"/>
        <v>1</v>
      </c>
      <c r="AH65" s="123">
        <f t="shared" si="16"/>
        <v>0</v>
      </c>
      <c r="AI65" s="123">
        <f t="shared" si="16"/>
        <v>0</v>
      </c>
      <c r="AJ65" s="123">
        <f t="shared" si="16"/>
        <v>0</v>
      </c>
      <c r="AK65" s="123">
        <f t="shared" si="16"/>
        <v>0</v>
      </c>
      <c r="AL65" s="123">
        <f t="shared" si="16"/>
        <v>0</v>
      </c>
      <c r="AM65" s="123">
        <f t="shared" si="16"/>
        <v>0</v>
      </c>
      <c r="AN65" s="123">
        <f t="shared" si="16"/>
        <v>0</v>
      </c>
      <c r="AO65" s="123">
        <f t="shared" si="16"/>
        <v>0</v>
      </c>
      <c r="AP65" s="123">
        <f t="shared" si="16"/>
        <v>0</v>
      </c>
      <c r="AQ65" s="123">
        <f t="shared" si="16"/>
        <v>0</v>
      </c>
      <c r="AR65" s="123">
        <f t="shared" si="16"/>
        <v>0</v>
      </c>
      <c r="AS65" s="123">
        <f t="shared" si="16"/>
        <v>0</v>
      </c>
      <c r="AT65" s="123">
        <f t="shared" si="16"/>
        <v>0</v>
      </c>
      <c r="AU65" s="123">
        <f t="shared" si="16"/>
        <v>0</v>
      </c>
      <c r="AV65" s="123">
        <f t="shared" si="16"/>
        <v>0</v>
      </c>
    </row>
    <row r="66" spans="1:48" s="123" customFormat="1" ht="15" customHeight="1">
      <c r="A66" s="134"/>
      <c r="B66" s="134"/>
      <c r="C66" s="151"/>
    </row>
    <row r="67" spans="1:48" s="108" customFormat="1" ht="15" customHeight="1">
      <c r="B67" s="188"/>
      <c r="C67" s="149"/>
      <c r="E67" s="176" t="str">
        <f xml:space="preserve"> InputsTS!E$420</f>
        <v>Capital Expenditure 2011TR</v>
      </c>
      <c r="F67" s="176">
        <f xml:space="preserve"> InputsTS!F$420</f>
        <v>0</v>
      </c>
      <c r="G67" s="176" t="str">
        <f xml:space="preserve"> InputsTS!G$420</f>
        <v>$ mn</v>
      </c>
      <c r="H67" s="176">
        <f xml:space="preserve"> InputsTS!H$420</f>
        <v>0</v>
      </c>
      <c r="I67" s="176" t="str">
        <f xml:space="preserve"> InputsTS!I$420</f>
        <v>XVII</v>
      </c>
      <c r="J67" s="577">
        <f xml:space="preserve"> InputsTS!J$420</f>
        <v>-2648</v>
      </c>
      <c r="K67" s="577">
        <f xml:space="preserve"> InputsTS!K$420</f>
        <v>0</v>
      </c>
      <c r="L67" s="577">
        <f xml:space="preserve"> InputsTS!L$420</f>
        <v>0</v>
      </c>
      <c r="M67" s="577">
        <f xml:space="preserve"> InputsTS!M$420</f>
        <v>0</v>
      </c>
      <c r="N67" s="577">
        <f xml:space="preserve"> InputsTS!N$420</f>
        <v>0</v>
      </c>
      <c r="O67" s="577">
        <f xml:space="preserve"> InputsTS!O$420</f>
        <v>0</v>
      </c>
      <c r="P67" s="577">
        <f xml:space="preserve"> InputsTS!P$420</f>
        <v>0</v>
      </c>
      <c r="Q67" s="577">
        <f xml:space="preserve"> InputsTS!Q$420</f>
        <v>-320</v>
      </c>
      <c r="R67" s="577">
        <f xml:space="preserve"> InputsTS!R$420</f>
        <v>-353</v>
      </c>
      <c r="S67" s="577">
        <f xml:space="preserve"> InputsTS!S$420</f>
        <v>-371</v>
      </c>
      <c r="T67" s="577">
        <f xml:space="preserve"> InputsTS!T$420</f>
        <v>-133</v>
      </c>
      <c r="U67" s="577">
        <f xml:space="preserve"> InputsTS!U$420</f>
        <v>-120</v>
      </c>
      <c r="V67" s="577">
        <f xml:space="preserve"> InputsTS!V$420</f>
        <v>-89</v>
      </c>
      <c r="W67" s="577">
        <f xml:space="preserve"> InputsTS!W$420</f>
        <v>-105</v>
      </c>
      <c r="X67" s="577">
        <f xml:space="preserve"> InputsTS!X$420</f>
        <v>-119</v>
      </c>
      <c r="Y67" s="577">
        <f xml:space="preserve"> InputsTS!Y$420</f>
        <v>-97</v>
      </c>
      <c r="Z67" s="577">
        <f xml:space="preserve"> InputsTS!Z$420</f>
        <v>-110</v>
      </c>
      <c r="AA67" s="577">
        <f xml:space="preserve"> InputsTS!AA$420</f>
        <v>-103</v>
      </c>
      <c r="AB67" s="577">
        <f xml:space="preserve"> InputsTS!AB$420</f>
        <v>-103</v>
      </c>
      <c r="AC67" s="577">
        <f xml:space="preserve"> InputsTS!AC$420</f>
        <v>-94</v>
      </c>
      <c r="AD67" s="577">
        <f xml:space="preserve"> InputsTS!AD$420</f>
        <v>-87</v>
      </c>
      <c r="AE67" s="577">
        <f xml:space="preserve"> InputsTS!AE$420</f>
        <v>-76</v>
      </c>
      <c r="AF67" s="577">
        <f xml:space="preserve"> InputsTS!AF$420</f>
        <v>-77</v>
      </c>
      <c r="AG67" s="577">
        <f xml:space="preserve"> InputsTS!AG$420</f>
        <v>-75</v>
      </c>
      <c r="AH67" s="577">
        <f xml:space="preserve"> InputsTS!AH$420</f>
        <v>-83</v>
      </c>
      <c r="AI67" s="577">
        <f xml:space="preserve"> InputsTS!AI$420</f>
        <v>-77</v>
      </c>
      <c r="AJ67" s="577">
        <f xml:space="preserve"> InputsTS!AJ$420</f>
        <v>-56</v>
      </c>
      <c r="AK67" s="577">
        <f xml:space="preserve"> InputsTS!AK$420</f>
        <v>0</v>
      </c>
      <c r="AL67" s="577">
        <f xml:space="preserve"> InputsTS!AL$420</f>
        <v>0</v>
      </c>
      <c r="AM67" s="577">
        <f xml:space="preserve"> InputsTS!AM$420</f>
        <v>0</v>
      </c>
      <c r="AN67" s="577">
        <f xml:space="preserve"> InputsTS!AN$420</f>
        <v>0</v>
      </c>
      <c r="AO67" s="577">
        <f xml:space="preserve"> InputsTS!AO$420</f>
        <v>0</v>
      </c>
      <c r="AP67" s="577">
        <f xml:space="preserve"> InputsTS!AP$420</f>
        <v>0</v>
      </c>
      <c r="AQ67" s="577">
        <f xml:space="preserve"> InputsTS!AQ$420</f>
        <v>0</v>
      </c>
      <c r="AR67" s="577">
        <f xml:space="preserve"> InputsTS!AR$420</f>
        <v>0</v>
      </c>
      <c r="AS67" s="577">
        <f xml:space="preserve"> InputsTS!AS$420</f>
        <v>0</v>
      </c>
      <c r="AT67" s="577">
        <f xml:space="preserve"> InputsTS!AT$420</f>
        <v>0</v>
      </c>
      <c r="AU67" s="577">
        <f xml:space="preserve"> InputsTS!AU$420</f>
        <v>0</v>
      </c>
      <c r="AV67" s="176">
        <f xml:space="preserve"> InputsTS!AV$420</f>
        <v>0</v>
      </c>
    </row>
    <row r="68" spans="1:48" s="108" customFormat="1" ht="15" customHeight="1">
      <c r="B68" s="188"/>
      <c r="C68" s="149"/>
    </row>
    <row r="69" spans="1:48" s="148" customFormat="1" ht="15" customHeight="1">
      <c r="B69" s="179"/>
      <c r="C69" s="149" t="s">
        <v>182</v>
      </c>
    </row>
    <row r="70" spans="1:48" s="148" customFormat="1" ht="15" customHeight="1">
      <c r="B70" s="179"/>
      <c r="C70" s="149"/>
      <c r="S70" s="62"/>
    </row>
    <row r="71" spans="1:48" s="150" customFormat="1" ht="15" customHeight="1">
      <c r="B71" s="189"/>
      <c r="C71" s="151"/>
      <c r="E71" s="150" t="str">
        <f xml:space="preserve"> E61 &amp; " (unit cost)"</f>
        <v>Operating Costs 2011TR (unit cost)</v>
      </c>
      <c r="F71" s="150">
        <f xml:space="preserve"> SUM(L61:AV61) * -1 / SUM(L18:AV18) * 10^6</f>
        <v>2212.4666073018698</v>
      </c>
      <c r="G71" s="150" t="s">
        <v>183</v>
      </c>
      <c r="H71" s="123"/>
      <c r="I71" s="136" t="s">
        <v>184</v>
      </c>
      <c r="L71" s="150">
        <f t="shared" ref="L71:AV71" si="17" xml:space="preserve"> IFERROR(L61 * -1 / L18 * 10^6, 0)</f>
        <v>0</v>
      </c>
      <c r="M71" s="150">
        <f t="shared" si="17"/>
        <v>0</v>
      </c>
      <c r="N71" s="150">
        <f t="shared" si="17"/>
        <v>0</v>
      </c>
      <c r="O71" s="150">
        <f t="shared" si="17"/>
        <v>0</v>
      </c>
      <c r="P71" s="150">
        <f t="shared" si="17"/>
        <v>0</v>
      </c>
      <c r="Q71" s="150">
        <f t="shared" si="17"/>
        <v>2874.0740740740739</v>
      </c>
      <c r="R71" s="150">
        <f t="shared" si="17"/>
        <v>3220</v>
      </c>
      <c r="S71" s="150">
        <f t="shared" si="17"/>
        <v>2365.8536585365855</v>
      </c>
      <c r="T71" s="150">
        <f t="shared" si="17"/>
        <v>2159.1836734693879</v>
      </c>
      <c r="U71" s="150">
        <f t="shared" si="17"/>
        <v>2054.8387096774195</v>
      </c>
      <c r="V71" s="150">
        <f t="shared" si="17"/>
        <v>1954.8387096774193</v>
      </c>
      <c r="W71" s="150">
        <f t="shared" si="17"/>
        <v>2090.322580645161</v>
      </c>
      <c r="X71" s="150">
        <f t="shared" si="17"/>
        <v>2100</v>
      </c>
      <c r="Y71" s="150">
        <f t="shared" si="17"/>
        <v>2116.1290322580649</v>
      </c>
      <c r="Z71" s="150">
        <f t="shared" si="17"/>
        <v>2245.1612903225805</v>
      </c>
      <c r="AA71" s="150">
        <f t="shared" si="17"/>
        <v>2180.6451612903224</v>
      </c>
      <c r="AB71" s="150">
        <f t="shared" si="17"/>
        <v>2264.516129032258</v>
      </c>
      <c r="AC71" s="150">
        <f t="shared" si="17"/>
        <v>2367.7419354838707</v>
      </c>
      <c r="AD71" s="150">
        <f t="shared" si="17"/>
        <v>2335.483870967742</v>
      </c>
      <c r="AE71" s="150">
        <f t="shared" si="17"/>
        <v>2267.7419354838712</v>
      </c>
      <c r="AF71" s="150">
        <f t="shared" si="17"/>
        <v>2251.6129032258063</v>
      </c>
      <c r="AG71" s="150">
        <f t="shared" si="17"/>
        <v>2193.5483870967741</v>
      </c>
      <c r="AH71" s="150">
        <f t="shared" si="17"/>
        <v>2233.3333333333335</v>
      </c>
      <c r="AI71" s="150">
        <f t="shared" si="17"/>
        <v>1989.6551724137933</v>
      </c>
      <c r="AJ71" s="150">
        <f t="shared" si="17"/>
        <v>1846.1538461538462</v>
      </c>
      <c r="AK71" s="150">
        <f t="shared" si="17"/>
        <v>0</v>
      </c>
      <c r="AL71" s="150">
        <f t="shared" si="17"/>
        <v>0</v>
      </c>
      <c r="AM71" s="150">
        <f t="shared" si="17"/>
        <v>0</v>
      </c>
      <c r="AN71" s="150">
        <f t="shared" si="17"/>
        <v>0</v>
      </c>
      <c r="AO71" s="150">
        <f t="shared" si="17"/>
        <v>0</v>
      </c>
      <c r="AP71" s="150">
        <f t="shared" si="17"/>
        <v>0</v>
      </c>
      <c r="AQ71" s="150">
        <f t="shared" si="17"/>
        <v>0</v>
      </c>
      <c r="AR71" s="150">
        <f t="shared" si="17"/>
        <v>0</v>
      </c>
      <c r="AS71" s="150">
        <f t="shared" si="17"/>
        <v>0</v>
      </c>
      <c r="AT71" s="150">
        <f t="shared" si="17"/>
        <v>0</v>
      </c>
      <c r="AU71" s="150">
        <f t="shared" si="17"/>
        <v>0</v>
      </c>
      <c r="AV71" s="150">
        <f t="shared" si="17"/>
        <v>0</v>
      </c>
    </row>
    <row r="72" spans="1:48" s="150" customFormat="1" ht="15" customHeight="1">
      <c r="B72" s="189"/>
      <c r="C72" s="151"/>
      <c r="E72" s="150" t="str">
        <f xml:space="preserve"> E62 &amp; " (unit cost)"</f>
        <v>Other Costs 2011TR (unit cost)</v>
      </c>
      <c r="F72" s="150">
        <f xml:space="preserve"> SUM(L62:AV62) * -1 / SUM(L18:AV18) * 10^6</f>
        <v>47.195013357079254</v>
      </c>
      <c r="G72" s="150" t="s">
        <v>183</v>
      </c>
      <c r="H72" s="123"/>
      <c r="I72" s="136" t="s">
        <v>185</v>
      </c>
      <c r="L72" s="150">
        <f t="shared" ref="L72:AV72" si="18" xml:space="preserve"> IFERROR(L62 * -1 / L18 * 10^6, 0)</f>
        <v>0</v>
      </c>
      <c r="M72" s="150">
        <f t="shared" si="18"/>
        <v>0</v>
      </c>
      <c r="N72" s="150">
        <f t="shared" si="18"/>
        <v>0</v>
      </c>
      <c r="O72" s="150">
        <f t="shared" si="18"/>
        <v>0</v>
      </c>
      <c r="P72" s="150">
        <f t="shared" si="18"/>
        <v>0</v>
      </c>
      <c r="Q72" s="150">
        <f t="shared" si="18"/>
        <v>348.14814814814815</v>
      </c>
      <c r="R72" s="150">
        <f t="shared" si="18"/>
        <v>113.33333333333333</v>
      </c>
      <c r="S72" s="150">
        <f t="shared" si="18"/>
        <v>82.926829268292678</v>
      </c>
      <c r="T72" s="150">
        <f t="shared" si="18"/>
        <v>69.387755102040828</v>
      </c>
      <c r="U72" s="150">
        <f t="shared" si="18"/>
        <v>54.838709677419352</v>
      </c>
      <c r="V72" s="150">
        <f t="shared" si="18"/>
        <v>54.838709677419352</v>
      </c>
      <c r="W72" s="150">
        <f t="shared" si="18"/>
        <v>6.4516129032258061</v>
      </c>
      <c r="X72" s="150">
        <f t="shared" si="18"/>
        <v>6.4516129032258061</v>
      </c>
      <c r="Y72" s="150">
        <f t="shared" si="18"/>
        <v>6.4516129032258061</v>
      </c>
      <c r="Z72" s="150">
        <f t="shared" si="18"/>
        <v>3.225806451612903</v>
      </c>
      <c r="AA72" s="150">
        <f t="shared" si="18"/>
        <v>3.225806451612903</v>
      </c>
      <c r="AB72" s="150">
        <f t="shared" si="18"/>
        <v>6.4516129032258061</v>
      </c>
      <c r="AC72" s="150">
        <f t="shared" si="18"/>
        <v>3.225806451612903</v>
      </c>
      <c r="AD72" s="150">
        <f t="shared" si="18"/>
        <v>3.225806451612903</v>
      </c>
      <c r="AE72" s="150">
        <f t="shared" si="18"/>
        <v>6.4516129032258061</v>
      </c>
      <c r="AF72" s="150">
        <f t="shared" si="18"/>
        <v>3.225806451612903</v>
      </c>
      <c r="AG72" s="150">
        <f t="shared" si="18"/>
        <v>3.225806451612903</v>
      </c>
      <c r="AH72" s="150">
        <f t="shared" si="18"/>
        <v>6.666666666666667</v>
      </c>
      <c r="AI72" s="150">
        <f t="shared" si="18"/>
        <v>3.4482758620689653</v>
      </c>
      <c r="AJ72" s="150">
        <f t="shared" si="18"/>
        <v>3.8461538461538458</v>
      </c>
      <c r="AK72" s="150">
        <f t="shared" si="18"/>
        <v>0</v>
      </c>
      <c r="AL72" s="150">
        <f t="shared" si="18"/>
        <v>0</v>
      </c>
      <c r="AM72" s="150">
        <f t="shared" si="18"/>
        <v>0</v>
      </c>
      <c r="AN72" s="150">
        <f t="shared" si="18"/>
        <v>0</v>
      </c>
      <c r="AO72" s="150">
        <f t="shared" si="18"/>
        <v>0</v>
      </c>
      <c r="AP72" s="150">
        <f t="shared" si="18"/>
        <v>0</v>
      </c>
      <c r="AQ72" s="150">
        <f t="shared" si="18"/>
        <v>0</v>
      </c>
      <c r="AR72" s="150">
        <f t="shared" si="18"/>
        <v>0</v>
      </c>
      <c r="AS72" s="150">
        <f t="shared" si="18"/>
        <v>0</v>
      </c>
      <c r="AT72" s="150">
        <f t="shared" si="18"/>
        <v>0</v>
      </c>
      <c r="AU72" s="150">
        <f t="shared" si="18"/>
        <v>0</v>
      </c>
      <c r="AV72" s="150">
        <f t="shared" si="18"/>
        <v>0</v>
      </c>
    </row>
    <row r="73" spans="1:48" s="150" customFormat="1" ht="15" customHeight="1">
      <c r="B73" s="189"/>
      <c r="C73" s="151"/>
      <c r="I73" s="136"/>
    </row>
    <row r="74" spans="1:48" s="150" customFormat="1" ht="15" customHeight="1">
      <c r="B74" s="189"/>
      <c r="C74" s="151" t="s">
        <v>186</v>
      </c>
      <c r="I74" s="136"/>
    </row>
    <row r="75" spans="1:48" s="152" customFormat="1" ht="15" customHeight="1">
      <c r="B75" s="190"/>
      <c r="C75" s="154"/>
      <c r="E75" s="153" t="str">
        <f xml:space="preserve"> E$199</f>
        <v>Discount factor</v>
      </c>
      <c r="F75" s="153">
        <f xml:space="preserve"> F$199</f>
        <v>0</v>
      </c>
      <c r="G75" s="153" t="str">
        <f xml:space="preserve"> G$199</f>
        <v>factor</v>
      </c>
      <c r="H75" s="153"/>
      <c r="I75" s="153">
        <f t="shared" ref="I75:AV75" si="19" xml:space="preserve"> I$199</f>
        <v>0</v>
      </c>
      <c r="J75" s="153">
        <f t="shared" si="19"/>
        <v>0</v>
      </c>
      <c r="K75" s="153">
        <f t="shared" si="19"/>
        <v>0</v>
      </c>
      <c r="L75" s="153">
        <f t="shared" si="19"/>
        <v>0.95346258924559224</v>
      </c>
      <c r="M75" s="153">
        <f t="shared" si="19"/>
        <v>0.86678417204144742</v>
      </c>
      <c r="N75" s="153">
        <f t="shared" si="19"/>
        <v>0.78798561094677033</v>
      </c>
      <c r="O75" s="153">
        <f t="shared" si="19"/>
        <v>0.71635055540615489</v>
      </c>
      <c r="P75" s="153">
        <f t="shared" si="19"/>
        <v>0.65122777764195883</v>
      </c>
      <c r="Q75" s="153">
        <f t="shared" si="19"/>
        <v>0.59202525240178083</v>
      </c>
      <c r="R75" s="153">
        <f t="shared" si="19"/>
        <v>0.53820477491070973</v>
      </c>
      <c r="S75" s="153">
        <f t="shared" si="19"/>
        <v>0.48927706810064514</v>
      </c>
      <c r="T75" s="153">
        <f t="shared" si="19"/>
        <v>0.44479733463695009</v>
      </c>
      <c r="U75" s="153">
        <f t="shared" si="19"/>
        <v>0.4043612133063183</v>
      </c>
      <c r="V75" s="153">
        <f t="shared" si="19"/>
        <v>0.36760110300574383</v>
      </c>
      <c r="W75" s="153">
        <f t="shared" si="19"/>
        <v>0.33418282091431251</v>
      </c>
      <c r="X75" s="153">
        <f t="shared" si="19"/>
        <v>0.30380256446755688</v>
      </c>
      <c r="Y75" s="153">
        <f t="shared" si="19"/>
        <v>0.27618414951596076</v>
      </c>
      <c r="Z75" s="153">
        <f t="shared" si="19"/>
        <v>0.25107649955996431</v>
      </c>
      <c r="AA75" s="153">
        <f t="shared" si="19"/>
        <v>0.22825136323633116</v>
      </c>
      <c r="AB75" s="153">
        <f t="shared" si="19"/>
        <v>0.20750123930575562</v>
      </c>
      <c r="AC75" s="153">
        <f t="shared" si="19"/>
        <v>0.18863749027795962</v>
      </c>
      <c r="AD75" s="153">
        <f t="shared" si="19"/>
        <v>0.17148862752541782</v>
      </c>
      <c r="AE75" s="153">
        <f t="shared" si="19"/>
        <v>0.15589875229583436</v>
      </c>
      <c r="AF75" s="153">
        <f t="shared" si="19"/>
        <v>0.14172613845075852</v>
      </c>
      <c r="AG75" s="153">
        <f t="shared" si="19"/>
        <v>0.1288419440461441</v>
      </c>
      <c r="AH75" s="153">
        <f t="shared" si="19"/>
        <v>0.11712904004194918</v>
      </c>
      <c r="AI75" s="153">
        <f t="shared" si="19"/>
        <v>0.10648094549268106</v>
      </c>
      <c r="AJ75" s="153">
        <f t="shared" si="19"/>
        <v>9.6800859538800965E-2</v>
      </c>
      <c r="AK75" s="153">
        <f t="shared" si="19"/>
        <v>8.8000781398909919E-2</v>
      </c>
      <c r="AL75" s="153">
        <f t="shared" si="19"/>
        <v>8.0000710362645402E-2</v>
      </c>
      <c r="AM75" s="153">
        <f t="shared" si="19"/>
        <v>7.272791851149582E-2</v>
      </c>
      <c r="AN75" s="153">
        <f t="shared" si="19"/>
        <v>6.6116289555905275E-2</v>
      </c>
      <c r="AO75" s="153">
        <f t="shared" si="19"/>
        <v>6.0105717778095702E-2</v>
      </c>
      <c r="AP75" s="153">
        <f t="shared" si="19"/>
        <v>5.4641561616450646E-2</v>
      </c>
      <c r="AQ75" s="153">
        <f t="shared" si="19"/>
        <v>4.967414692404603E-2</v>
      </c>
      <c r="AR75" s="153">
        <f t="shared" si="19"/>
        <v>4.5158315385496389E-2</v>
      </c>
      <c r="AS75" s="153">
        <f t="shared" si="19"/>
        <v>4.1053013986814886E-2</v>
      </c>
      <c r="AT75" s="153">
        <f t="shared" si="19"/>
        <v>3.7320921806195353E-2</v>
      </c>
      <c r="AU75" s="153">
        <f t="shared" si="19"/>
        <v>3.3928110732904866E-2</v>
      </c>
      <c r="AV75" s="153">
        <f t="shared" si="19"/>
        <v>3.0843737029913505E-2</v>
      </c>
    </row>
    <row r="76" spans="1:48" s="150" customFormat="1" ht="15" customHeight="1">
      <c r="B76" s="189"/>
      <c r="C76" s="151"/>
      <c r="E76" s="150" t="str">
        <f xml:space="preserve"> E63 &amp; " NPV"</f>
        <v>Net Change in Working Capital 2011TR NPV</v>
      </c>
      <c r="F76" s="150">
        <f xml:space="preserve"> SUMPRODUCT(L75:AV75, L63:AV63)</f>
        <v>-18.042626345451801</v>
      </c>
      <c r="G76" s="150" t="s">
        <v>187</v>
      </c>
      <c r="I76" s="136" t="s">
        <v>188</v>
      </c>
    </row>
    <row r="77" spans="1:48" s="150" customFormat="1" ht="15" customHeight="1">
      <c r="B77" s="189"/>
      <c r="C77" s="151"/>
      <c r="I77" s="136"/>
    </row>
    <row r="78" spans="1:48" s="160" customFormat="1" ht="15" customHeight="1">
      <c r="A78" s="164" t="s">
        <v>189</v>
      </c>
      <c r="B78" s="162"/>
      <c r="C78" s="192"/>
      <c r="D78" s="163"/>
      <c r="E78" s="162"/>
      <c r="F78" s="162"/>
      <c r="G78" s="162"/>
      <c r="H78" s="162"/>
    </row>
    <row r="79" spans="1:48" s="229" customFormat="1" ht="15" customHeight="1">
      <c r="A79" s="225"/>
      <c r="B79" s="226"/>
      <c r="C79" s="227"/>
      <c r="D79" s="228"/>
      <c r="E79" s="226"/>
      <c r="F79" s="226"/>
      <c r="G79" s="226"/>
      <c r="H79" s="226"/>
    </row>
    <row r="80" spans="1:48" s="148" customFormat="1" ht="15" customHeight="1">
      <c r="B80" s="179"/>
      <c r="C80" s="149" t="s">
        <v>190</v>
      </c>
    </row>
    <row r="81" spans="1:48" s="123" customFormat="1" ht="15" customHeight="1">
      <c r="A81" s="134"/>
      <c r="B81" s="134"/>
      <c r="C81" s="151"/>
      <c r="E81" s="123" t="s">
        <v>191</v>
      </c>
      <c r="G81" s="123" t="s">
        <v>23</v>
      </c>
      <c r="L81" s="147"/>
      <c r="M81" s="147"/>
      <c r="N81" s="147"/>
      <c r="O81" s="147"/>
      <c r="P81" s="147"/>
      <c r="Q81" s="147">
        <v>1</v>
      </c>
      <c r="R81" s="147">
        <v>1</v>
      </c>
      <c r="S81" s="147">
        <v>1</v>
      </c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</row>
    <row r="82" spans="1:48" s="123" customFormat="1" ht="15" customHeight="1">
      <c r="A82" s="134"/>
      <c r="B82" s="134"/>
      <c r="C82" s="151"/>
      <c r="E82" s="123" t="s">
        <v>192</v>
      </c>
      <c r="G82" s="123" t="s">
        <v>29</v>
      </c>
      <c r="J82" s="123">
        <f xml:space="preserve"> SUM(L82:AV82)</f>
        <v>-1044</v>
      </c>
      <c r="L82" s="123">
        <f t="shared" ref="L82:AV82" si="20" xml:space="preserve"> L67 * L81</f>
        <v>0</v>
      </c>
      <c r="M82" s="123">
        <f t="shared" si="20"/>
        <v>0</v>
      </c>
      <c r="N82" s="123">
        <f t="shared" si="20"/>
        <v>0</v>
      </c>
      <c r="O82" s="123">
        <f t="shared" si="20"/>
        <v>0</v>
      </c>
      <c r="P82" s="123">
        <f t="shared" si="20"/>
        <v>0</v>
      </c>
      <c r="Q82" s="123">
        <f t="shared" si="20"/>
        <v>-320</v>
      </c>
      <c r="R82" s="123">
        <f t="shared" si="20"/>
        <v>-353</v>
      </c>
      <c r="S82" s="123">
        <f t="shared" si="20"/>
        <v>-371</v>
      </c>
      <c r="T82" s="123">
        <f t="shared" si="20"/>
        <v>0</v>
      </c>
      <c r="U82" s="123">
        <f t="shared" si="20"/>
        <v>0</v>
      </c>
      <c r="V82" s="123">
        <f t="shared" si="20"/>
        <v>0</v>
      </c>
      <c r="W82" s="123">
        <f t="shared" si="20"/>
        <v>0</v>
      </c>
      <c r="X82" s="123">
        <f t="shared" si="20"/>
        <v>0</v>
      </c>
      <c r="Y82" s="123">
        <f t="shared" si="20"/>
        <v>0</v>
      </c>
      <c r="Z82" s="123">
        <f t="shared" si="20"/>
        <v>0</v>
      </c>
      <c r="AA82" s="123">
        <f t="shared" si="20"/>
        <v>0</v>
      </c>
      <c r="AB82" s="123">
        <f t="shared" si="20"/>
        <v>0</v>
      </c>
      <c r="AC82" s="123">
        <f t="shared" si="20"/>
        <v>0</v>
      </c>
      <c r="AD82" s="123">
        <f t="shared" si="20"/>
        <v>0</v>
      </c>
      <c r="AE82" s="123">
        <f t="shared" si="20"/>
        <v>0</v>
      </c>
      <c r="AF82" s="123">
        <f t="shared" si="20"/>
        <v>0</v>
      </c>
      <c r="AG82" s="123">
        <f t="shared" si="20"/>
        <v>0</v>
      </c>
      <c r="AH82" s="123">
        <f t="shared" si="20"/>
        <v>0</v>
      </c>
      <c r="AI82" s="123">
        <f t="shared" si="20"/>
        <v>0</v>
      </c>
      <c r="AJ82" s="123">
        <f t="shared" si="20"/>
        <v>0</v>
      </c>
      <c r="AK82" s="123">
        <f t="shared" si="20"/>
        <v>0</v>
      </c>
      <c r="AL82" s="123">
        <f t="shared" si="20"/>
        <v>0</v>
      </c>
      <c r="AM82" s="123">
        <f t="shared" si="20"/>
        <v>0</v>
      </c>
      <c r="AN82" s="123">
        <f t="shared" si="20"/>
        <v>0</v>
      </c>
      <c r="AO82" s="123">
        <f t="shared" si="20"/>
        <v>0</v>
      </c>
      <c r="AP82" s="123">
        <f t="shared" si="20"/>
        <v>0</v>
      </c>
      <c r="AQ82" s="123">
        <f t="shared" si="20"/>
        <v>0</v>
      </c>
      <c r="AR82" s="123">
        <f t="shared" si="20"/>
        <v>0</v>
      </c>
      <c r="AS82" s="123">
        <f t="shared" si="20"/>
        <v>0</v>
      </c>
      <c r="AT82" s="123">
        <f t="shared" si="20"/>
        <v>0</v>
      </c>
      <c r="AU82" s="123">
        <f t="shared" si="20"/>
        <v>0</v>
      </c>
      <c r="AV82" s="123">
        <f t="shared" si="20"/>
        <v>0</v>
      </c>
    </row>
    <row r="83" spans="1:48" s="123" customFormat="1" ht="15" customHeight="1">
      <c r="A83" s="134"/>
      <c r="B83" s="134"/>
      <c r="C83" s="151"/>
      <c r="E83" s="123" t="str">
        <f xml:space="preserve"> E82</f>
        <v>Initial capex</v>
      </c>
      <c r="F83" s="123">
        <f xml:space="preserve"> SUM(L82:AV82)</f>
        <v>-1044</v>
      </c>
      <c r="G83" s="123" t="str">
        <f>G82</f>
        <v>$ mn</v>
      </c>
    </row>
    <row r="84" spans="1:48" s="123" customFormat="1" ht="15" customHeight="1">
      <c r="A84" s="134"/>
      <c r="B84" s="134"/>
      <c r="C84" s="151"/>
      <c r="E84" s="123" t="s">
        <v>193</v>
      </c>
      <c r="G84" s="123" t="s">
        <v>29</v>
      </c>
      <c r="J84" s="123">
        <f xml:space="preserve"> SUM(L84:AV84)</f>
        <v>-1604</v>
      </c>
      <c r="L84" s="123">
        <f t="shared" ref="L84:AV84" si="21" xml:space="preserve"> L67 - L82</f>
        <v>0</v>
      </c>
      <c r="M84" s="123">
        <f t="shared" si="21"/>
        <v>0</v>
      </c>
      <c r="N84" s="123">
        <f t="shared" si="21"/>
        <v>0</v>
      </c>
      <c r="O84" s="123">
        <f t="shared" si="21"/>
        <v>0</v>
      </c>
      <c r="P84" s="123">
        <f t="shared" si="21"/>
        <v>0</v>
      </c>
      <c r="Q84" s="123">
        <f t="shared" si="21"/>
        <v>0</v>
      </c>
      <c r="R84" s="123">
        <f t="shared" si="21"/>
        <v>0</v>
      </c>
      <c r="S84" s="123">
        <f t="shared" si="21"/>
        <v>0</v>
      </c>
      <c r="T84" s="123">
        <f t="shared" si="21"/>
        <v>-133</v>
      </c>
      <c r="U84" s="123">
        <f t="shared" si="21"/>
        <v>-120</v>
      </c>
      <c r="V84" s="123">
        <f t="shared" si="21"/>
        <v>-89</v>
      </c>
      <c r="W84" s="123">
        <f t="shared" si="21"/>
        <v>-105</v>
      </c>
      <c r="X84" s="123">
        <f t="shared" si="21"/>
        <v>-119</v>
      </c>
      <c r="Y84" s="123">
        <f t="shared" si="21"/>
        <v>-97</v>
      </c>
      <c r="Z84" s="123">
        <f t="shared" si="21"/>
        <v>-110</v>
      </c>
      <c r="AA84" s="123">
        <f t="shared" si="21"/>
        <v>-103</v>
      </c>
      <c r="AB84" s="123">
        <f t="shared" si="21"/>
        <v>-103</v>
      </c>
      <c r="AC84" s="123">
        <f t="shared" si="21"/>
        <v>-94</v>
      </c>
      <c r="AD84" s="123">
        <f t="shared" si="21"/>
        <v>-87</v>
      </c>
      <c r="AE84" s="123">
        <f t="shared" si="21"/>
        <v>-76</v>
      </c>
      <c r="AF84" s="123">
        <f t="shared" si="21"/>
        <v>-77</v>
      </c>
      <c r="AG84" s="123">
        <f t="shared" si="21"/>
        <v>-75</v>
      </c>
      <c r="AH84" s="123">
        <f t="shared" si="21"/>
        <v>-83</v>
      </c>
      <c r="AI84" s="123">
        <f t="shared" si="21"/>
        <v>-77</v>
      </c>
      <c r="AJ84" s="123">
        <f t="shared" si="21"/>
        <v>-56</v>
      </c>
      <c r="AK84" s="123">
        <f t="shared" si="21"/>
        <v>0</v>
      </c>
      <c r="AL84" s="123">
        <f t="shared" si="21"/>
        <v>0</v>
      </c>
      <c r="AM84" s="123">
        <f t="shared" si="21"/>
        <v>0</v>
      </c>
      <c r="AN84" s="123">
        <f t="shared" si="21"/>
        <v>0</v>
      </c>
      <c r="AO84" s="123">
        <f t="shared" si="21"/>
        <v>0</v>
      </c>
      <c r="AP84" s="123">
        <f t="shared" si="21"/>
        <v>0</v>
      </c>
      <c r="AQ84" s="123">
        <f t="shared" si="21"/>
        <v>0</v>
      </c>
      <c r="AR84" s="123">
        <f t="shared" si="21"/>
        <v>0</v>
      </c>
      <c r="AS84" s="123">
        <f t="shared" si="21"/>
        <v>0</v>
      </c>
      <c r="AT84" s="123">
        <f t="shared" si="21"/>
        <v>0</v>
      </c>
      <c r="AU84" s="123">
        <f t="shared" si="21"/>
        <v>0</v>
      </c>
      <c r="AV84" s="123">
        <f t="shared" si="21"/>
        <v>0</v>
      </c>
    </row>
    <row r="85" spans="1:48" s="123" customFormat="1" ht="15" customHeight="1">
      <c r="A85" s="134"/>
      <c r="B85" s="134"/>
      <c r="C85" s="151"/>
      <c r="E85" s="123" t="str">
        <f>E84</f>
        <v>Sustaining capex</v>
      </c>
      <c r="F85" s="78">
        <f xml:space="preserve"> AVERAGEIF(L85:AV85, "&lt;&gt; 0")</f>
        <v>9.0376380437232381E-2</v>
      </c>
      <c r="G85" s="123" t="s">
        <v>194</v>
      </c>
      <c r="I85" s="136" t="s">
        <v>195</v>
      </c>
      <c r="L85" s="78">
        <f t="shared" ref="L85:AV85" si="22" xml:space="preserve"> IFERROR(L84 / $F83, 0)</f>
        <v>0</v>
      </c>
      <c r="M85" s="78">
        <f t="shared" si="22"/>
        <v>0</v>
      </c>
      <c r="N85" s="78">
        <f t="shared" si="22"/>
        <v>0</v>
      </c>
      <c r="O85" s="78">
        <f t="shared" si="22"/>
        <v>0</v>
      </c>
      <c r="P85" s="78">
        <f t="shared" si="22"/>
        <v>0</v>
      </c>
      <c r="Q85" s="78">
        <f t="shared" si="22"/>
        <v>0</v>
      </c>
      <c r="R85" s="78">
        <f t="shared" si="22"/>
        <v>0</v>
      </c>
      <c r="S85" s="78">
        <f t="shared" si="22"/>
        <v>0</v>
      </c>
      <c r="T85" s="78">
        <f t="shared" si="22"/>
        <v>0.12739463601532566</v>
      </c>
      <c r="U85" s="78">
        <f t="shared" si="22"/>
        <v>0.11494252873563218</v>
      </c>
      <c r="V85" s="78">
        <f t="shared" si="22"/>
        <v>8.5249042145593867E-2</v>
      </c>
      <c r="W85" s="78">
        <f t="shared" si="22"/>
        <v>0.10057471264367816</v>
      </c>
      <c r="X85" s="78">
        <f t="shared" si="22"/>
        <v>0.11398467432950192</v>
      </c>
      <c r="Y85" s="78">
        <f t="shared" si="22"/>
        <v>9.2911877394636022E-2</v>
      </c>
      <c r="Z85" s="78">
        <f t="shared" si="22"/>
        <v>0.1053639846743295</v>
      </c>
      <c r="AA85" s="78">
        <f t="shared" si="22"/>
        <v>9.8659003831417624E-2</v>
      </c>
      <c r="AB85" s="78">
        <f t="shared" si="22"/>
        <v>9.8659003831417624E-2</v>
      </c>
      <c r="AC85" s="78">
        <f t="shared" si="22"/>
        <v>9.0038314176245207E-2</v>
      </c>
      <c r="AD85" s="78">
        <f t="shared" si="22"/>
        <v>8.3333333333333329E-2</v>
      </c>
      <c r="AE85" s="78">
        <f t="shared" si="22"/>
        <v>7.2796934865900387E-2</v>
      </c>
      <c r="AF85" s="78">
        <f t="shared" si="22"/>
        <v>7.3754789272030649E-2</v>
      </c>
      <c r="AG85" s="78">
        <f t="shared" si="22"/>
        <v>7.183908045977011E-2</v>
      </c>
      <c r="AH85" s="78">
        <f t="shared" si="22"/>
        <v>7.9501915708812265E-2</v>
      </c>
      <c r="AI85" s="78">
        <f t="shared" si="22"/>
        <v>7.3754789272030649E-2</v>
      </c>
      <c r="AJ85" s="78">
        <f t="shared" si="22"/>
        <v>5.3639846743295021E-2</v>
      </c>
      <c r="AK85" s="78">
        <f t="shared" si="22"/>
        <v>0</v>
      </c>
      <c r="AL85" s="78">
        <f t="shared" si="22"/>
        <v>0</v>
      </c>
      <c r="AM85" s="78">
        <f t="shared" si="22"/>
        <v>0</v>
      </c>
      <c r="AN85" s="78">
        <f t="shared" si="22"/>
        <v>0</v>
      </c>
      <c r="AO85" s="78">
        <f t="shared" si="22"/>
        <v>0</v>
      </c>
      <c r="AP85" s="78">
        <f t="shared" si="22"/>
        <v>0</v>
      </c>
      <c r="AQ85" s="78">
        <f t="shared" si="22"/>
        <v>0</v>
      </c>
      <c r="AR85" s="78">
        <f t="shared" si="22"/>
        <v>0</v>
      </c>
      <c r="AS85" s="78">
        <f t="shared" si="22"/>
        <v>0</v>
      </c>
      <c r="AT85" s="78">
        <f t="shared" si="22"/>
        <v>0</v>
      </c>
      <c r="AU85" s="78">
        <f t="shared" si="22"/>
        <v>0</v>
      </c>
      <c r="AV85" s="78">
        <f t="shared" si="22"/>
        <v>0</v>
      </c>
    </row>
    <row r="86" spans="1:48" s="123" customFormat="1" ht="15" customHeight="1">
      <c r="A86" s="134"/>
      <c r="B86" s="134"/>
      <c r="C86" s="151"/>
    </row>
    <row r="87" spans="1:48" s="123" customFormat="1" ht="15" customHeight="1">
      <c r="A87" s="134"/>
      <c r="B87" s="134" t="s">
        <v>98</v>
      </c>
      <c r="C87" s="151"/>
    </row>
    <row r="88" spans="1:48" s="123" customFormat="1" ht="15" customHeight="1">
      <c r="A88" s="134"/>
      <c r="B88" s="134"/>
      <c r="C88" s="151"/>
      <c r="E88" s="123" t="s">
        <v>99</v>
      </c>
      <c r="F88" s="137">
        <v>0.6</v>
      </c>
      <c r="G88" s="123" t="s">
        <v>26</v>
      </c>
      <c r="H88" s="132" t="str">
        <f xml:space="preserve"> Sources!I$63</f>
        <v>LI</v>
      </c>
    </row>
    <row r="89" spans="1:48" s="123" customFormat="1" ht="15" customHeight="1">
      <c r="A89" s="134"/>
      <c r="B89" s="134"/>
      <c r="C89" s="151"/>
      <c r="E89" s="123" t="s">
        <v>100</v>
      </c>
      <c r="F89" s="137">
        <v>0.3</v>
      </c>
      <c r="G89" s="123" t="s">
        <v>26</v>
      </c>
      <c r="H89" s="132" t="str">
        <f xml:space="preserve"> Sources!I$63</f>
        <v>LI</v>
      </c>
    </row>
    <row r="90" spans="1:48" s="123" customFormat="1" ht="15" customHeight="1">
      <c r="A90" s="134"/>
      <c r="B90" s="134"/>
      <c r="C90" s="151"/>
    </row>
    <row r="91" spans="1:48" s="108" customFormat="1" ht="15" customHeight="1">
      <c r="B91" s="188"/>
      <c r="C91" s="149"/>
      <c r="E91" s="176" t="str">
        <f xml:space="preserve"> InputsTS!E$420</f>
        <v>Capital Expenditure 2011TR</v>
      </c>
      <c r="F91" s="176">
        <f xml:space="preserve"> InputsTS!F$420</f>
        <v>0</v>
      </c>
      <c r="G91" s="176" t="str">
        <f xml:space="preserve"> InputsTS!G$420</f>
        <v>$ mn</v>
      </c>
      <c r="H91" s="176">
        <f xml:space="preserve"> InputsTS!H$420</f>
        <v>0</v>
      </c>
      <c r="I91" s="176" t="str">
        <f xml:space="preserve"> InputsTS!I$420</f>
        <v>XVII</v>
      </c>
      <c r="J91" s="577">
        <f xml:space="preserve"> InputsTS!J$420</f>
        <v>-2648</v>
      </c>
      <c r="K91" s="577">
        <f xml:space="preserve"> InputsTS!K$420</f>
        <v>0</v>
      </c>
      <c r="L91" s="577">
        <f xml:space="preserve"> InputsTS!L$420</f>
        <v>0</v>
      </c>
      <c r="M91" s="577">
        <f xml:space="preserve"> InputsTS!M$420</f>
        <v>0</v>
      </c>
      <c r="N91" s="577">
        <f xml:space="preserve"> InputsTS!N$420</f>
        <v>0</v>
      </c>
      <c r="O91" s="577">
        <f xml:space="preserve"> InputsTS!O$420</f>
        <v>0</v>
      </c>
      <c r="P91" s="577">
        <f xml:space="preserve"> InputsTS!P$420</f>
        <v>0</v>
      </c>
      <c r="Q91" s="577">
        <f xml:space="preserve"> InputsTS!Q$420</f>
        <v>-320</v>
      </c>
      <c r="R91" s="577">
        <f xml:space="preserve"> InputsTS!R$420</f>
        <v>-353</v>
      </c>
      <c r="S91" s="577">
        <f xml:space="preserve"> InputsTS!S$420</f>
        <v>-371</v>
      </c>
      <c r="T91" s="577">
        <f xml:space="preserve"> InputsTS!T$420</f>
        <v>-133</v>
      </c>
      <c r="U91" s="577">
        <f xml:space="preserve"> InputsTS!U$420</f>
        <v>-120</v>
      </c>
      <c r="V91" s="577">
        <f xml:space="preserve"> InputsTS!V$420</f>
        <v>-89</v>
      </c>
      <c r="W91" s="577">
        <f xml:space="preserve"> InputsTS!W$420</f>
        <v>-105</v>
      </c>
      <c r="X91" s="577">
        <f xml:space="preserve"> InputsTS!X$420</f>
        <v>-119</v>
      </c>
      <c r="Y91" s="577">
        <f xml:space="preserve"> InputsTS!Y$420</f>
        <v>-97</v>
      </c>
      <c r="Z91" s="577">
        <f xml:space="preserve"> InputsTS!Z$420</f>
        <v>-110</v>
      </c>
      <c r="AA91" s="577">
        <f xml:space="preserve"> InputsTS!AA$420</f>
        <v>-103</v>
      </c>
      <c r="AB91" s="577">
        <f xml:space="preserve"> InputsTS!AB$420</f>
        <v>-103</v>
      </c>
      <c r="AC91" s="577">
        <f xml:space="preserve"> InputsTS!AC$420</f>
        <v>-94</v>
      </c>
      <c r="AD91" s="577">
        <f xml:space="preserve"> InputsTS!AD$420</f>
        <v>-87</v>
      </c>
      <c r="AE91" s="577">
        <f xml:space="preserve"> InputsTS!AE$420</f>
        <v>-76</v>
      </c>
      <c r="AF91" s="577">
        <f xml:space="preserve"> InputsTS!AF$420</f>
        <v>-77</v>
      </c>
      <c r="AG91" s="577">
        <f xml:space="preserve"> InputsTS!AG$420</f>
        <v>-75</v>
      </c>
      <c r="AH91" s="577">
        <f xml:space="preserve"> InputsTS!AH$420</f>
        <v>-83</v>
      </c>
      <c r="AI91" s="577">
        <f xml:space="preserve"> InputsTS!AI$420</f>
        <v>-77</v>
      </c>
      <c r="AJ91" s="577">
        <f xml:space="preserve"> InputsTS!AJ$420</f>
        <v>-56</v>
      </c>
      <c r="AK91" s="577">
        <f xml:space="preserve"> InputsTS!AK$420</f>
        <v>0</v>
      </c>
      <c r="AL91" s="577">
        <f xml:space="preserve"> InputsTS!AL$420</f>
        <v>0</v>
      </c>
      <c r="AM91" s="577">
        <f xml:space="preserve"> InputsTS!AM$420</f>
        <v>0</v>
      </c>
      <c r="AN91" s="577">
        <f xml:space="preserve"> InputsTS!AN$420</f>
        <v>0</v>
      </c>
      <c r="AO91" s="577">
        <f xml:space="preserve"> InputsTS!AO$420</f>
        <v>0</v>
      </c>
      <c r="AP91" s="577">
        <f xml:space="preserve"> InputsTS!AP$420</f>
        <v>0</v>
      </c>
      <c r="AQ91" s="577">
        <f xml:space="preserve"> InputsTS!AQ$420</f>
        <v>0</v>
      </c>
      <c r="AR91" s="577">
        <f xml:space="preserve"> InputsTS!AR$420</f>
        <v>0</v>
      </c>
      <c r="AS91" s="577">
        <f xml:space="preserve"> InputsTS!AS$420</f>
        <v>0</v>
      </c>
      <c r="AT91" s="577">
        <f xml:space="preserve"> InputsTS!AT$420</f>
        <v>0</v>
      </c>
      <c r="AU91" s="577">
        <f xml:space="preserve"> InputsTS!AU$420</f>
        <v>0</v>
      </c>
      <c r="AV91" s="176">
        <f xml:space="preserve"> InputsTS!AV$420</f>
        <v>0</v>
      </c>
    </row>
    <row r="92" spans="1:48" s="123" customFormat="1" ht="15" customHeight="1">
      <c r="A92" s="134"/>
      <c r="B92" s="134"/>
      <c r="C92" s="151"/>
    </row>
    <row r="93" spans="1:48" s="123" customFormat="1" ht="15" customHeight="1">
      <c r="A93" s="134"/>
      <c r="B93" s="134"/>
      <c r="C93" s="151"/>
      <c r="E93" s="146" t="s">
        <v>101</v>
      </c>
      <c r="F93" s="146"/>
      <c r="G93" s="146" t="s">
        <v>29</v>
      </c>
      <c r="H93" s="146"/>
      <c r="I93" s="146"/>
      <c r="J93" s="146"/>
      <c r="K93" s="146"/>
      <c r="L93" s="146">
        <f t="shared" ref="L93:AV93" si="23">K97</f>
        <v>0</v>
      </c>
      <c r="M93" s="146">
        <f t="shared" si="23"/>
        <v>0</v>
      </c>
      <c r="N93" s="146">
        <f t="shared" si="23"/>
        <v>0</v>
      </c>
      <c r="O93" s="146">
        <f t="shared" si="23"/>
        <v>0</v>
      </c>
      <c r="P93" s="146">
        <f t="shared" si="23"/>
        <v>0</v>
      </c>
      <c r="Q93" s="146">
        <f t="shared" si="23"/>
        <v>0</v>
      </c>
      <c r="R93" s="146">
        <f t="shared" si="23"/>
        <v>-128</v>
      </c>
      <c r="S93" s="146">
        <f t="shared" si="23"/>
        <v>-230.80000000000004</v>
      </c>
      <c r="T93" s="146">
        <f t="shared" si="23"/>
        <v>-309.96000000000004</v>
      </c>
      <c r="U93" s="146">
        <f t="shared" si="23"/>
        <v>-270.17200000000003</v>
      </c>
      <c r="V93" s="146">
        <f t="shared" si="23"/>
        <v>-237.12040000000002</v>
      </c>
      <c r="W93" s="146">
        <f t="shared" si="23"/>
        <v>-201.58428000000004</v>
      </c>
      <c r="X93" s="146">
        <f t="shared" si="23"/>
        <v>-183.10899600000002</v>
      </c>
      <c r="Y93" s="146">
        <f t="shared" si="23"/>
        <v>-175.77629720000007</v>
      </c>
      <c r="Z93" s="146">
        <f t="shared" si="23"/>
        <v>-161.84340804000004</v>
      </c>
      <c r="AA93" s="146">
        <f t="shared" si="23"/>
        <v>-157.29038562800002</v>
      </c>
      <c r="AB93" s="146">
        <f t="shared" si="23"/>
        <v>-151.3032699396</v>
      </c>
      <c r="AC93" s="146">
        <f t="shared" si="23"/>
        <v>-147.11228895771998</v>
      </c>
      <c r="AD93" s="146">
        <f t="shared" si="23"/>
        <v>-140.57860227040399</v>
      </c>
      <c r="AE93" s="146">
        <f t="shared" si="23"/>
        <v>-133.20502158928281</v>
      </c>
      <c r="AF93" s="146">
        <f t="shared" si="23"/>
        <v>-123.64351511249797</v>
      </c>
      <c r="AG93" s="146">
        <f t="shared" si="23"/>
        <v>-117.3504605787486</v>
      </c>
      <c r="AH93" s="146">
        <f t="shared" si="23"/>
        <v>-112.14532240512402</v>
      </c>
      <c r="AI93" s="146">
        <f t="shared" si="23"/>
        <v>-111.70172568358682</v>
      </c>
      <c r="AJ93" s="146">
        <f t="shared" si="23"/>
        <v>-108.99120797851077</v>
      </c>
      <c r="AK93" s="146">
        <f t="shared" si="23"/>
        <v>-98.693845584957558</v>
      </c>
      <c r="AL93" s="146">
        <f t="shared" si="23"/>
        <v>-69.085691909470285</v>
      </c>
      <c r="AM93" s="146">
        <f t="shared" si="23"/>
        <v>-48.359984336629196</v>
      </c>
      <c r="AN93" s="146">
        <f t="shared" si="23"/>
        <v>-33.851989035640436</v>
      </c>
      <c r="AO93" s="146">
        <f t="shared" si="23"/>
        <v>-23.696392324948306</v>
      </c>
      <c r="AP93" s="146">
        <f t="shared" si="23"/>
        <v>-16.587474627463813</v>
      </c>
      <c r="AQ93" s="146">
        <f t="shared" si="23"/>
        <v>-11.61123223922467</v>
      </c>
      <c r="AR93" s="146">
        <f t="shared" si="23"/>
        <v>-8.1278625674572691</v>
      </c>
      <c r="AS93" s="146">
        <f t="shared" si="23"/>
        <v>-5.6895037972200884</v>
      </c>
      <c r="AT93" s="146">
        <f t="shared" si="23"/>
        <v>-3.9826526580540618</v>
      </c>
      <c r="AU93" s="146">
        <f t="shared" si="23"/>
        <v>-2.7878568606378433</v>
      </c>
      <c r="AV93" s="146">
        <f t="shared" si="23"/>
        <v>-1.9514998024464902</v>
      </c>
    </row>
    <row r="94" spans="1:48" s="123" customFormat="1" ht="15" customHeight="1">
      <c r="A94" s="134"/>
      <c r="B94" s="134"/>
      <c r="C94" s="151"/>
      <c r="E94" s="142" t="s">
        <v>102</v>
      </c>
      <c r="F94" s="142"/>
      <c r="G94" s="142" t="s">
        <v>29</v>
      </c>
      <c r="H94" s="142"/>
      <c r="I94" s="142"/>
      <c r="J94" s="142">
        <f xml:space="preserve"> SUM(L94:AV94)</f>
        <v>-2648</v>
      </c>
      <c r="K94" s="142"/>
      <c r="L94" s="142">
        <f t="shared" ref="L94:AV94" si="24" xml:space="preserve"> L$91</f>
        <v>0</v>
      </c>
      <c r="M94" s="142">
        <f t="shared" si="24"/>
        <v>0</v>
      </c>
      <c r="N94" s="142">
        <f t="shared" si="24"/>
        <v>0</v>
      </c>
      <c r="O94" s="142">
        <f t="shared" si="24"/>
        <v>0</v>
      </c>
      <c r="P94" s="142">
        <f t="shared" si="24"/>
        <v>0</v>
      </c>
      <c r="Q94" s="142">
        <f t="shared" si="24"/>
        <v>-320</v>
      </c>
      <c r="R94" s="142">
        <f t="shared" si="24"/>
        <v>-353</v>
      </c>
      <c r="S94" s="142">
        <f t="shared" si="24"/>
        <v>-371</v>
      </c>
      <c r="T94" s="142">
        <f t="shared" si="24"/>
        <v>-133</v>
      </c>
      <c r="U94" s="142">
        <f t="shared" si="24"/>
        <v>-120</v>
      </c>
      <c r="V94" s="142">
        <f t="shared" si="24"/>
        <v>-89</v>
      </c>
      <c r="W94" s="142">
        <f t="shared" si="24"/>
        <v>-105</v>
      </c>
      <c r="X94" s="142">
        <f t="shared" si="24"/>
        <v>-119</v>
      </c>
      <c r="Y94" s="142">
        <f t="shared" si="24"/>
        <v>-97</v>
      </c>
      <c r="Z94" s="142">
        <f t="shared" si="24"/>
        <v>-110</v>
      </c>
      <c r="AA94" s="142">
        <f t="shared" si="24"/>
        <v>-103</v>
      </c>
      <c r="AB94" s="142">
        <f t="shared" si="24"/>
        <v>-103</v>
      </c>
      <c r="AC94" s="142">
        <f t="shared" si="24"/>
        <v>-94</v>
      </c>
      <c r="AD94" s="142">
        <f t="shared" si="24"/>
        <v>-87</v>
      </c>
      <c r="AE94" s="142">
        <f t="shared" si="24"/>
        <v>-76</v>
      </c>
      <c r="AF94" s="142">
        <f t="shared" si="24"/>
        <v>-77</v>
      </c>
      <c r="AG94" s="142">
        <f t="shared" si="24"/>
        <v>-75</v>
      </c>
      <c r="AH94" s="142">
        <f t="shared" si="24"/>
        <v>-83</v>
      </c>
      <c r="AI94" s="142">
        <f t="shared" si="24"/>
        <v>-77</v>
      </c>
      <c r="AJ94" s="142">
        <f t="shared" si="24"/>
        <v>-56</v>
      </c>
      <c r="AK94" s="142">
        <f t="shared" si="24"/>
        <v>0</v>
      </c>
      <c r="AL94" s="142">
        <f t="shared" si="24"/>
        <v>0</v>
      </c>
      <c r="AM94" s="142">
        <f t="shared" si="24"/>
        <v>0</v>
      </c>
      <c r="AN94" s="142">
        <f t="shared" si="24"/>
        <v>0</v>
      </c>
      <c r="AO94" s="142">
        <f t="shared" si="24"/>
        <v>0</v>
      </c>
      <c r="AP94" s="142">
        <f t="shared" si="24"/>
        <v>0</v>
      </c>
      <c r="AQ94" s="142">
        <f t="shared" si="24"/>
        <v>0</v>
      </c>
      <c r="AR94" s="142">
        <f t="shared" si="24"/>
        <v>0</v>
      </c>
      <c r="AS94" s="142">
        <f t="shared" si="24"/>
        <v>0</v>
      </c>
      <c r="AT94" s="142">
        <f t="shared" si="24"/>
        <v>0</v>
      </c>
      <c r="AU94" s="142">
        <f t="shared" si="24"/>
        <v>0</v>
      </c>
      <c r="AV94" s="142">
        <f t="shared" si="24"/>
        <v>0</v>
      </c>
    </row>
    <row r="95" spans="1:48" s="123" customFormat="1" ht="15" customHeight="1">
      <c r="A95" s="134"/>
      <c r="B95" s="134"/>
      <c r="C95" s="151"/>
      <c r="E95" s="143" t="s">
        <v>103</v>
      </c>
      <c r="F95" s="142"/>
      <c r="G95" s="143" t="s">
        <v>29</v>
      </c>
      <c r="H95" s="142"/>
      <c r="I95" s="142"/>
      <c r="J95" s="142">
        <f xml:space="preserve"> SUM(L95:AV95)</f>
        <v>-1588.7999999999997</v>
      </c>
      <c r="K95" s="142"/>
      <c r="L95" s="142">
        <f t="shared" ref="L95:AV95" si="25" xml:space="preserve"> L94 * $F88</f>
        <v>0</v>
      </c>
      <c r="M95" s="142">
        <f t="shared" si="25"/>
        <v>0</v>
      </c>
      <c r="N95" s="142">
        <f t="shared" si="25"/>
        <v>0</v>
      </c>
      <c r="O95" s="142">
        <f t="shared" si="25"/>
        <v>0</v>
      </c>
      <c r="P95" s="142">
        <f t="shared" si="25"/>
        <v>0</v>
      </c>
      <c r="Q95" s="142">
        <f t="shared" si="25"/>
        <v>-192</v>
      </c>
      <c r="R95" s="142">
        <f t="shared" si="25"/>
        <v>-211.79999999999998</v>
      </c>
      <c r="S95" s="142">
        <f t="shared" si="25"/>
        <v>-222.6</v>
      </c>
      <c r="T95" s="142">
        <f t="shared" si="25"/>
        <v>-79.8</v>
      </c>
      <c r="U95" s="142">
        <f t="shared" si="25"/>
        <v>-72</v>
      </c>
      <c r="V95" s="142">
        <f t="shared" si="25"/>
        <v>-53.4</v>
      </c>
      <c r="W95" s="142">
        <f t="shared" si="25"/>
        <v>-63</v>
      </c>
      <c r="X95" s="142">
        <f t="shared" si="25"/>
        <v>-71.399999999999991</v>
      </c>
      <c r="Y95" s="142">
        <f t="shared" si="25"/>
        <v>-58.199999999999996</v>
      </c>
      <c r="Z95" s="142">
        <f t="shared" si="25"/>
        <v>-66</v>
      </c>
      <c r="AA95" s="142">
        <f t="shared" si="25"/>
        <v>-61.8</v>
      </c>
      <c r="AB95" s="142">
        <f t="shared" si="25"/>
        <v>-61.8</v>
      </c>
      <c r="AC95" s="142">
        <f t="shared" si="25"/>
        <v>-56.4</v>
      </c>
      <c r="AD95" s="142">
        <f t="shared" si="25"/>
        <v>-52.199999999999996</v>
      </c>
      <c r="AE95" s="142">
        <f t="shared" si="25"/>
        <v>-45.6</v>
      </c>
      <c r="AF95" s="142">
        <f t="shared" si="25"/>
        <v>-46.199999999999996</v>
      </c>
      <c r="AG95" s="142">
        <f t="shared" si="25"/>
        <v>-45</v>
      </c>
      <c r="AH95" s="142">
        <f t="shared" si="25"/>
        <v>-49.8</v>
      </c>
      <c r="AI95" s="142">
        <f t="shared" si="25"/>
        <v>-46.199999999999996</v>
      </c>
      <c r="AJ95" s="142">
        <f t="shared" si="25"/>
        <v>-33.6</v>
      </c>
      <c r="AK95" s="142">
        <f t="shared" si="25"/>
        <v>0</v>
      </c>
      <c r="AL95" s="142">
        <f t="shared" si="25"/>
        <v>0</v>
      </c>
      <c r="AM95" s="142">
        <f t="shared" si="25"/>
        <v>0</v>
      </c>
      <c r="AN95" s="142">
        <f t="shared" si="25"/>
        <v>0</v>
      </c>
      <c r="AO95" s="142">
        <f t="shared" si="25"/>
        <v>0</v>
      </c>
      <c r="AP95" s="142">
        <f t="shared" si="25"/>
        <v>0</v>
      </c>
      <c r="AQ95" s="142">
        <f t="shared" si="25"/>
        <v>0</v>
      </c>
      <c r="AR95" s="142">
        <f t="shared" si="25"/>
        <v>0</v>
      </c>
      <c r="AS95" s="142">
        <f t="shared" si="25"/>
        <v>0</v>
      </c>
      <c r="AT95" s="142">
        <f t="shared" si="25"/>
        <v>0</v>
      </c>
      <c r="AU95" s="142">
        <f t="shared" si="25"/>
        <v>0</v>
      </c>
      <c r="AV95" s="142">
        <f t="shared" si="25"/>
        <v>0</v>
      </c>
    </row>
    <row r="96" spans="1:48" s="123" customFormat="1" ht="15" customHeight="1">
      <c r="A96" s="134"/>
      <c r="B96" s="134"/>
      <c r="C96" s="151"/>
      <c r="E96" s="142" t="s">
        <v>104</v>
      </c>
      <c r="F96" s="142"/>
      <c r="G96" s="142" t="s">
        <v>29</v>
      </c>
      <c r="H96" s="142"/>
      <c r="I96" s="142"/>
      <c r="J96" s="142">
        <f xml:space="preserve"> SUM(L96:AV96)</f>
        <v>-1057.8339501382875</v>
      </c>
      <c r="K96" s="142"/>
      <c r="L96" s="142">
        <f t="shared" ref="L96:AV96" si="26" xml:space="preserve"> L93 * $F89</f>
        <v>0</v>
      </c>
      <c r="M96" s="142">
        <f t="shared" si="26"/>
        <v>0</v>
      </c>
      <c r="N96" s="142">
        <f t="shared" si="26"/>
        <v>0</v>
      </c>
      <c r="O96" s="142">
        <f t="shared" si="26"/>
        <v>0</v>
      </c>
      <c r="P96" s="142">
        <f t="shared" si="26"/>
        <v>0</v>
      </c>
      <c r="Q96" s="142">
        <f t="shared" si="26"/>
        <v>0</v>
      </c>
      <c r="R96" s="142">
        <f t="shared" si="26"/>
        <v>-38.4</v>
      </c>
      <c r="S96" s="142">
        <f t="shared" si="26"/>
        <v>-69.240000000000009</v>
      </c>
      <c r="T96" s="142">
        <f t="shared" si="26"/>
        <v>-92.988000000000014</v>
      </c>
      <c r="U96" s="142">
        <f t="shared" si="26"/>
        <v>-81.051600000000008</v>
      </c>
      <c r="V96" s="142">
        <f t="shared" si="26"/>
        <v>-71.136120000000005</v>
      </c>
      <c r="W96" s="142">
        <f t="shared" si="26"/>
        <v>-60.475284000000009</v>
      </c>
      <c r="X96" s="142">
        <f t="shared" si="26"/>
        <v>-54.932698800000004</v>
      </c>
      <c r="Y96" s="142">
        <f t="shared" si="26"/>
        <v>-52.73288916000002</v>
      </c>
      <c r="Z96" s="142">
        <f t="shared" si="26"/>
        <v>-48.553022412000011</v>
      </c>
      <c r="AA96" s="142">
        <f t="shared" si="26"/>
        <v>-47.187115688400006</v>
      </c>
      <c r="AB96" s="142">
        <f t="shared" si="26"/>
        <v>-45.390980981879999</v>
      </c>
      <c r="AC96" s="142">
        <f t="shared" si="26"/>
        <v>-44.133686687315993</v>
      </c>
      <c r="AD96" s="142">
        <f t="shared" si="26"/>
        <v>-42.173580681121194</v>
      </c>
      <c r="AE96" s="142">
        <f t="shared" si="26"/>
        <v>-39.961506476784841</v>
      </c>
      <c r="AF96" s="142">
        <f t="shared" si="26"/>
        <v>-37.093054533749388</v>
      </c>
      <c r="AG96" s="142">
        <f t="shared" si="26"/>
        <v>-35.205138173624576</v>
      </c>
      <c r="AH96" s="142">
        <f t="shared" si="26"/>
        <v>-33.643596721537207</v>
      </c>
      <c r="AI96" s="142">
        <f t="shared" si="26"/>
        <v>-33.51051770507604</v>
      </c>
      <c r="AJ96" s="142">
        <f t="shared" si="26"/>
        <v>-32.697362393553227</v>
      </c>
      <c r="AK96" s="142">
        <f t="shared" si="26"/>
        <v>-29.608153675487266</v>
      </c>
      <c r="AL96" s="142">
        <f t="shared" si="26"/>
        <v>-20.725707572841085</v>
      </c>
      <c r="AM96" s="142">
        <f t="shared" si="26"/>
        <v>-14.507995300988759</v>
      </c>
      <c r="AN96" s="142">
        <f t="shared" si="26"/>
        <v>-10.15559671069213</v>
      </c>
      <c r="AO96" s="142">
        <f t="shared" si="26"/>
        <v>-7.1089176974844914</v>
      </c>
      <c r="AP96" s="142">
        <f t="shared" si="26"/>
        <v>-4.976242388239144</v>
      </c>
      <c r="AQ96" s="142">
        <f t="shared" si="26"/>
        <v>-3.483369671767401</v>
      </c>
      <c r="AR96" s="142">
        <f t="shared" si="26"/>
        <v>-2.4383587702371807</v>
      </c>
      <c r="AS96" s="142">
        <f t="shared" si="26"/>
        <v>-1.7068511391660264</v>
      </c>
      <c r="AT96" s="142">
        <f t="shared" si="26"/>
        <v>-1.1947957974162184</v>
      </c>
      <c r="AU96" s="142">
        <f t="shared" si="26"/>
        <v>-0.83635705819135298</v>
      </c>
      <c r="AV96" s="142">
        <f t="shared" si="26"/>
        <v>-0.58544994073394707</v>
      </c>
    </row>
    <row r="97" spans="1:48" s="123" customFormat="1" ht="15" customHeight="1">
      <c r="A97" s="134"/>
      <c r="B97" s="134"/>
      <c r="C97" s="151"/>
      <c r="E97" s="140" t="s">
        <v>105</v>
      </c>
      <c r="F97" s="140"/>
      <c r="G97" s="140" t="s">
        <v>29</v>
      </c>
      <c r="H97" s="140"/>
      <c r="I97" s="140"/>
      <c r="J97" s="140"/>
      <c r="K97" s="139"/>
      <c r="L97" s="140">
        <f t="shared" ref="L97:AV97" si="27" xml:space="preserve"> L93 + L94 - L95 - L96</f>
        <v>0</v>
      </c>
      <c r="M97" s="140">
        <f t="shared" si="27"/>
        <v>0</v>
      </c>
      <c r="N97" s="140">
        <f t="shared" si="27"/>
        <v>0</v>
      </c>
      <c r="O97" s="140">
        <f t="shared" si="27"/>
        <v>0</v>
      </c>
      <c r="P97" s="140">
        <f t="shared" si="27"/>
        <v>0</v>
      </c>
      <c r="Q97" s="140">
        <f t="shared" si="27"/>
        <v>-128</v>
      </c>
      <c r="R97" s="140">
        <f t="shared" si="27"/>
        <v>-230.80000000000004</v>
      </c>
      <c r="S97" s="140">
        <f t="shared" si="27"/>
        <v>-309.96000000000004</v>
      </c>
      <c r="T97" s="140">
        <f t="shared" si="27"/>
        <v>-270.17200000000003</v>
      </c>
      <c r="U97" s="140">
        <f t="shared" si="27"/>
        <v>-237.12040000000002</v>
      </c>
      <c r="V97" s="140">
        <f t="shared" si="27"/>
        <v>-201.58428000000004</v>
      </c>
      <c r="W97" s="140">
        <f t="shared" si="27"/>
        <v>-183.10899600000002</v>
      </c>
      <c r="X97" s="140">
        <f t="shared" si="27"/>
        <v>-175.77629720000007</v>
      </c>
      <c r="Y97" s="140">
        <f t="shared" si="27"/>
        <v>-161.84340804000004</v>
      </c>
      <c r="Z97" s="140">
        <f t="shared" si="27"/>
        <v>-157.29038562800002</v>
      </c>
      <c r="AA97" s="140">
        <f t="shared" si="27"/>
        <v>-151.3032699396</v>
      </c>
      <c r="AB97" s="140">
        <f t="shared" si="27"/>
        <v>-147.11228895771998</v>
      </c>
      <c r="AC97" s="140">
        <f t="shared" si="27"/>
        <v>-140.57860227040399</v>
      </c>
      <c r="AD97" s="140">
        <f t="shared" si="27"/>
        <v>-133.20502158928281</v>
      </c>
      <c r="AE97" s="140">
        <f t="shared" si="27"/>
        <v>-123.64351511249797</v>
      </c>
      <c r="AF97" s="140">
        <f t="shared" si="27"/>
        <v>-117.3504605787486</v>
      </c>
      <c r="AG97" s="140">
        <f t="shared" si="27"/>
        <v>-112.14532240512402</v>
      </c>
      <c r="AH97" s="140">
        <f t="shared" si="27"/>
        <v>-111.70172568358682</v>
      </c>
      <c r="AI97" s="140">
        <f t="shared" si="27"/>
        <v>-108.99120797851077</v>
      </c>
      <c r="AJ97" s="140">
        <f t="shared" si="27"/>
        <v>-98.693845584957558</v>
      </c>
      <c r="AK97" s="140">
        <f t="shared" si="27"/>
        <v>-69.085691909470285</v>
      </c>
      <c r="AL97" s="140">
        <f t="shared" si="27"/>
        <v>-48.359984336629196</v>
      </c>
      <c r="AM97" s="140">
        <f t="shared" si="27"/>
        <v>-33.851989035640436</v>
      </c>
      <c r="AN97" s="140">
        <f t="shared" si="27"/>
        <v>-23.696392324948306</v>
      </c>
      <c r="AO97" s="140">
        <f t="shared" si="27"/>
        <v>-16.587474627463813</v>
      </c>
      <c r="AP97" s="140">
        <f t="shared" si="27"/>
        <v>-11.61123223922467</v>
      </c>
      <c r="AQ97" s="140">
        <f t="shared" si="27"/>
        <v>-8.1278625674572691</v>
      </c>
      <c r="AR97" s="140">
        <f t="shared" si="27"/>
        <v>-5.6895037972200884</v>
      </c>
      <c r="AS97" s="140">
        <f t="shared" si="27"/>
        <v>-3.9826526580540618</v>
      </c>
      <c r="AT97" s="140">
        <f t="shared" si="27"/>
        <v>-2.7878568606378433</v>
      </c>
      <c r="AU97" s="140">
        <f t="shared" si="27"/>
        <v>-1.9514998024464902</v>
      </c>
      <c r="AV97" s="140">
        <f t="shared" si="27"/>
        <v>-1.3660498617125432</v>
      </c>
    </row>
    <row r="98" spans="1:48" s="123" customFormat="1" ht="15" customHeight="1">
      <c r="A98" s="134"/>
      <c r="B98" s="134"/>
      <c r="C98" s="151"/>
    </row>
    <row r="99" spans="1:48" s="123" customFormat="1" ht="15" customHeight="1">
      <c r="A99" s="134"/>
      <c r="B99" s="134"/>
      <c r="C99" s="151"/>
      <c r="E99" s="123" t="s">
        <v>106</v>
      </c>
      <c r="G99" s="123" t="s">
        <v>29</v>
      </c>
      <c r="J99" s="123">
        <f xml:space="preserve"> SUM(L99:AV99)</f>
        <v>-2646.6339501382881</v>
      </c>
      <c r="L99" s="123">
        <f t="shared" ref="L99:AV99" si="28" xml:space="preserve"> L95 + L96</f>
        <v>0</v>
      </c>
      <c r="M99" s="123">
        <f t="shared" si="28"/>
        <v>0</v>
      </c>
      <c r="N99" s="123">
        <f t="shared" si="28"/>
        <v>0</v>
      </c>
      <c r="O99" s="123">
        <f t="shared" si="28"/>
        <v>0</v>
      </c>
      <c r="P99" s="123">
        <f t="shared" si="28"/>
        <v>0</v>
      </c>
      <c r="Q99" s="123">
        <f t="shared" si="28"/>
        <v>-192</v>
      </c>
      <c r="R99" s="123">
        <f t="shared" si="28"/>
        <v>-250.2</v>
      </c>
      <c r="S99" s="123">
        <f t="shared" si="28"/>
        <v>-291.84000000000003</v>
      </c>
      <c r="T99" s="123">
        <f t="shared" si="28"/>
        <v>-172.78800000000001</v>
      </c>
      <c r="U99" s="123">
        <f t="shared" si="28"/>
        <v>-153.05160000000001</v>
      </c>
      <c r="V99" s="123">
        <f t="shared" si="28"/>
        <v>-124.53612000000001</v>
      </c>
      <c r="W99" s="123">
        <f t="shared" si="28"/>
        <v>-123.47528400000002</v>
      </c>
      <c r="X99" s="123">
        <f t="shared" si="28"/>
        <v>-126.3326988</v>
      </c>
      <c r="Y99" s="123">
        <f t="shared" si="28"/>
        <v>-110.93288916000002</v>
      </c>
      <c r="Z99" s="123">
        <f t="shared" si="28"/>
        <v>-114.55302241200002</v>
      </c>
      <c r="AA99" s="123">
        <f t="shared" si="28"/>
        <v>-108.9871156884</v>
      </c>
      <c r="AB99" s="123">
        <f t="shared" si="28"/>
        <v>-107.19098098187999</v>
      </c>
      <c r="AC99" s="123">
        <f t="shared" si="28"/>
        <v>-100.53368668731599</v>
      </c>
      <c r="AD99" s="123">
        <f t="shared" si="28"/>
        <v>-94.373580681121183</v>
      </c>
      <c r="AE99" s="123">
        <f t="shared" si="28"/>
        <v>-85.561506476784842</v>
      </c>
      <c r="AF99" s="123">
        <f t="shared" si="28"/>
        <v>-83.293054533749384</v>
      </c>
      <c r="AG99" s="123">
        <f t="shared" si="28"/>
        <v>-80.205138173624576</v>
      </c>
      <c r="AH99" s="123">
        <f t="shared" si="28"/>
        <v>-83.443596721537205</v>
      </c>
      <c r="AI99" s="123">
        <f t="shared" si="28"/>
        <v>-79.710517705076029</v>
      </c>
      <c r="AJ99" s="123">
        <f t="shared" si="28"/>
        <v>-66.297362393553229</v>
      </c>
      <c r="AK99" s="123">
        <f t="shared" si="28"/>
        <v>-29.608153675487266</v>
      </c>
      <c r="AL99" s="123">
        <f t="shared" si="28"/>
        <v>-20.725707572841085</v>
      </c>
      <c r="AM99" s="123">
        <f t="shared" si="28"/>
        <v>-14.507995300988759</v>
      </c>
      <c r="AN99" s="123">
        <f t="shared" si="28"/>
        <v>-10.15559671069213</v>
      </c>
      <c r="AO99" s="123">
        <f t="shared" si="28"/>
        <v>-7.1089176974844914</v>
      </c>
      <c r="AP99" s="123">
        <f t="shared" si="28"/>
        <v>-4.976242388239144</v>
      </c>
      <c r="AQ99" s="123">
        <f t="shared" si="28"/>
        <v>-3.483369671767401</v>
      </c>
      <c r="AR99" s="123">
        <f t="shared" si="28"/>
        <v>-2.4383587702371807</v>
      </c>
      <c r="AS99" s="123">
        <f t="shared" si="28"/>
        <v>-1.7068511391660264</v>
      </c>
      <c r="AT99" s="123">
        <f t="shared" si="28"/>
        <v>-1.1947957974162184</v>
      </c>
      <c r="AU99" s="123">
        <f t="shared" si="28"/>
        <v>-0.83635705819135298</v>
      </c>
      <c r="AV99" s="123">
        <f t="shared" si="28"/>
        <v>-0.58544994073394707</v>
      </c>
    </row>
    <row r="100" spans="1:48" s="123" customFormat="1" ht="15" customHeight="1">
      <c r="A100" s="134"/>
      <c r="B100" s="134"/>
      <c r="C100" s="151"/>
      <c r="E100" s="123" t="str">
        <f xml:space="preserve"> E99 &amp; " NEG"</f>
        <v>Amortization charge NEG</v>
      </c>
      <c r="G100" s="123" t="s">
        <v>29</v>
      </c>
      <c r="J100" s="123">
        <f xml:space="preserve"> SUM(L100:AV100)</f>
        <v>2646.6339501382881</v>
      </c>
      <c r="L100" s="123">
        <f t="shared" ref="L100:AV100" si="29" xml:space="preserve"> L99 * -1</f>
        <v>0</v>
      </c>
      <c r="M100" s="123">
        <f t="shared" si="29"/>
        <v>0</v>
      </c>
      <c r="N100" s="123">
        <f t="shared" si="29"/>
        <v>0</v>
      </c>
      <c r="O100" s="123">
        <f t="shared" si="29"/>
        <v>0</v>
      </c>
      <c r="P100" s="123">
        <f t="shared" si="29"/>
        <v>0</v>
      </c>
      <c r="Q100" s="123">
        <f t="shared" si="29"/>
        <v>192</v>
      </c>
      <c r="R100" s="123">
        <f t="shared" si="29"/>
        <v>250.2</v>
      </c>
      <c r="S100" s="123">
        <f t="shared" si="29"/>
        <v>291.84000000000003</v>
      </c>
      <c r="T100" s="123">
        <f t="shared" si="29"/>
        <v>172.78800000000001</v>
      </c>
      <c r="U100" s="123">
        <f t="shared" si="29"/>
        <v>153.05160000000001</v>
      </c>
      <c r="V100" s="123">
        <f t="shared" si="29"/>
        <v>124.53612000000001</v>
      </c>
      <c r="W100" s="123">
        <f t="shared" si="29"/>
        <v>123.47528400000002</v>
      </c>
      <c r="X100" s="123">
        <f t="shared" si="29"/>
        <v>126.3326988</v>
      </c>
      <c r="Y100" s="123">
        <f t="shared" si="29"/>
        <v>110.93288916000002</v>
      </c>
      <c r="Z100" s="123">
        <f t="shared" si="29"/>
        <v>114.55302241200002</v>
      </c>
      <c r="AA100" s="123">
        <f t="shared" si="29"/>
        <v>108.9871156884</v>
      </c>
      <c r="AB100" s="123">
        <f t="shared" si="29"/>
        <v>107.19098098187999</v>
      </c>
      <c r="AC100" s="123">
        <f t="shared" si="29"/>
        <v>100.53368668731599</v>
      </c>
      <c r="AD100" s="123">
        <f t="shared" si="29"/>
        <v>94.373580681121183</v>
      </c>
      <c r="AE100" s="123">
        <f t="shared" si="29"/>
        <v>85.561506476784842</v>
      </c>
      <c r="AF100" s="123">
        <f t="shared" si="29"/>
        <v>83.293054533749384</v>
      </c>
      <c r="AG100" s="123">
        <f t="shared" si="29"/>
        <v>80.205138173624576</v>
      </c>
      <c r="AH100" s="123">
        <f t="shared" si="29"/>
        <v>83.443596721537205</v>
      </c>
      <c r="AI100" s="123">
        <f t="shared" si="29"/>
        <v>79.710517705076029</v>
      </c>
      <c r="AJ100" s="123">
        <f t="shared" si="29"/>
        <v>66.297362393553229</v>
      </c>
      <c r="AK100" s="123">
        <f t="shared" si="29"/>
        <v>29.608153675487266</v>
      </c>
      <c r="AL100" s="123">
        <f t="shared" si="29"/>
        <v>20.725707572841085</v>
      </c>
      <c r="AM100" s="123">
        <f t="shared" si="29"/>
        <v>14.507995300988759</v>
      </c>
      <c r="AN100" s="123">
        <f t="shared" si="29"/>
        <v>10.15559671069213</v>
      </c>
      <c r="AO100" s="123">
        <f t="shared" si="29"/>
        <v>7.1089176974844914</v>
      </c>
      <c r="AP100" s="123">
        <f t="shared" si="29"/>
        <v>4.976242388239144</v>
      </c>
      <c r="AQ100" s="123">
        <f t="shared" si="29"/>
        <v>3.483369671767401</v>
      </c>
      <c r="AR100" s="123">
        <f t="shared" si="29"/>
        <v>2.4383587702371807</v>
      </c>
      <c r="AS100" s="123">
        <f t="shared" si="29"/>
        <v>1.7068511391660264</v>
      </c>
      <c r="AT100" s="123">
        <f t="shared" si="29"/>
        <v>1.1947957974162184</v>
      </c>
      <c r="AU100" s="123">
        <f t="shared" si="29"/>
        <v>0.83635705819135298</v>
      </c>
      <c r="AV100" s="123">
        <f t="shared" si="29"/>
        <v>0.58544994073394707</v>
      </c>
    </row>
    <row r="101" spans="1:48" s="123" customFormat="1" ht="15" customHeight="1">
      <c r="A101" s="134"/>
      <c r="B101" s="134"/>
      <c r="C101" s="151"/>
      <c r="E101" s="136" t="s">
        <v>107</v>
      </c>
    </row>
    <row r="102" spans="1:48" s="123" customFormat="1" ht="15" customHeight="1">
      <c r="A102" s="134"/>
      <c r="B102" s="134"/>
      <c r="C102" s="151"/>
    </row>
    <row r="103" spans="1:48" s="123" customFormat="1" ht="15" customHeight="1">
      <c r="A103" s="134"/>
      <c r="B103" s="134"/>
      <c r="C103" s="151" t="s">
        <v>108</v>
      </c>
    </row>
    <row r="104" spans="1:48" s="123" customFormat="1" ht="15" customHeight="1">
      <c r="A104" s="134"/>
      <c r="B104" s="134"/>
      <c r="C104" s="151"/>
      <c r="E104" s="146" t="s">
        <v>101</v>
      </c>
      <c r="F104" s="146"/>
      <c r="G104" s="146" t="s">
        <v>29</v>
      </c>
      <c r="H104" s="146"/>
      <c r="I104" s="146"/>
      <c r="J104" s="146"/>
      <c r="K104" s="146"/>
      <c r="L104" s="145">
        <f t="shared" ref="L104:AV104" si="30">K108</f>
        <v>0</v>
      </c>
      <c r="M104" s="145">
        <f t="shared" si="30"/>
        <v>0</v>
      </c>
      <c r="N104" s="145">
        <f t="shared" si="30"/>
        <v>0</v>
      </c>
      <c r="O104" s="145">
        <f t="shared" si="30"/>
        <v>0</v>
      </c>
      <c r="P104" s="145">
        <f t="shared" si="30"/>
        <v>0</v>
      </c>
      <c r="Q104" s="145">
        <f t="shared" si="30"/>
        <v>0</v>
      </c>
      <c r="R104" s="145">
        <f t="shared" si="30"/>
        <v>0.4</v>
      </c>
      <c r="S104" s="145">
        <f t="shared" si="30"/>
        <v>0.28000000000000003</v>
      </c>
      <c r="T104" s="145">
        <f t="shared" si="30"/>
        <v>0.19600000000000001</v>
      </c>
      <c r="U104" s="145">
        <f t="shared" si="30"/>
        <v>0.13720000000000002</v>
      </c>
      <c r="V104" s="145">
        <f t="shared" si="30"/>
        <v>9.6040000000000014E-2</v>
      </c>
      <c r="W104" s="145">
        <f t="shared" si="30"/>
        <v>6.722800000000001E-2</v>
      </c>
      <c r="X104" s="145">
        <f t="shared" si="30"/>
        <v>4.7059600000000007E-2</v>
      </c>
      <c r="Y104" s="145">
        <f t="shared" si="30"/>
        <v>3.2941720000000008E-2</v>
      </c>
      <c r="Z104" s="145">
        <f t="shared" si="30"/>
        <v>2.3059204000000007E-2</v>
      </c>
      <c r="AA104" s="145">
        <f t="shared" si="30"/>
        <v>1.6141442800000006E-2</v>
      </c>
      <c r="AB104" s="145">
        <f t="shared" si="30"/>
        <v>1.1299009960000005E-2</v>
      </c>
      <c r="AC104" s="145">
        <f t="shared" si="30"/>
        <v>7.9093069720000044E-3</v>
      </c>
      <c r="AD104" s="145">
        <f t="shared" si="30"/>
        <v>5.5365148804000031E-3</v>
      </c>
      <c r="AE104" s="145">
        <f t="shared" si="30"/>
        <v>3.8755604162800019E-3</v>
      </c>
      <c r="AF104" s="145">
        <f t="shared" si="30"/>
        <v>2.7128922913960017E-3</v>
      </c>
      <c r="AG104" s="145">
        <f t="shared" si="30"/>
        <v>1.8990246039772012E-3</v>
      </c>
      <c r="AH104" s="145">
        <f t="shared" si="30"/>
        <v>1.3293172227840408E-3</v>
      </c>
      <c r="AI104" s="145">
        <f t="shared" si="30"/>
        <v>9.305220559488285E-4</v>
      </c>
      <c r="AJ104" s="145">
        <f t="shared" si="30"/>
        <v>6.5136543916417995E-4</v>
      </c>
      <c r="AK104" s="145">
        <f t="shared" si="30"/>
        <v>4.5595580741492601E-4</v>
      </c>
      <c r="AL104" s="145">
        <f t="shared" si="30"/>
        <v>3.1916906519044821E-4</v>
      </c>
      <c r="AM104" s="145">
        <f t="shared" si="30"/>
        <v>2.2341834563331377E-4</v>
      </c>
      <c r="AN104" s="145">
        <f t="shared" si="30"/>
        <v>1.5639284194331963E-4</v>
      </c>
      <c r="AO104" s="145">
        <f t="shared" si="30"/>
        <v>1.0947498936032374E-4</v>
      </c>
      <c r="AP104" s="145">
        <f t="shared" si="30"/>
        <v>7.663249255222662E-5</v>
      </c>
      <c r="AQ104" s="145">
        <f t="shared" si="30"/>
        <v>5.3642744786558638E-5</v>
      </c>
      <c r="AR104" s="145">
        <f t="shared" si="30"/>
        <v>3.7549921350591052E-5</v>
      </c>
      <c r="AS104" s="145">
        <f t="shared" si="30"/>
        <v>2.6284944945413737E-5</v>
      </c>
      <c r="AT104" s="145">
        <f t="shared" si="30"/>
        <v>1.8399461461789616E-5</v>
      </c>
      <c r="AU104" s="145">
        <f t="shared" si="30"/>
        <v>1.2879623023252732E-5</v>
      </c>
      <c r="AV104" s="145">
        <f t="shared" si="30"/>
        <v>9.0157361162769129E-6</v>
      </c>
    </row>
    <row r="105" spans="1:48" s="123" customFormat="1" ht="15" customHeight="1">
      <c r="A105" s="134"/>
      <c r="B105" s="134"/>
      <c r="C105" s="151"/>
      <c r="E105" s="142" t="s">
        <v>102</v>
      </c>
      <c r="F105" s="142"/>
      <c r="G105" s="142" t="s">
        <v>29</v>
      </c>
      <c r="H105" s="142"/>
      <c r="I105" s="142"/>
      <c r="J105" s="141">
        <f xml:space="preserve"> SUM(L105:AV105)</f>
        <v>1</v>
      </c>
      <c r="K105" s="142"/>
      <c r="L105" s="141">
        <f xml:space="preserve"> L$91</f>
        <v>0</v>
      </c>
      <c r="M105" s="141">
        <f xml:space="preserve"> M$91</f>
        <v>0</v>
      </c>
      <c r="N105" s="141">
        <f xml:space="preserve"> N$91</f>
        <v>0</v>
      </c>
      <c r="O105" s="141">
        <f xml:space="preserve"> O$91</f>
        <v>0</v>
      </c>
      <c r="P105" s="141">
        <f xml:space="preserve"> P$91</f>
        <v>0</v>
      </c>
      <c r="Q105" s="144">
        <v>1</v>
      </c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</row>
    <row r="106" spans="1:48" s="123" customFormat="1" ht="15" customHeight="1">
      <c r="A106" s="134"/>
      <c r="B106" s="134"/>
      <c r="C106" s="151"/>
      <c r="E106" s="143" t="s">
        <v>103</v>
      </c>
      <c r="F106" s="142"/>
      <c r="G106" s="143" t="s">
        <v>29</v>
      </c>
      <c r="H106" s="142"/>
      <c r="I106" s="142"/>
      <c r="J106" s="141">
        <f xml:space="preserve"> SUM(L106:AV106)</f>
        <v>0.6</v>
      </c>
      <c r="K106" s="142"/>
      <c r="L106" s="141">
        <f t="shared" ref="L106:AV106" si="31" xml:space="preserve"> L105 * $F88</f>
        <v>0</v>
      </c>
      <c r="M106" s="141">
        <f t="shared" si="31"/>
        <v>0</v>
      </c>
      <c r="N106" s="141">
        <f t="shared" si="31"/>
        <v>0</v>
      </c>
      <c r="O106" s="141">
        <f t="shared" si="31"/>
        <v>0</v>
      </c>
      <c r="P106" s="141">
        <f t="shared" si="31"/>
        <v>0</v>
      </c>
      <c r="Q106" s="141">
        <f t="shared" si="31"/>
        <v>0.6</v>
      </c>
      <c r="R106" s="141">
        <f t="shared" si="31"/>
        <v>0</v>
      </c>
      <c r="S106" s="141">
        <f t="shared" si="31"/>
        <v>0</v>
      </c>
      <c r="T106" s="141">
        <f t="shared" si="31"/>
        <v>0</v>
      </c>
      <c r="U106" s="141">
        <f t="shared" si="31"/>
        <v>0</v>
      </c>
      <c r="V106" s="141">
        <f t="shared" si="31"/>
        <v>0</v>
      </c>
      <c r="W106" s="141">
        <f t="shared" si="31"/>
        <v>0</v>
      </c>
      <c r="X106" s="141">
        <f t="shared" si="31"/>
        <v>0</v>
      </c>
      <c r="Y106" s="141">
        <f t="shared" si="31"/>
        <v>0</v>
      </c>
      <c r="Z106" s="141">
        <f t="shared" si="31"/>
        <v>0</v>
      </c>
      <c r="AA106" s="141">
        <f t="shared" si="31"/>
        <v>0</v>
      </c>
      <c r="AB106" s="141">
        <f t="shared" si="31"/>
        <v>0</v>
      </c>
      <c r="AC106" s="141">
        <f t="shared" si="31"/>
        <v>0</v>
      </c>
      <c r="AD106" s="141">
        <f t="shared" si="31"/>
        <v>0</v>
      </c>
      <c r="AE106" s="141">
        <f t="shared" si="31"/>
        <v>0</v>
      </c>
      <c r="AF106" s="141">
        <f t="shared" si="31"/>
        <v>0</v>
      </c>
      <c r="AG106" s="141">
        <f t="shared" si="31"/>
        <v>0</v>
      </c>
      <c r="AH106" s="141">
        <f t="shared" si="31"/>
        <v>0</v>
      </c>
      <c r="AI106" s="141">
        <f t="shared" si="31"/>
        <v>0</v>
      </c>
      <c r="AJ106" s="141">
        <f t="shared" si="31"/>
        <v>0</v>
      </c>
      <c r="AK106" s="141">
        <f t="shared" si="31"/>
        <v>0</v>
      </c>
      <c r="AL106" s="141">
        <f t="shared" si="31"/>
        <v>0</v>
      </c>
      <c r="AM106" s="141">
        <f t="shared" si="31"/>
        <v>0</v>
      </c>
      <c r="AN106" s="141">
        <f t="shared" si="31"/>
        <v>0</v>
      </c>
      <c r="AO106" s="141">
        <f t="shared" si="31"/>
        <v>0</v>
      </c>
      <c r="AP106" s="141">
        <f t="shared" si="31"/>
        <v>0</v>
      </c>
      <c r="AQ106" s="141">
        <f t="shared" si="31"/>
        <v>0</v>
      </c>
      <c r="AR106" s="141">
        <f t="shared" si="31"/>
        <v>0</v>
      </c>
      <c r="AS106" s="141">
        <f t="shared" si="31"/>
        <v>0</v>
      </c>
      <c r="AT106" s="141">
        <f t="shared" si="31"/>
        <v>0</v>
      </c>
      <c r="AU106" s="141">
        <f t="shared" si="31"/>
        <v>0</v>
      </c>
      <c r="AV106" s="141">
        <f t="shared" si="31"/>
        <v>0</v>
      </c>
    </row>
    <row r="107" spans="1:48" s="123" customFormat="1" ht="15" customHeight="1">
      <c r="A107" s="134"/>
      <c r="B107" s="134"/>
      <c r="C107" s="151"/>
      <c r="E107" s="142" t="s">
        <v>104</v>
      </c>
      <c r="F107" s="142"/>
      <c r="G107" s="142" t="s">
        <v>29</v>
      </c>
      <c r="H107" s="142"/>
      <c r="I107" s="142"/>
      <c r="J107" s="141">
        <f xml:space="preserve"> SUM(L107:AV107)</f>
        <v>0.39999368898471871</v>
      </c>
      <c r="K107" s="142"/>
      <c r="L107" s="141">
        <f t="shared" ref="L107:AV107" si="32" xml:space="preserve"> L104 * $F89</f>
        <v>0</v>
      </c>
      <c r="M107" s="141">
        <f t="shared" si="32"/>
        <v>0</v>
      </c>
      <c r="N107" s="141">
        <f t="shared" si="32"/>
        <v>0</v>
      </c>
      <c r="O107" s="141">
        <f t="shared" si="32"/>
        <v>0</v>
      </c>
      <c r="P107" s="141">
        <f t="shared" si="32"/>
        <v>0</v>
      </c>
      <c r="Q107" s="141">
        <f t="shared" si="32"/>
        <v>0</v>
      </c>
      <c r="R107" s="141">
        <f xml:space="preserve"> R104 * $F89</f>
        <v>0.12</v>
      </c>
      <c r="S107" s="141">
        <f t="shared" si="32"/>
        <v>8.4000000000000005E-2</v>
      </c>
      <c r="T107" s="141">
        <f t="shared" si="32"/>
        <v>5.8799999999999998E-2</v>
      </c>
      <c r="U107" s="141">
        <f t="shared" si="32"/>
        <v>4.1160000000000002E-2</v>
      </c>
      <c r="V107" s="141">
        <f t="shared" si="32"/>
        <v>2.8812000000000004E-2</v>
      </c>
      <c r="W107" s="141">
        <f t="shared" si="32"/>
        <v>2.0168400000000003E-2</v>
      </c>
      <c r="X107" s="141">
        <f t="shared" si="32"/>
        <v>1.4117880000000001E-2</v>
      </c>
      <c r="Y107" s="141">
        <f t="shared" si="32"/>
        <v>9.8825160000000026E-3</v>
      </c>
      <c r="Z107" s="141">
        <f t="shared" si="32"/>
        <v>6.9177612000000015E-3</v>
      </c>
      <c r="AA107" s="141">
        <f t="shared" si="32"/>
        <v>4.8424328400000017E-3</v>
      </c>
      <c r="AB107" s="141">
        <f t="shared" si="32"/>
        <v>3.3897029880000013E-3</v>
      </c>
      <c r="AC107" s="141">
        <f t="shared" si="32"/>
        <v>2.3727920916000013E-3</v>
      </c>
      <c r="AD107" s="141">
        <f t="shared" si="32"/>
        <v>1.660954464120001E-3</v>
      </c>
      <c r="AE107" s="141">
        <f t="shared" si="32"/>
        <v>1.1626681248840004E-3</v>
      </c>
      <c r="AF107" s="141">
        <f t="shared" si="32"/>
        <v>8.138676874188005E-4</v>
      </c>
      <c r="AG107" s="141">
        <f t="shared" si="32"/>
        <v>5.6970738119316029E-4</v>
      </c>
      <c r="AH107" s="141">
        <f t="shared" si="32"/>
        <v>3.9879516683521222E-4</v>
      </c>
      <c r="AI107" s="141">
        <f t="shared" si="32"/>
        <v>2.7915661678464855E-4</v>
      </c>
      <c r="AJ107" s="141">
        <f t="shared" si="32"/>
        <v>1.9540963174925397E-4</v>
      </c>
      <c r="AK107" s="141">
        <f t="shared" si="32"/>
        <v>1.367867422244778E-4</v>
      </c>
      <c r="AL107" s="141">
        <f t="shared" si="32"/>
        <v>9.5750719557134454E-5</v>
      </c>
      <c r="AM107" s="141">
        <f t="shared" si="32"/>
        <v>6.7025503689994122E-5</v>
      </c>
      <c r="AN107" s="141">
        <f t="shared" si="32"/>
        <v>4.6917852582995887E-5</v>
      </c>
      <c r="AO107" s="141">
        <f t="shared" si="32"/>
        <v>3.2842496808097125E-5</v>
      </c>
      <c r="AP107" s="141">
        <f t="shared" si="32"/>
        <v>2.2989747765667985E-5</v>
      </c>
      <c r="AQ107" s="141">
        <f t="shared" si="32"/>
        <v>1.6092823435967589E-5</v>
      </c>
      <c r="AR107" s="141">
        <f t="shared" si="32"/>
        <v>1.1264976405177315E-5</v>
      </c>
      <c r="AS107" s="141">
        <f t="shared" si="32"/>
        <v>7.8854834836241215E-6</v>
      </c>
      <c r="AT107" s="141">
        <f t="shared" si="32"/>
        <v>5.5198384385368842E-6</v>
      </c>
      <c r="AU107" s="141">
        <f t="shared" si="32"/>
        <v>3.8638869069758193E-6</v>
      </c>
      <c r="AV107" s="141">
        <f t="shared" si="32"/>
        <v>2.7047208348830739E-6</v>
      </c>
    </row>
    <row r="108" spans="1:48" s="123" customFormat="1" ht="15" customHeight="1">
      <c r="A108" s="134"/>
      <c r="B108" s="134"/>
      <c r="C108" s="151"/>
      <c r="E108" s="140" t="s">
        <v>105</v>
      </c>
      <c r="F108" s="140"/>
      <c r="G108" s="140" t="s">
        <v>29</v>
      </c>
      <c r="H108" s="140"/>
      <c r="I108" s="140"/>
      <c r="J108" s="140"/>
      <c r="K108" s="139"/>
      <c r="L108" s="138">
        <f t="shared" ref="L108:AV108" si="33" xml:space="preserve"> L104 + L105 - L106 - L107</f>
        <v>0</v>
      </c>
      <c r="M108" s="138">
        <f t="shared" si="33"/>
        <v>0</v>
      </c>
      <c r="N108" s="138">
        <f t="shared" si="33"/>
        <v>0</v>
      </c>
      <c r="O108" s="138">
        <f t="shared" si="33"/>
        <v>0</v>
      </c>
      <c r="P108" s="138">
        <f t="shared" si="33"/>
        <v>0</v>
      </c>
      <c r="Q108" s="138">
        <f t="shared" si="33"/>
        <v>0.4</v>
      </c>
      <c r="R108" s="138">
        <f t="shared" si="33"/>
        <v>0.28000000000000003</v>
      </c>
      <c r="S108" s="138">
        <f t="shared" si="33"/>
        <v>0.19600000000000001</v>
      </c>
      <c r="T108" s="138">
        <f t="shared" si="33"/>
        <v>0.13720000000000002</v>
      </c>
      <c r="U108" s="138">
        <f t="shared" si="33"/>
        <v>9.6040000000000014E-2</v>
      </c>
      <c r="V108" s="138">
        <f t="shared" si="33"/>
        <v>6.722800000000001E-2</v>
      </c>
      <c r="W108" s="138">
        <f t="shared" si="33"/>
        <v>4.7059600000000007E-2</v>
      </c>
      <c r="X108" s="138">
        <f t="shared" si="33"/>
        <v>3.2941720000000008E-2</v>
      </c>
      <c r="Y108" s="138">
        <f t="shared" si="33"/>
        <v>2.3059204000000007E-2</v>
      </c>
      <c r="Z108" s="138">
        <f t="shared" si="33"/>
        <v>1.6141442800000006E-2</v>
      </c>
      <c r="AA108" s="138">
        <f t="shared" si="33"/>
        <v>1.1299009960000005E-2</v>
      </c>
      <c r="AB108" s="138">
        <f t="shared" si="33"/>
        <v>7.9093069720000044E-3</v>
      </c>
      <c r="AC108" s="138">
        <f t="shared" si="33"/>
        <v>5.5365148804000031E-3</v>
      </c>
      <c r="AD108" s="138">
        <f t="shared" si="33"/>
        <v>3.8755604162800019E-3</v>
      </c>
      <c r="AE108" s="138">
        <f t="shared" si="33"/>
        <v>2.7128922913960017E-3</v>
      </c>
      <c r="AF108" s="138">
        <f t="shared" si="33"/>
        <v>1.8990246039772012E-3</v>
      </c>
      <c r="AG108" s="138">
        <f t="shared" si="33"/>
        <v>1.3293172227840408E-3</v>
      </c>
      <c r="AH108" s="138">
        <f t="shared" si="33"/>
        <v>9.305220559488285E-4</v>
      </c>
      <c r="AI108" s="138">
        <f t="shared" si="33"/>
        <v>6.5136543916417995E-4</v>
      </c>
      <c r="AJ108" s="138">
        <f t="shared" si="33"/>
        <v>4.5595580741492601E-4</v>
      </c>
      <c r="AK108" s="138">
        <f t="shared" si="33"/>
        <v>3.1916906519044821E-4</v>
      </c>
      <c r="AL108" s="138">
        <f t="shared" si="33"/>
        <v>2.2341834563331377E-4</v>
      </c>
      <c r="AM108" s="138">
        <f t="shared" si="33"/>
        <v>1.5639284194331963E-4</v>
      </c>
      <c r="AN108" s="138">
        <f t="shared" si="33"/>
        <v>1.0947498936032374E-4</v>
      </c>
      <c r="AO108" s="138">
        <f t="shared" si="33"/>
        <v>7.663249255222662E-5</v>
      </c>
      <c r="AP108" s="138">
        <f t="shared" si="33"/>
        <v>5.3642744786558638E-5</v>
      </c>
      <c r="AQ108" s="138">
        <f t="shared" si="33"/>
        <v>3.7549921350591052E-5</v>
      </c>
      <c r="AR108" s="138">
        <f t="shared" si="33"/>
        <v>2.6284944945413737E-5</v>
      </c>
      <c r="AS108" s="138">
        <f t="shared" si="33"/>
        <v>1.8399461461789616E-5</v>
      </c>
      <c r="AT108" s="138">
        <f t="shared" si="33"/>
        <v>1.2879623023252732E-5</v>
      </c>
      <c r="AU108" s="138">
        <f t="shared" si="33"/>
        <v>9.0157361162769129E-6</v>
      </c>
      <c r="AV108" s="138">
        <f t="shared" si="33"/>
        <v>6.311015281393839E-6</v>
      </c>
    </row>
    <row r="109" spans="1:48" s="123" customFormat="1" ht="15" customHeight="1">
      <c r="A109" s="134"/>
      <c r="B109" s="134"/>
      <c r="C109" s="151"/>
    </row>
    <row r="110" spans="1:48" s="123" customFormat="1" ht="15" customHeight="1">
      <c r="A110" s="134"/>
      <c r="B110" s="134"/>
      <c r="C110" s="151"/>
      <c r="E110" s="123" t="s">
        <v>109</v>
      </c>
      <c r="F110" s="78">
        <f xml:space="preserve"> SUM(Q110:Z110)</f>
        <v>0.98385855719999993</v>
      </c>
      <c r="G110" s="123" t="s">
        <v>26</v>
      </c>
      <c r="I110" s="136" t="s">
        <v>110</v>
      </c>
      <c r="Q110" s="78">
        <f t="shared" ref="Q110:AB110" si="34">Q106 + Q107</f>
        <v>0.6</v>
      </c>
      <c r="R110" s="78">
        <f t="shared" si="34"/>
        <v>0.12</v>
      </c>
      <c r="S110" s="78">
        <f t="shared" si="34"/>
        <v>8.4000000000000005E-2</v>
      </c>
      <c r="T110" s="78">
        <f t="shared" si="34"/>
        <v>5.8799999999999998E-2</v>
      </c>
      <c r="U110" s="78">
        <f t="shared" si="34"/>
        <v>4.1160000000000002E-2</v>
      </c>
      <c r="V110" s="78">
        <f t="shared" si="34"/>
        <v>2.8812000000000004E-2</v>
      </c>
      <c r="W110" s="78">
        <f t="shared" si="34"/>
        <v>2.0168400000000003E-2</v>
      </c>
      <c r="X110" s="78">
        <f t="shared" si="34"/>
        <v>1.4117880000000001E-2</v>
      </c>
      <c r="Y110" s="78">
        <f t="shared" si="34"/>
        <v>9.8825160000000026E-3</v>
      </c>
      <c r="Z110" s="78">
        <f t="shared" si="34"/>
        <v>6.9177612000000015E-3</v>
      </c>
      <c r="AA110" s="78">
        <f t="shared" si="34"/>
        <v>4.8424328400000017E-3</v>
      </c>
      <c r="AB110" s="78">
        <f t="shared" si="34"/>
        <v>3.3897029880000013E-3</v>
      </c>
    </row>
    <row r="111" spans="1:48" s="123" customFormat="1" ht="15" customHeight="1">
      <c r="A111" s="134"/>
      <c r="B111" s="134"/>
      <c r="C111" s="151"/>
    </row>
    <row r="112" spans="1:48" s="160" customFormat="1" ht="15" customHeight="1">
      <c r="A112" s="164" t="s">
        <v>196</v>
      </c>
      <c r="B112" s="162"/>
      <c r="C112" s="192"/>
      <c r="D112" s="163"/>
      <c r="E112" s="162"/>
      <c r="F112" s="162"/>
      <c r="G112" s="162"/>
      <c r="H112" s="162"/>
    </row>
    <row r="113" spans="1:48" s="123" customFormat="1" ht="15" customHeight="1">
      <c r="A113" s="134"/>
      <c r="B113" s="134"/>
      <c r="C113" s="151"/>
    </row>
    <row r="114" spans="1:48" s="123" customFormat="1" ht="15" customHeight="1">
      <c r="A114" s="134"/>
      <c r="B114" s="134" t="s">
        <v>197</v>
      </c>
      <c r="C114" s="151"/>
    </row>
    <row r="115" spans="1:48" ht="15" customHeight="1">
      <c r="E115" s="170" t="str">
        <f xml:space="preserve"> InputsTS!E$411</f>
        <v>Revenue 2011TR</v>
      </c>
      <c r="F115" s="170">
        <f xml:space="preserve"> InputsTS!F$411</f>
        <v>0</v>
      </c>
      <c r="G115" s="170" t="str">
        <f xml:space="preserve"> InputsTS!G$411</f>
        <v>$ mn</v>
      </c>
      <c r="H115" s="170">
        <f xml:space="preserve"> InputsTS!H$411</f>
        <v>0</v>
      </c>
      <c r="I115" s="170" t="str">
        <f xml:space="preserve"> InputsTS!I$411</f>
        <v>XVII</v>
      </c>
      <c r="J115" s="170">
        <f xml:space="preserve"> InputsTS!J$411</f>
        <v>45013</v>
      </c>
      <c r="K115" s="170">
        <f xml:space="preserve"> InputsTS!K$411</f>
        <v>0</v>
      </c>
      <c r="L115" s="170">
        <f xml:space="preserve"> InputsTS!L$411</f>
        <v>0</v>
      </c>
      <c r="M115" s="170">
        <f xml:space="preserve"> InputsTS!M$411</f>
        <v>0</v>
      </c>
      <c r="N115" s="170">
        <f xml:space="preserve"> InputsTS!N$411</f>
        <v>0</v>
      </c>
      <c r="O115" s="170">
        <f xml:space="preserve"> InputsTS!O$411</f>
        <v>0</v>
      </c>
      <c r="P115" s="170">
        <f xml:space="preserve"> InputsTS!P$411</f>
        <v>0</v>
      </c>
      <c r="Q115" s="170">
        <f xml:space="preserve"> InputsTS!Q$411</f>
        <v>1365</v>
      </c>
      <c r="R115" s="170">
        <f xml:space="preserve"> InputsTS!R$411</f>
        <v>1583</v>
      </c>
      <c r="S115" s="170">
        <f xml:space="preserve"> InputsTS!S$411</f>
        <v>1795</v>
      </c>
      <c r="T115" s="170">
        <f xml:space="preserve"> InputsTS!T$411</f>
        <v>2497</v>
      </c>
      <c r="U115" s="170">
        <f xml:space="preserve"> InputsTS!U$411</f>
        <v>2789</v>
      </c>
      <c r="V115" s="170">
        <f xml:space="preserve"> InputsTS!V$411</f>
        <v>2637</v>
      </c>
      <c r="W115" s="170">
        <f xml:space="preserve"> InputsTS!W$411</f>
        <v>2609</v>
      </c>
      <c r="X115" s="170">
        <f xml:space="preserve"> InputsTS!X$411</f>
        <v>2455</v>
      </c>
      <c r="Y115" s="170">
        <f xml:space="preserve"> InputsTS!Y$411</f>
        <v>2324</v>
      </c>
      <c r="Z115" s="170">
        <f xml:space="preserve"> InputsTS!Z$411</f>
        <v>2320</v>
      </c>
      <c r="AA115" s="170">
        <f xml:space="preserve"> InputsTS!AA$411</f>
        <v>2318</v>
      </c>
      <c r="AB115" s="170">
        <f xml:space="preserve"> InputsTS!AB$411</f>
        <v>2354</v>
      </c>
      <c r="AC115" s="170">
        <f xml:space="preserve"> InputsTS!AC$411</f>
        <v>2362</v>
      </c>
      <c r="AD115" s="170">
        <f xml:space="preserve"> InputsTS!AD$411</f>
        <v>2369</v>
      </c>
      <c r="AE115" s="170">
        <f xml:space="preserve"> InputsTS!AE$411</f>
        <v>2363</v>
      </c>
      <c r="AF115" s="170">
        <f xml:space="preserve"> InputsTS!AF$411</f>
        <v>2332</v>
      </c>
      <c r="AG115" s="170">
        <f xml:space="preserve"> InputsTS!AG$411</f>
        <v>2273</v>
      </c>
      <c r="AH115" s="170">
        <f xml:space="preserve"> InputsTS!AH$411</f>
        <v>2258</v>
      </c>
      <c r="AI115" s="170">
        <f xml:space="preserve"> InputsTS!AI$411</f>
        <v>2167</v>
      </c>
      <c r="AJ115" s="170">
        <f xml:space="preserve"> InputsTS!AJ$411</f>
        <v>1843</v>
      </c>
      <c r="AK115" s="170">
        <f xml:space="preserve"> InputsTS!AK$411</f>
        <v>0</v>
      </c>
      <c r="AL115" s="170">
        <f xml:space="preserve"> InputsTS!AL$411</f>
        <v>0</v>
      </c>
      <c r="AM115" s="170">
        <f xml:space="preserve"> InputsTS!AM$411</f>
        <v>0</v>
      </c>
      <c r="AN115" s="170">
        <f xml:space="preserve"> InputsTS!AN$411</f>
        <v>0</v>
      </c>
      <c r="AO115" s="170">
        <f xml:space="preserve"> InputsTS!AO$411</f>
        <v>0</v>
      </c>
      <c r="AP115" s="170">
        <f xml:space="preserve"> InputsTS!AP$411</f>
        <v>0</v>
      </c>
      <c r="AQ115" s="170">
        <f xml:space="preserve"> InputsTS!AQ$411</f>
        <v>0</v>
      </c>
      <c r="AR115" s="170">
        <f xml:space="preserve"> InputsTS!AR$411</f>
        <v>0</v>
      </c>
      <c r="AS115" s="170">
        <f xml:space="preserve"> InputsTS!AS$411</f>
        <v>0</v>
      </c>
      <c r="AT115" s="170">
        <f xml:space="preserve"> InputsTS!AT$411</f>
        <v>0</v>
      </c>
      <c r="AU115" s="170">
        <f xml:space="preserve"> InputsTS!AU$411</f>
        <v>0</v>
      </c>
      <c r="AV115" s="170">
        <f xml:space="preserve"> InputsTS!AV$411</f>
        <v>0</v>
      </c>
    </row>
    <row r="116" spans="1:48" ht="15" customHeight="1"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  <c r="Q116" s="170"/>
      <c r="R116" s="170"/>
      <c r="S116" s="170"/>
      <c r="T116" s="170"/>
      <c r="U116" s="170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0"/>
      <c r="AV116" s="170"/>
    </row>
    <row r="117" spans="1:48" s="93" customFormat="1" ht="15" customHeight="1">
      <c r="A117" s="92"/>
      <c r="B117" s="92"/>
      <c r="C117" s="149"/>
      <c r="E117" s="170" t="str">
        <f xml:space="preserve"> InputsTS!E$412</f>
        <v>Freight, Insurance &amp; Sales 2011TR</v>
      </c>
      <c r="F117" s="170">
        <f xml:space="preserve"> InputsTS!F$412</f>
        <v>0</v>
      </c>
      <c r="G117" s="170" t="str">
        <f xml:space="preserve"> InputsTS!G$412</f>
        <v>$ mn</v>
      </c>
      <c r="H117" s="170">
        <f xml:space="preserve"> InputsTS!H$412</f>
        <v>0</v>
      </c>
      <c r="I117" s="170" t="str">
        <f xml:space="preserve"> InputsTS!I$412</f>
        <v>XVII</v>
      </c>
      <c r="J117" s="170">
        <f xml:space="preserve"> InputsTS!J$412</f>
        <v>-4714</v>
      </c>
      <c r="K117" s="170">
        <f xml:space="preserve"> InputsTS!K$412</f>
        <v>0</v>
      </c>
      <c r="L117" s="170">
        <f xml:space="preserve"> InputsTS!L$412</f>
        <v>0</v>
      </c>
      <c r="M117" s="170">
        <f xml:space="preserve"> InputsTS!M$412</f>
        <v>0</v>
      </c>
      <c r="N117" s="170">
        <f xml:space="preserve"> InputsTS!N$412</f>
        <v>0</v>
      </c>
      <c r="O117" s="170">
        <f xml:space="preserve"> InputsTS!O$412</f>
        <v>0</v>
      </c>
      <c r="P117" s="170">
        <f xml:space="preserve"> InputsTS!P$412</f>
        <v>0</v>
      </c>
      <c r="Q117" s="170">
        <f xml:space="preserve"> InputsTS!Q$412</f>
        <v>-151</v>
      </c>
      <c r="R117" s="170">
        <f xml:space="preserve"> InputsTS!R$412</f>
        <v>-123</v>
      </c>
      <c r="S117" s="170">
        <f xml:space="preserve"> InputsTS!S$412</f>
        <v>-145</v>
      </c>
      <c r="T117" s="170">
        <f xml:space="preserve"> InputsTS!T$412</f>
        <v>-208</v>
      </c>
      <c r="U117" s="170">
        <f xml:space="preserve"> InputsTS!U$412</f>
        <v>-243</v>
      </c>
      <c r="V117" s="170">
        <f xml:space="preserve"> InputsTS!V$412</f>
        <v>-247</v>
      </c>
      <c r="W117" s="170">
        <f xml:space="preserve"> InputsTS!W$412</f>
        <v>-263</v>
      </c>
      <c r="X117" s="170">
        <f xml:space="preserve"> InputsTS!X$412</f>
        <v>-261</v>
      </c>
      <c r="Y117" s="170">
        <f xml:space="preserve"> InputsTS!Y$412</f>
        <v>-258</v>
      </c>
      <c r="Z117" s="170">
        <f xml:space="preserve"> InputsTS!Z$412</f>
        <v>-262</v>
      </c>
      <c r="AA117" s="170">
        <f xml:space="preserve"> InputsTS!AA$412</f>
        <v>-262</v>
      </c>
      <c r="AB117" s="170">
        <f xml:space="preserve"> InputsTS!AB$412</f>
        <v>-266</v>
      </c>
      <c r="AC117" s="170">
        <f xml:space="preserve"> InputsTS!AC$412</f>
        <v>-267</v>
      </c>
      <c r="AD117" s="170">
        <f xml:space="preserve"> InputsTS!AD$412</f>
        <v>-268</v>
      </c>
      <c r="AE117" s="170">
        <f xml:space="preserve"> InputsTS!AE$412</f>
        <v>-267</v>
      </c>
      <c r="AF117" s="170">
        <f xml:space="preserve"> InputsTS!AF$412</f>
        <v>-264</v>
      </c>
      <c r="AG117" s="170">
        <f xml:space="preserve"> InputsTS!AG$412</f>
        <v>-257</v>
      </c>
      <c r="AH117" s="170">
        <f xml:space="preserve"> InputsTS!AH$412</f>
        <v>-255</v>
      </c>
      <c r="AI117" s="170">
        <f xml:space="preserve"> InputsTS!AI$412</f>
        <v>-243</v>
      </c>
      <c r="AJ117" s="170">
        <f xml:space="preserve"> InputsTS!AJ$412</f>
        <v>-204</v>
      </c>
      <c r="AK117" s="170">
        <f xml:space="preserve"> InputsTS!AK$412</f>
        <v>0</v>
      </c>
      <c r="AL117" s="170">
        <f xml:space="preserve"> InputsTS!AL$412</f>
        <v>0</v>
      </c>
      <c r="AM117" s="170">
        <f xml:space="preserve"> InputsTS!AM$412</f>
        <v>0</v>
      </c>
      <c r="AN117" s="170">
        <f xml:space="preserve"> InputsTS!AN$412</f>
        <v>0</v>
      </c>
      <c r="AO117" s="170">
        <f xml:space="preserve"> InputsTS!AO$412</f>
        <v>0</v>
      </c>
      <c r="AP117" s="170">
        <f xml:space="preserve"> InputsTS!AP$412</f>
        <v>0</v>
      </c>
      <c r="AQ117" s="170">
        <f xml:space="preserve"> InputsTS!AQ$412</f>
        <v>0</v>
      </c>
      <c r="AR117" s="170">
        <f xml:space="preserve"> InputsTS!AR$412</f>
        <v>0</v>
      </c>
      <c r="AS117" s="170">
        <f xml:space="preserve"> InputsTS!AS$412</f>
        <v>0</v>
      </c>
      <c r="AT117" s="170">
        <f xml:space="preserve"> InputsTS!AT$412</f>
        <v>0</v>
      </c>
      <c r="AU117" s="170">
        <f xml:space="preserve"> InputsTS!AU$412</f>
        <v>0</v>
      </c>
      <c r="AV117" s="170">
        <f xml:space="preserve"> InputsTS!AV$412</f>
        <v>0</v>
      </c>
    </row>
    <row r="118" spans="1:48" ht="15" customHeight="1">
      <c r="E118" s="170" t="str">
        <f xml:space="preserve"> InputsTS!E$413</f>
        <v>Royalties 2011TR</v>
      </c>
      <c r="F118" s="170">
        <f xml:space="preserve"> InputsTS!F$413</f>
        <v>0</v>
      </c>
      <c r="G118" s="170" t="str">
        <f xml:space="preserve"> InputsTS!G$413</f>
        <v>$ mn</v>
      </c>
      <c r="H118" s="170">
        <f xml:space="preserve"> InputsTS!H$413</f>
        <v>0</v>
      </c>
      <c r="I118" s="170" t="str">
        <f xml:space="preserve"> InputsTS!I$413</f>
        <v>XVII</v>
      </c>
      <c r="J118" s="170">
        <f xml:space="preserve"> InputsTS!J$413</f>
        <v>-1755</v>
      </c>
      <c r="K118" s="170">
        <f xml:space="preserve"> InputsTS!K$413</f>
        <v>0</v>
      </c>
      <c r="L118" s="170">
        <f xml:space="preserve"> InputsTS!L$413</f>
        <v>0</v>
      </c>
      <c r="M118" s="170">
        <f xml:space="preserve"> InputsTS!M$413</f>
        <v>0</v>
      </c>
      <c r="N118" s="170">
        <f xml:space="preserve"> InputsTS!N$413</f>
        <v>0</v>
      </c>
      <c r="O118" s="170">
        <f xml:space="preserve"> InputsTS!O$413</f>
        <v>0</v>
      </c>
      <c r="P118" s="170">
        <f xml:space="preserve"> InputsTS!P$413</f>
        <v>0</v>
      </c>
      <c r="Q118" s="170">
        <f xml:space="preserve"> InputsTS!Q$413</f>
        <v>-55</v>
      </c>
      <c r="R118" s="170">
        <f xml:space="preserve"> InputsTS!R$413</f>
        <v>-66</v>
      </c>
      <c r="S118" s="170">
        <f xml:space="preserve"> InputsTS!S$413</f>
        <v>-74</v>
      </c>
      <c r="T118" s="170">
        <f xml:space="preserve"> InputsTS!T$413</f>
        <v>-103</v>
      </c>
      <c r="U118" s="170">
        <f xml:space="preserve"> InputsTS!U$413</f>
        <v>-83</v>
      </c>
      <c r="V118" s="170">
        <f xml:space="preserve"> InputsTS!V$413</f>
        <v>-78</v>
      </c>
      <c r="W118" s="170">
        <f xml:space="preserve"> InputsTS!W$413</f>
        <v>-106</v>
      </c>
      <c r="X118" s="170">
        <f xml:space="preserve"> InputsTS!X$413</f>
        <v>-99</v>
      </c>
      <c r="Y118" s="170">
        <f xml:space="preserve"> InputsTS!Y$413</f>
        <v>-93</v>
      </c>
      <c r="Z118" s="170">
        <f xml:space="preserve"> InputsTS!Z$413</f>
        <v>-93</v>
      </c>
      <c r="AA118" s="170">
        <f xml:space="preserve"> InputsTS!AA$413</f>
        <v>-93</v>
      </c>
      <c r="AB118" s="170">
        <f xml:space="preserve"> InputsTS!AB$413</f>
        <v>-94</v>
      </c>
      <c r="AC118" s="170">
        <f xml:space="preserve"> InputsTS!AC$413</f>
        <v>-94</v>
      </c>
      <c r="AD118" s="170">
        <f xml:space="preserve"> InputsTS!AD$413</f>
        <v>-95</v>
      </c>
      <c r="AE118" s="170">
        <f xml:space="preserve"> InputsTS!AE$413</f>
        <v>-94</v>
      </c>
      <c r="AF118" s="170">
        <f xml:space="preserve"> InputsTS!AF$413</f>
        <v>-93</v>
      </c>
      <c r="AG118" s="170">
        <f xml:space="preserve"> InputsTS!AG$413</f>
        <v>-91</v>
      </c>
      <c r="AH118" s="170">
        <f xml:space="preserve"> InputsTS!AH$413</f>
        <v>-90</v>
      </c>
      <c r="AI118" s="170">
        <f xml:space="preserve"> InputsTS!AI$413</f>
        <v>-87</v>
      </c>
      <c r="AJ118" s="170">
        <f xml:space="preserve"> InputsTS!AJ$413</f>
        <v>-74</v>
      </c>
      <c r="AK118" s="170">
        <f xml:space="preserve"> InputsTS!AK$413</f>
        <v>0</v>
      </c>
      <c r="AL118" s="170">
        <f xml:space="preserve"> InputsTS!AL$413</f>
        <v>0</v>
      </c>
      <c r="AM118" s="170">
        <f xml:space="preserve"> InputsTS!AM$413</f>
        <v>0</v>
      </c>
      <c r="AN118" s="170">
        <f xml:space="preserve"> InputsTS!AN$413</f>
        <v>0</v>
      </c>
      <c r="AO118" s="170">
        <f xml:space="preserve"> InputsTS!AO$413</f>
        <v>0</v>
      </c>
      <c r="AP118" s="170">
        <f xml:space="preserve"> InputsTS!AP$413</f>
        <v>0</v>
      </c>
      <c r="AQ118" s="170">
        <f xml:space="preserve"> InputsTS!AQ$413</f>
        <v>0</v>
      </c>
      <c r="AR118" s="170">
        <f xml:space="preserve"> InputsTS!AR$413</f>
        <v>0</v>
      </c>
      <c r="AS118" s="170">
        <f xml:space="preserve"> InputsTS!AS$413</f>
        <v>0</v>
      </c>
      <c r="AT118" s="170">
        <f xml:space="preserve"> InputsTS!AT$413</f>
        <v>0</v>
      </c>
      <c r="AU118" s="170">
        <f xml:space="preserve"> InputsTS!AU$413</f>
        <v>0</v>
      </c>
      <c r="AV118" s="170">
        <f xml:space="preserve"> InputsTS!AV$413</f>
        <v>0</v>
      </c>
    </row>
    <row r="119" spans="1:48" s="132" customFormat="1" ht="15" customHeight="1">
      <c r="A119" s="133"/>
      <c r="B119" s="133"/>
      <c r="C119" s="151"/>
      <c r="E119" s="170" t="str">
        <f xml:space="preserve"> InputsTS!E$415</f>
        <v>Operating Costs 2011TR</v>
      </c>
      <c r="F119" s="170">
        <f xml:space="preserve"> InputsTS!F$415</f>
        <v>0</v>
      </c>
      <c r="G119" s="170" t="str">
        <f xml:space="preserve"> InputsTS!G$415</f>
        <v>$ mn</v>
      </c>
      <c r="H119" s="170">
        <f xml:space="preserve"> InputsTS!H$415</f>
        <v>0</v>
      </c>
      <c r="I119" s="170" t="str">
        <f xml:space="preserve"> InputsTS!I$415</f>
        <v>XVII</v>
      </c>
      <c r="J119" s="170">
        <f xml:space="preserve"> InputsTS!J$415</f>
        <v>-12423</v>
      </c>
      <c r="K119" s="170">
        <f xml:space="preserve"> InputsTS!K$415</f>
        <v>0</v>
      </c>
      <c r="L119" s="170">
        <f xml:space="preserve"> InputsTS!L$415</f>
        <v>0</v>
      </c>
      <c r="M119" s="170">
        <f xml:space="preserve"> InputsTS!M$415</f>
        <v>0</v>
      </c>
      <c r="N119" s="170">
        <f xml:space="preserve"> InputsTS!N$415</f>
        <v>0</v>
      </c>
      <c r="O119" s="170">
        <f xml:space="preserve"> InputsTS!O$415</f>
        <v>0</v>
      </c>
      <c r="P119" s="170">
        <f xml:space="preserve"> InputsTS!P$415</f>
        <v>0</v>
      </c>
      <c r="Q119" s="170">
        <f xml:space="preserve"> InputsTS!Q$415</f>
        <v>-388</v>
      </c>
      <c r="R119" s="170">
        <f xml:space="preserve"> InputsTS!R$415</f>
        <v>-483</v>
      </c>
      <c r="S119" s="170">
        <f xml:space="preserve"> InputsTS!S$415</f>
        <v>-485</v>
      </c>
      <c r="T119" s="170">
        <f xml:space="preserve"> InputsTS!T$415</f>
        <v>-529</v>
      </c>
      <c r="U119" s="170">
        <f xml:space="preserve"> InputsTS!U$415</f>
        <v>-637</v>
      </c>
      <c r="V119" s="170">
        <f xml:space="preserve"> InputsTS!V$415</f>
        <v>-606</v>
      </c>
      <c r="W119" s="170">
        <f xml:space="preserve"> InputsTS!W$415</f>
        <v>-648</v>
      </c>
      <c r="X119" s="170">
        <f xml:space="preserve"> InputsTS!X$415</f>
        <v>-651</v>
      </c>
      <c r="Y119" s="170">
        <f xml:space="preserve"> InputsTS!Y$415</f>
        <v>-656</v>
      </c>
      <c r="Z119" s="170">
        <f xml:space="preserve"> InputsTS!Z$415</f>
        <v>-696</v>
      </c>
      <c r="AA119" s="170">
        <f xml:space="preserve"> InputsTS!AA$415</f>
        <v>-676</v>
      </c>
      <c r="AB119" s="170">
        <f xml:space="preserve"> InputsTS!AB$415</f>
        <v>-702</v>
      </c>
      <c r="AC119" s="170">
        <f xml:space="preserve"> InputsTS!AC$415</f>
        <v>-734</v>
      </c>
      <c r="AD119" s="170">
        <f xml:space="preserve"> InputsTS!AD$415</f>
        <v>-724</v>
      </c>
      <c r="AE119" s="170">
        <f xml:space="preserve"> InputsTS!AE$415</f>
        <v>-703</v>
      </c>
      <c r="AF119" s="170">
        <f xml:space="preserve"> InputsTS!AF$415</f>
        <v>-698</v>
      </c>
      <c r="AG119" s="170">
        <f xml:space="preserve"> InputsTS!AG$415</f>
        <v>-680</v>
      </c>
      <c r="AH119" s="170">
        <f xml:space="preserve"> InputsTS!AH$415</f>
        <v>-670</v>
      </c>
      <c r="AI119" s="170">
        <f xml:space="preserve"> InputsTS!AI$415</f>
        <v>-577</v>
      </c>
      <c r="AJ119" s="170">
        <f xml:space="preserve"> InputsTS!AJ$415</f>
        <v>-480</v>
      </c>
      <c r="AK119" s="170">
        <f xml:space="preserve"> InputsTS!AK$415</f>
        <v>0</v>
      </c>
      <c r="AL119" s="170">
        <f xml:space="preserve"> InputsTS!AL$415</f>
        <v>0</v>
      </c>
      <c r="AM119" s="170">
        <f xml:space="preserve"> InputsTS!AM$415</f>
        <v>0</v>
      </c>
      <c r="AN119" s="170">
        <f xml:space="preserve"> InputsTS!AN$415</f>
        <v>0</v>
      </c>
      <c r="AO119" s="170">
        <f xml:space="preserve"> InputsTS!AO$415</f>
        <v>0</v>
      </c>
      <c r="AP119" s="170">
        <f xml:space="preserve"> InputsTS!AP$415</f>
        <v>0</v>
      </c>
      <c r="AQ119" s="170">
        <f xml:space="preserve"> InputsTS!AQ$415</f>
        <v>0</v>
      </c>
      <c r="AR119" s="170">
        <f xml:space="preserve"> InputsTS!AR$415</f>
        <v>0</v>
      </c>
      <c r="AS119" s="170">
        <f xml:space="preserve"> InputsTS!AS$415</f>
        <v>0</v>
      </c>
      <c r="AT119" s="170">
        <f xml:space="preserve"> InputsTS!AT$415</f>
        <v>0</v>
      </c>
      <c r="AU119" s="170">
        <f xml:space="preserve"> InputsTS!AU$415</f>
        <v>0</v>
      </c>
      <c r="AV119" s="170">
        <f xml:space="preserve"> InputsTS!AV$415</f>
        <v>0</v>
      </c>
    </row>
    <row r="120" spans="1:48" s="132" customFormat="1" ht="15" customHeight="1">
      <c r="A120" s="133"/>
      <c r="B120" s="133"/>
      <c r="C120" s="151"/>
      <c r="E120" s="170" t="str">
        <f xml:space="preserve"> InputsTS!E$416</f>
        <v>Other Costs 2011TR</v>
      </c>
      <c r="F120" s="170">
        <f xml:space="preserve"> InputsTS!F$416</f>
        <v>0</v>
      </c>
      <c r="G120" s="170" t="str">
        <f xml:space="preserve"> InputsTS!G$416</f>
        <v>$ mn</v>
      </c>
      <c r="H120" s="170">
        <f xml:space="preserve"> InputsTS!H$416</f>
        <v>0</v>
      </c>
      <c r="I120" s="170" t="str">
        <f xml:space="preserve"> InputsTS!I$416</f>
        <v>XVII</v>
      </c>
      <c r="J120" s="170">
        <f xml:space="preserve"> InputsTS!J$416</f>
        <v>-265</v>
      </c>
      <c r="K120" s="170">
        <f xml:space="preserve"> InputsTS!K$416</f>
        <v>0</v>
      </c>
      <c r="L120" s="170">
        <f xml:space="preserve"> InputsTS!L$416</f>
        <v>0</v>
      </c>
      <c r="M120" s="170">
        <f xml:space="preserve"> InputsTS!M$416</f>
        <v>0</v>
      </c>
      <c r="N120" s="170">
        <f xml:space="preserve"> InputsTS!N$416</f>
        <v>0</v>
      </c>
      <c r="O120" s="170">
        <f xml:space="preserve"> InputsTS!O$416</f>
        <v>0</v>
      </c>
      <c r="P120" s="170">
        <f xml:space="preserve"> InputsTS!P$416</f>
        <v>0</v>
      </c>
      <c r="Q120" s="170">
        <f xml:space="preserve"> InputsTS!Q$416</f>
        <v>-47</v>
      </c>
      <c r="R120" s="170">
        <f xml:space="preserve"> InputsTS!R$416</f>
        <v>-17</v>
      </c>
      <c r="S120" s="170">
        <f xml:space="preserve"> InputsTS!S$416</f>
        <v>-17</v>
      </c>
      <c r="T120" s="170">
        <f xml:space="preserve"> InputsTS!T$416</f>
        <v>-17</v>
      </c>
      <c r="U120" s="170">
        <f xml:space="preserve"> InputsTS!U$416</f>
        <v>-17</v>
      </c>
      <c r="V120" s="170">
        <f xml:space="preserve"> InputsTS!V$416</f>
        <v>-17</v>
      </c>
      <c r="W120" s="170">
        <f xml:space="preserve"> InputsTS!W$416</f>
        <v>-2</v>
      </c>
      <c r="X120" s="170">
        <f xml:space="preserve"> InputsTS!X$416</f>
        <v>-2</v>
      </c>
      <c r="Y120" s="170">
        <f xml:space="preserve"> InputsTS!Y$416</f>
        <v>-2</v>
      </c>
      <c r="Z120" s="170">
        <f xml:space="preserve"> InputsTS!Z$416</f>
        <v>-1</v>
      </c>
      <c r="AA120" s="170">
        <f xml:space="preserve"> InputsTS!AA$416</f>
        <v>-1</v>
      </c>
      <c r="AB120" s="170">
        <f xml:space="preserve"> InputsTS!AB$416</f>
        <v>-2</v>
      </c>
      <c r="AC120" s="170">
        <f xml:space="preserve"> InputsTS!AC$416</f>
        <v>-1</v>
      </c>
      <c r="AD120" s="170">
        <f xml:space="preserve"> InputsTS!AD$416</f>
        <v>-1</v>
      </c>
      <c r="AE120" s="170">
        <f xml:space="preserve"> InputsTS!AE$416</f>
        <v>-2</v>
      </c>
      <c r="AF120" s="170">
        <f xml:space="preserve"> InputsTS!AF$416</f>
        <v>-1</v>
      </c>
      <c r="AG120" s="170">
        <f xml:space="preserve"> InputsTS!AG$416</f>
        <v>-1</v>
      </c>
      <c r="AH120" s="170">
        <f xml:space="preserve"> InputsTS!AH$416</f>
        <v>-2</v>
      </c>
      <c r="AI120" s="170">
        <f xml:space="preserve"> InputsTS!AI$416</f>
        <v>-1</v>
      </c>
      <c r="AJ120" s="170">
        <f xml:space="preserve"> InputsTS!AJ$416</f>
        <v>-1</v>
      </c>
      <c r="AK120" s="170">
        <f xml:space="preserve"> InputsTS!AK$416</f>
        <v>-57</v>
      </c>
      <c r="AL120" s="170">
        <f xml:space="preserve"> InputsTS!AL$416</f>
        <v>-56</v>
      </c>
      <c r="AM120" s="170">
        <f xml:space="preserve"> InputsTS!AM$416</f>
        <v>0</v>
      </c>
      <c r="AN120" s="170">
        <f xml:space="preserve"> InputsTS!AN$416</f>
        <v>0</v>
      </c>
      <c r="AO120" s="170">
        <f xml:space="preserve"> InputsTS!AO$416</f>
        <v>0</v>
      </c>
      <c r="AP120" s="170">
        <f xml:space="preserve"> InputsTS!AP$416</f>
        <v>0</v>
      </c>
      <c r="AQ120" s="170">
        <f xml:space="preserve"> InputsTS!AQ$416</f>
        <v>0</v>
      </c>
      <c r="AR120" s="170">
        <f xml:space="preserve"> InputsTS!AR$416</f>
        <v>0</v>
      </c>
      <c r="AS120" s="170">
        <f xml:space="preserve"> InputsTS!AS$416</f>
        <v>0</v>
      </c>
      <c r="AT120" s="170">
        <f xml:space="preserve"> InputsTS!AT$416</f>
        <v>0</v>
      </c>
      <c r="AU120" s="170">
        <f xml:space="preserve"> InputsTS!AU$416</f>
        <v>0</v>
      </c>
      <c r="AV120" s="170">
        <f xml:space="preserve"> InputsTS!AV$416</f>
        <v>0</v>
      </c>
    </row>
    <row r="121" spans="1:48" s="123" customFormat="1" ht="15" customHeight="1">
      <c r="A121" s="134"/>
      <c r="B121" s="134"/>
      <c r="C121" s="151"/>
      <c r="E121" s="123" t="str">
        <f t="shared" ref="E121:AV121" si="35" xml:space="preserve"> E$99</f>
        <v>Amortization charge</v>
      </c>
      <c r="F121" s="123">
        <f t="shared" si="35"/>
        <v>0</v>
      </c>
      <c r="G121" s="123" t="str">
        <f t="shared" si="35"/>
        <v>$ mn</v>
      </c>
      <c r="H121" s="123">
        <f t="shared" si="35"/>
        <v>0</v>
      </c>
      <c r="I121" s="123">
        <f t="shared" si="35"/>
        <v>0</v>
      </c>
      <c r="J121" s="123">
        <f t="shared" si="35"/>
        <v>-2646.6339501382881</v>
      </c>
      <c r="K121" s="123">
        <f t="shared" si="35"/>
        <v>0</v>
      </c>
      <c r="L121" s="123">
        <f t="shared" si="35"/>
        <v>0</v>
      </c>
      <c r="M121" s="123">
        <f t="shared" si="35"/>
        <v>0</v>
      </c>
      <c r="N121" s="123">
        <f t="shared" si="35"/>
        <v>0</v>
      </c>
      <c r="O121" s="123">
        <f t="shared" si="35"/>
        <v>0</v>
      </c>
      <c r="P121" s="123">
        <f t="shared" si="35"/>
        <v>0</v>
      </c>
      <c r="Q121" s="123">
        <f t="shared" si="35"/>
        <v>-192</v>
      </c>
      <c r="R121" s="123">
        <f t="shared" si="35"/>
        <v>-250.2</v>
      </c>
      <c r="S121" s="123">
        <f t="shared" si="35"/>
        <v>-291.84000000000003</v>
      </c>
      <c r="T121" s="123">
        <f t="shared" si="35"/>
        <v>-172.78800000000001</v>
      </c>
      <c r="U121" s="123">
        <f t="shared" si="35"/>
        <v>-153.05160000000001</v>
      </c>
      <c r="V121" s="123">
        <f t="shared" si="35"/>
        <v>-124.53612000000001</v>
      </c>
      <c r="W121" s="123">
        <f t="shared" si="35"/>
        <v>-123.47528400000002</v>
      </c>
      <c r="X121" s="123">
        <f t="shared" si="35"/>
        <v>-126.3326988</v>
      </c>
      <c r="Y121" s="123">
        <f t="shared" si="35"/>
        <v>-110.93288916000002</v>
      </c>
      <c r="Z121" s="123">
        <f t="shared" si="35"/>
        <v>-114.55302241200002</v>
      </c>
      <c r="AA121" s="123">
        <f t="shared" si="35"/>
        <v>-108.9871156884</v>
      </c>
      <c r="AB121" s="123">
        <f t="shared" si="35"/>
        <v>-107.19098098187999</v>
      </c>
      <c r="AC121" s="123">
        <f t="shared" si="35"/>
        <v>-100.53368668731599</v>
      </c>
      <c r="AD121" s="123">
        <f t="shared" si="35"/>
        <v>-94.373580681121183</v>
      </c>
      <c r="AE121" s="123">
        <f t="shared" si="35"/>
        <v>-85.561506476784842</v>
      </c>
      <c r="AF121" s="123">
        <f t="shared" si="35"/>
        <v>-83.293054533749384</v>
      </c>
      <c r="AG121" s="123">
        <f t="shared" si="35"/>
        <v>-80.205138173624576</v>
      </c>
      <c r="AH121" s="123">
        <f t="shared" si="35"/>
        <v>-83.443596721537205</v>
      </c>
      <c r="AI121" s="123">
        <f t="shared" si="35"/>
        <v>-79.710517705076029</v>
      </c>
      <c r="AJ121" s="123">
        <f t="shared" si="35"/>
        <v>-66.297362393553229</v>
      </c>
      <c r="AK121" s="123">
        <f t="shared" si="35"/>
        <v>-29.608153675487266</v>
      </c>
      <c r="AL121" s="123">
        <f t="shared" si="35"/>
        <v>-20.725707572841085</v>
      </c>
      <c r="AM121" s="123">
        <f t="shared" si="35"/>
        <v>-14.507995300988759</v>
      </c>
      <c r="AN121" s="123">
        <f t="shared" si="35"/>
        <v>-10.15559671069213</v>
      </c>
      <c r="AO121" s="123">
        <f t="shared" si="35"/>
        <v>-7.1089176974844914</v>
      </c>
      <c r="AP121" s="123">
        <f t="shared" si="35"/>
        <v>-4.976242388239144</v>
      </c>
      <c r="AQ121" s="123">
        <f t="shared" si="35"/>
        <v>-3.483369671767401</v>
      </c>
      <c r="AR121" s="123">
        <f t="shared" si="35"/>
        <v>-2.4383587702371807</v>
      </c>
      <c r="AS121" s="123">
        <f t="shared" si="35"/>
        <v>-1.7068511391660264</v>
      </c>
      <c r="AT121" s="123">
        <f t="shared" si="35"/>
        <v>-1.1947957974162184</v>
      </c>
      <c r="AU121" s="123">
        <f t="shared" si="35"/>
        <v>-0.83635705819135298</v>
      </c>
      <c r="AV121" s="123">
        <f t="shared" si="35"/>
        <v>-0.58544994073394707</v>
      </c>
    </row>
    <row r="122" spans="1:48" s="123" customFormat="1" ht="15" customHeight="1">
      <c r="A122" s="134"/>
      <c r="B122" s="134"/>
      <c r="C122" s="151"/>
      <c r="E122" s="211" t="s">
        <v>198</v>
      </c>
    </row>
    <row r="123" spans="1:48" s="123" customFormat="1" ht="15" customHeight="1">
      <c r="A123" s="134"/>
      <c r="B123" s="134"/>
      <c r="C123" s="151"/>
      <c r="E123" s="123" t="s">
        <v>199</v>
      </c>
      <c r="G123" s="123" t="s">
        <v>29</v>
      </c>
      <c r="J123" s="123">
        <f xml:space="preserve"> SUM(L123:AV123)</f>
        <v>-21803.633950138283</v>
      </c>
      <c r="L123" s="123">
        <f t="shared" ref="L123:AV123" si="36">SUM(L117:L122)</f>
        <v>0</v>
      </c>
      <c r="M123" s="123">
        <f t="shared" si="36"/>
        <v>0</v>
      </c>
      <c r="N123" s="123">
        <f t="shared" si="36"/>
        <v>0</v>
      </c>
      <c r="O123" s="123">
        <f t="shared" si="36"/>
        <v>0</v>
      </c>
      <c r="P123" s="123">
        <f t="shared" si="36"/>
        <v>0</v>
      </c>
      <c r="Q123" s="123">
        <f t="shared" si="36"/>
        <v>-833</v>
      </c>
      <c r="R123" s="123">
        <f t="shared" si="36"/>
        <v>-939.2</v>
      </c>
      <c r="S123" s="123">
        <f t="shared" si="36"/>
        <v>-1012.84</v>
      </c>
      <c r="T123" s="123">
        <f t="shared" si="36"/>
        <v>-1029.788</v>
      </c>
      <c r="U123" s="123">
        <f t="shared" si="36"/>
        <v>-1133.0516</v>
      </c>
      <c r="V123" s="123">
        <f t="shared" si="36"/>
        <v>-1072.53612</v>
      </c>
      <c r="W123" s="123">
        <f t="shared" si="36"/>
        <v>-1142.4752840000001</v>
      </c>
      <c r="X123" s="123">
        <f t="shared" si="36"/>
        <v>-1139.3326987999999</v>
      </c>
      <c r="Y123" s="123">
        <f t="shared" si="36"/>
        <v>-1119.9328891600001</v>
      </c>
      <c r="Z123" s="123">
        <f t="shared" si="36"/>
        <v>-1166.553022412</v>
      </c>
      <c r="AA123" s="123">
        <f t="shared" si="36"/>
        <v>-1140.9871156884001</v>
      </c>
      <c r="AB123" s="123">
        <f t="shared" si="36"/>
        <v>-1171.1909809818799</v>
      </c>
      <c r="AC123" s="123">
        <f t="shared" si="36"/>
        <v>-1196.533686687316</v>
      </c>
      <c r="AD123" s="123">
        <f t="shared" si="36"/>
        <v>-1182.3735806811212</v>
      </c>
      <c r="AE123" s="123">
        <f t="shared" si="36"/>
        <v>-1151.5615064767849</v>
      </c>
      <c r="AF123" s="123">
        <f t="shared" si="36"/>
        <v>-1139.2930545337495</v>
      </c>
      <c r="AG123" s="123">
        <f t="shared" si="36"/>
        <v>-1109.2051381736246</v>
      </c>
      <c r="AH123" s="123">
        <f t="shared" si="36"/>
        <v>-1100.4435967215372</v>
      </c>
      <c r="AI123" s="123">
        <f t="shared" si="36"/>
        <v>-987.71051770507597</v>
      </c>
      <c r="AJ123" s="123">
        <f t="shared" si="36"/>
        <v>-825.29736239355327</v>
      </c>
      <c r="AK123" s="123">
        <f t="shared" si="36"/>
        <v>-86.608153675487273</v>
      </c>
      <c r="AL123" s="123">
        <f t="shared" si="36"/>
        <v>-76.725707572841088</v>
      </c>
      <c r="AM123" s="123">
        <f t="shared" si="36"/>
        <v>-14.507995300988759</v>
      </c>
      <c r="AN123" s="123">
        <f t="shared" si="36"/>
        <v>-10.15559671069213</v>
      </c>
      <c r="AO123" s="123">
        <f t="shared" si="36"/>
        <v>-7.1089176974844914</v>
      </c>
      <c r="AP123" s="123">
        <f t="shared" si="36"/>
        <v>-4.976242388239144</v>
      </c>
      <c r="AQ123" s="123">
        <f t="shared" si="36"/>
        <v>-3.483369671767401</v>
      </c>
      <c r="AR123" s="123">
        <f t="shared" si="36"/>
        <v>-2.4383587702371807</v>
      </c>
      <c r="AS123" s="123">
        <f t="shared" si="36"/>
        <v>-1.7068511391660264</v>
      </c>
      <c r="AT123" s="123">
        <f t="shared" si="36"/>
        <v>-1.1947957974162184</v>
      </c>
      <c r="AU123" s="123">
        <f t="shared" si="36"/>
        <v>-0.83635705819135298</v>
      </c>
      <c r="AV123" s="123">
        <f t="shared" si="36"/>
        <v>-0.58544994073394707</v>
      </c>
    </row>
    <row r="124" spans="1:48" s="123" customFormat="1" ht="15" customHeight="1">
      <c r="A124" s="134"/>
      <c r="B124" s="134"/>
      <c r="C124" s="151"/>
    </row>
    <row r="125" spans="1:48" s="123" customFormat="1" ht="15" customHeight="1">
      <c r="A125" s="134"/>
      <c r="B125" s="134"/>
      <c r="C125" s="151"/>
      <c r="E125" s="123" t="s">
        <v>116</v>
      </c>
      <c r="G125" s="123" t="s">
        <v>29</v>
      </c>
      <c r="J125" s="123">
        <f xml:space="preserve"> SUM(L125:AV125)</f>
        <v>23209.366049861717</v>
      </c>
      <c r="L125" s="123">
        <f t="shared" ref="L125:AV125" si="37" xml:space="preserve"> L115 + L123</f>
        <v>0</v>
      </c>
      <c r="M125" s="123">
        <f t="shared" si="37"/>
        <v>0</v>
      </c>
      <c r="N125" s="123">
        <f t="shared" si="37"/>
        <v>0</v>
      </c>
      <c r="O125" s="123">
        <f t="shared" si="37"/>
        <v>0</v>
      </c>
      <c r="P125" s="123">
        <f t="shared" si="37"/>
        <v>0</v>
      </c>
      <c r="Q125" s="123">
        <f t="shared" si="37"/>
        <v>532</v>
      </c>
      <c r="R125" s="123">
        <f t="shared" si="37"/>
        <v>643.79999999999995</v>
      </c>
      <c r="S125" s="123">
        <f t="shared" si="37"/>
        <v>782.16</v>
      </c>
      <c r="T125" s="123">
        <f t="shared" si="37"/>
        <v>1467.212</v>
      </c>
      <c r="U125" s="123">
        <f t="shared" si="37"/>
        <v>1655.9484</v>
      </c>
      <c r="V125" s="123">
        <f t="shared" si="37"/>
        <v>1564.46388</v>
      </c>
      <c r="W125" s="123">
        <f t="shared" si="37"/>
        <v>1466.5247159999999</v>
      </c>
      <c r="X125" s="123">
        <f t="shared" si="37"/>
        <v>1315.6673012000001</v>
      </c>
      <c r="Y125" s="123">
        <f t="shared" si="37"/>
        <v>1204.0671108399999</v>
      </c>
      <c r="Z125" s="123">
        <f t="shared" si="37"/>
        <v>1153.446977588</v>
      </c>
      <c r="AA125" s="123">
        <f t="shared" si="37"/>
        <v>1177.0128843115999</v>
      </c>
      <c r="AB125" s="123">
        <f t="shared" si="37"/>
        <v>1182.8090190181201</v>
      </c>
      <c r="AC125" s="123">
        <f t="shared" si="37"/>
        <v>1165.466313312684</v>
      </c>
      <c r="AD125" s="123">
        <f t="shared" si="37"/>
        <v>1186.6264193188788</v>
      </c>
      <c r="AE125" s="123">
        <f t="shared" si="37"/>
        <v>1211.4384935232151</v>
      </c>
      <c r="AF125" s="123">
        <f t="shared" si="37"/>
        <v>1192.7069454662505</v>
      </c>
      <c r="AG125" s="123">
        <f t="shared" si="37"/>
        <v>1163.7948618263754</v>
      </c>
      <c r="AH125" s="123">
        <f t="shared" si="37"/>
        <v>1157.5564032784628</v>
      </c>
      <c r="AI125" s="123">
        <f t="shared" si="37"/>
        <v>1179.289482294924</v>
      </c>
      <c r="AJ125" s="123">
        <f t="shared" si="37"/>
        <v>1017.7026376064467</v>
      </c>
      <c r="AK125" s="123">
        <f t="shared" si="37"/>
        <v>-86.608153675487273</v>
      </c>
      <c r="AL125" s="123">
        <f t="shared" si="37"/>
        <v>-76.725707572841088</v>
      </c>
      <c r="AM125" s="123">
        <f t="shared" si="37"/>
        <v>-14.507995300988759</v>
      </c>
      <c r="AN125" s="123">
        <f t="shared" si="37"/>
        <v>-10.15559671069213</v>
      </c>
      <c r="AO125" s="123">
        <f t="shared" si="37"/>
        <v>-7.1089176974844914</v>
      </c>
      <c r="AP125" s="123">
        <f t="shared" si="37"/>
        <v>-4.976242388239144</v>
      </c>
      <c r="AQ125" s="123">
        <f t="shared" si="37"/>
        <v>-3.483369671767401</v>
      </c>
      <c r="AR125" s="123">
        <f t="shared" si="37"/>
        <v>-2.4383587702371807</v>
      </c>
      <c r="AS125" s="123">
        <f t="shared" si="37"/>
        <v>-1.7068511391660264</v>
      </c>
      <c r="AT125" s="123">
        <f t="shared" si="37"/>
        <v>-1.1947957974162184</v>
      </c>
      <c r="AU125" s="123">
        <f t="shared" si="37"/>
        <v>-0.83635705819135298</v>
      </c>
      <c r="AV125" s="123">
        <f t="shared" si="37"/>
        <v>-0.58544994073394707</v>
      </c>
    </row>
    <row r="126" spans="1:48" s="123" customFormat="1" ht="15" customHeight="1">
      <c r="A126" s="134"/>
      <c r="B126" s="134"/>
      <c r="C126" s="151"/>
    </row>
    <row r="127" spans="1:48" s="123" customFormat="1" ht="15" customHeight="1">
      <c r="A127" s="134"/>
      <c r="B127" s="134"/>
      <c r="C127" s="151"/>
      <c r="E127" s="123" t="s">
        <v>200</v>
      </c>
      <c r="F127" s="147">
        <v>750</v>
      </c>
      <c r="G127" s="123" t="s">
        <v>29</v>
      </c>
      <c r="I127" s="123" t="s">
        <v>131</v>
      </c>
    </row>
    <row r="128" spans="1:48" s="123" customFormat="1" ht="15" customHeight="1">
      <c r="A128" s="134"/>
      <c r="B128" s="134"/>
      <c r="C128" s="151"/>
    </row>
    <row r="129" spans="1:48" s="123" customFormat="1" ht="15" customHeight="1">
      <c r="A129" s="134"/>
      <c r="B129" s="134"/>
      <c r="C129" s="151"/>
      <c r="E129" s="132" t="str">
        <f xml:space="preserve"> 'T&amp;E'!E$11</f>
        <v>model column</v>
      </c>
      <c r="F129" s="132">
        <f xml:space="preserve"> 'T&amp;E'!F$11</f>
        <v>0</v>
      </c>
      <c r="G129" s="132" t="str">
        <f xml:space="preserve"> 'T&amp;E'!G$11</f>
        <v>#</v>
      </c>
      <c r="H129" s="132">
        <f xml:space="preserve"> 'T&amp;E'!H$11</f>
        <v>0</v>
      </c>
      <c r="I129" s="132">
        <f xml:space="preserve"> 'T&amp;E'!I$11</f>
        <v>0</v>
      </c>
      <c r="J129" s="132">
        <f xml:space="preserve"> 'T&amp;E'!J$11</f>
        <v>0</v>
      </c>
      <c r="K129" s="132">
        <f xml:space="preserve"> 'T&amp;E'!K$11</f>
        <v>0</v>
      </c>
      <c r="L129" s="132">
        <f xml:space="preserve"> 'T&amp;E'!L$11</f>
        <v>1</v>
      </c>
      <c r="M129" s="132">
        <f xml:space="preserve"> 'T&amp;E'!M$11</f>
        <v>2</v>
      </c>
      <c r="N129" s="132">
        <f xml:space="preserve"> 'T&amp;E'!N$11</f>
        <v>3</v>
      </c>
      <c r="O129" s="132">
        <f xml:space="preserve"> 'T&amp;E'!O$11</f>
        <v>4</v>
      </c>
      <c r="P129" s="132">
        <f xml:space="preserve"> 'T&amp;E'!P$11</f>
        <v>5</v>
      </c>
      <c r="Q129" s="132">
        <f xml:space="preserve"> 'T&amp;E'!Q$11</f>
        <v>6</v>
      </c>
      <c r="R129" s="132">
        <f xml:space="preserve"> 'T&amp;E'!R$11</f>
        <v>7</v>
      </c>
      <c r="S129" s="132">
        <f xml:space="preserve"> 'T&amp;E'!S$11</f>
        <v>8</v>
      </c>
      <c r="T129" s="132">
        <f xml:space="preserve"> 'T&amp;E'!T$11</f>
        <v>9</v>
      </c>
      <c r="U129" s="132">
        <f xml:space="preserve"> 'T&amp;E'!U$11</f>
        <v>10</v>
      </c>
      <c r="V129" s="132">
        <f xml:space="preserve"> 'T&amp;E'!V$11</f>
        <v>11</v>
      </c>
      <c r="W129" s="132">
        <f xml:space="preserve"> 'T&amp;E'!W$11</f>
        <v>12</v>
      </c>
      <c r="X129" s="132">
        <f xml:space="preserve"> 'T&amp;E'!X$11</f>
        <v>13</v>
      </c>
      <c r="Y129" s="132">
        <f xml:space="preserve"> 'T&amp;E'!Y$11</f>
        <v>14</v>
      </c>
      <c r="Z129" s="132">
        <f xml:space="preserve"> 'T&amp;E'!Z$11</f>
        <v>15</v>
      </c>
      <c r="AA129" s="132">
        <f xml:space="preserve"> 'T&amp;E'!AA$11</f>
        <v>16</v>
      </c>
      <c r="AB129" s="132">
        <f xml:space="preserve"> 'T&amp;E'!AB$11</f>
        <v>17</v>
      </c>
      <c r="AC129" s="132">
        <f xml:space="preserve"> 'T&amp;E'!AC$11</f>
        <v>18</v>
      </c>
      <c r="AD129" s="132">
        <f xml:space="preserve"> 'T&amp;E'!AD$11</f>
        <v>19</v>
      </c>
      <c r="AE129" s="132">
        <f xml:space="preserve"> 'T&amp;E'!AE$11</f>
        <v>20</v>
      </c>
      <c r="AF129" s="132">
        <f xml:space="preserve"> 'T&amp;E'!AF$11</f>
        <v>21</v>
      </c>
      <c r="AG129" s="132">
        <f xml:space="preserve"> 'T&amp;E'!AG$11</f>
        <v>22</v>
      </c>
      <c r="AH129" s="132">
        <f xml:space="preserve"> 'T&amp;E'!AH$11</f>
        <v>23</v>
      </c>
      <c r="AI129" s="132">
        <f xml:space="preserve"> 'T&amp;E'!AI$11</f>
        <v>24</v>
      </c>
      <c r="AJ129" s="132">
        <f xml:space="preserve"> 'T&amp;E'!AJ$11</f>
        <v>25</v>
      </c>
      <c r="AK129" s="132">
        <f xml:space="preserve"> 'T&amp;E'!AK$11</f>
        <v>26</v>
      </c>
      <c r="AL129" s="132">
        <f xml:space="preserve"> 'T&amp;E'!AL$11</f>
        <v>27</v>
      </c>
      <c r="AM129" s="132">
        <f xml:space="preserve"> 'T&amp;E'!AM$11</f>
        <v>28</v>
      </c>
      <c r="AN129" s="132">
        <f xml:space="preserve"> 'T&amp;E'!AN$11</f>
        <v>29</v>
      </c>
      <c r="AO129" s="132">
        <f xml:space="preserve"> 'T&amp;E'!AO$11</f>
        <v>30</v>
      </c>
      <c r="AP129" s="132">
        <f xml:space="preserve"> 'T&amp;E'!AP$11</f>
        <v>31</v>
      </c>
      <c r="AQ129" s="132">
        <f xml:space="preserve"> 'T&amp;E'!AQ$11</f>
        <v>32</v>
      </c>
      <c r="AR129" s="132">
        <f xml:space="preserve"> 'T&amp;E'!AR$11</f>
        <v>33</v>
      </c>
      <c r="AS129" s="132">
        <f xml:space="preserve"> 'T&amp;E'!AS$11</f>
        <v>34</v>
      </c>
      <c r="AT129" s="132">
        <f xml:space="preserve"> 'T&amp;E'!AT$11</f>
        <v>35</v>
      </c>
      <c r="AU129" s="132">
        <f xml:space="preserve"> 'T&amp;E'!AU$11</f>
        <v>36</v>
      </c>
      <c r="AV129" s="132">
        <f xml:space="preserve"> 'T&amp;E'!AV$11</f>
        <v>37</v>
      </c>
    </row>
    <row r="130" spans="1:48" s="123" customFormat="1" ht="15" customHeight="1">
      <c r="A130" s="134"/>
      <c r="B130" s="134"/>
      <c r="C130" s="151"/>
      <c r="E130" s="123" t="str">
        <f xml:space="preserve"> E$125</f>
        <v>Taxable income before losses</v>
      </c>
      <c r="F130" s="123">
        <f t="shared" ref="F130:AV130" si="38" xml:space="preserve"> F$125</f>
        <v>0</v>
      </c>
      <c r="G130" s="123" t="str">
        <f t="shared" si="38"/>
        <v>$ mn</v>
      </c>
      <c r="H130" s="123">
        <f t="shared" si="38"/>
        <v>0</v>
      </c>
      <c r="I130" s="123">
        <f t="shared" si="38"/>
        <v>0</v>
      </c>
      <c r="J130" s="123">
        <f t="shared" si="38"/>
        <v>23209.366049861717</v>
      </c>
      <c r="K130" s="123">
        <f t="shared" si="38"/>
        <v>0</v>
      </c>
      <c r="L130" s="123">
        <f t="shared" si="38"/>
        <v>0</v>
      </c>
      <c r="M130" s="123">
        <f t="shared" si="38"/>
        <v>0</v>
      </c>
      <c r="N130" s="123">
        <f t="shared" si="38"/>
        <v>0</v>
      </c>
      <c r="O130" s="123">
        <f t="shared" si="38"/>
        <v>0</v>
      </c>
      <c r="P130" s="123">
        <f t="shared" si="38"/>
        <v>0</v>
      </c>
      <c r="Q130" s="123">
        <f t="shared" si="38"/>
        <v>532</v>
      </c>
      <c r="R130" s="123">
        <f t="shared" si="38"/>
        <v>643.79999999999995</v>
      </c>
      <c r="S130" s="123">
        <f t="shared" si="38"/>
        <v>782.16</v>
      </c>
      <c r="T130" s="123">
        <f t="shared" si="38"/>
        <v>1467.212</v>
      </c>
      <c r="U130" s="123">
        <f t="shared" si="38"/>
        <v>1655.9484</v>
      </c>
      <c r="V130" s="123">
        <f t="shared" si="38"/>
        <v>1564.46388</v>
      </c>
      <c r="W130" s="123">
        <f t="shared" si="38"/>
        <v>1466.5247159999999</v>
      </c>
      <c r="X130" s="123">
        <f t="shared" si="38"/>
        <v>1315.6673012000001</v>
      </c>
      <c r="Y130" s="123">
        <f t="shared" si="38"/>
        <v>1204.0671108399999</v>
      </c>
      <c r="Z130" s="123">
        <f t="shared" si="38"/>
        <v>1153.446977588</v>
      </c>
      <c r="AA130" s="123">
        <f t="shared" si="38"/>
        <v>1177.0128843115999</v>
      </c>
      <c r="AB130" s="123">
        <f t="shared" si="38"/>
        <v>1182.8090190181201</v>
      </c>
      <c r="AC130" s="123">
        <f t="shared" si="38"/>
        <v>1165.466313312684</v>
      </c>
      <c r="AD130" s="123">
        <f t="shared" si="38"/>
        <v>1186.6264193188788</v>
      </c>
      <c r="AE130" s="123">
        <f t="shared" si="38"/>
        <v>1211.4384935232151</v>
      </c>
      <c r="AF130" s="123">
        <f t="shared" si="38"/>
        <v>1192.7069454662505</v>
      </c>
      <c r="AG130" s="123">
        <f t="shared" si="38"/>
        <v>1163.7948618263754</v>
      </c>
      <c r="AH130" s="123">
        <f t="shared" si="38"/>
        <v>1157.5564032784628</v>
      </c>
      <c r="AI130" s="123">
        <f t="shared" si="38"/>
        <v>1179.289482294924</v>
      </c>
      <c r="AJ130" s="123">
        <f t="shared" si="38"/>
        <v>1017.7026376064467</v>
      </c>
      <c r="AK130" s="123">
        <f t="shared" si="38"/>
        <v>-86.608153675487273</v>
      </c>
      <c r="AL130" s="123">
        <f t="shared" si="38"/>
        <v>-76.725707572841088</v>
      </c>
      <c r="AM130" s="123">
        <f t="shared" si="38"/>
        <v>-14.507995300988759</v>
      </c>
      <c r="AN130" s="123">
        <f t="shared" si="38"/>
        <v>-10.15559671069213</v>
      </c>
      <c r="AO130" s="123">
        <f t="shared" si="38"/>
        <v>-7.1089176974844914</v>
      </c>
      <c r="AP130" s="123">
        <f t="shared" si="38"/>
        <v>-4.976242388239144</v>
      </c>
      <c r="AQ130" s="123">
        <f t="shared" si="38"/>
        <v>-3.483369671767401</v>
      </c>
      <c r="AR130" s="123">
        <f t="shared" si="38"/>
        <v>-2.4383587702371807</v>
      </c>
      <c r="AS130" s="123">
        <f t="shared" si="38"/>
        <v>-1.7068511391660264</v>
      </c>
      <c r="AT130" s="123">
        <f t="shared" si="38"/>
        <v>-1.1947957974162184</v>
      </c>
      <c r="AU130" s="123">
        <f t="shared" si="38"/>
        <v>-0.83635705819135298</v>
      </c>
      <c r="AV130" s="123">
        <f t="shared" si="38"/>
        <v>-0.58544994073394707</v>
      </c>
    </row>
    <row r="131" spans="1:48" s="123" customFormat="1" ht="15" customHeight="1">
      <c r="A131" s="134"/>
      <c r="B131" s="134"/>
      <c r="C131" s="151"/>
      <c r="E131" s="123" t="s">
        <v>117</v>
      </c>
      <c r="G131" s="123" t="s">
        <v>29</v>
      </c>
      <c r="L131" s="123">
        <f t="shared" ref="L131:AV131" si="39" xml:space="preserve"> IF(L129 = 1, $F127 * -1, K132 * (K132 &lt; 0))</f>
        <v>-750</v>
      </c>
      <c r="M131" s="123">
        <f t="shared" si="39"/>
        <v>-750</v>
      </c>
      <c r="N131" s="123">
        <f t="shared" si="39"/>
        <v>-750</v>
      </c>
      <c r="O131" s="123">
        <f t="shared" si="39"/>
        <v>-750</v>
      </c>
      <c r="P131" s="123">
        <f t="shared" si="39"/>
        <v>-750</v>
      </c>
      <c r="Q131" s="123">
        <f t="shared" si="39"/>
        <v>-750</v>
      </c>
      <c r="R131" s="123">
        <f t="shared" si="39"/>
        <v>-218</v>
      </c>
      <c r="S131" s="123">
        <f t="shared" si="39"/>
        <v>0</v>
      </c>
      <c r="T131" s="123">
        <f t="shared" si="39"/>
        <v>0</v>
      </c>
      <c r="U131" s="123">
        <f t="shared" si="39"/>
        <v>0</v>
      </c>
      <c r="V131" s="123">
        <f t="shared" si="39"/>
        <v>0</v>
      </c>
      <c r="W131" s="123">
        <f t="shared" si="39"/>
        <v>0</v>
      </c>
      <c r="X131" s="123">
        <f t="shared" si="39"/>
        <v>0</v>
      </c>
      <c r="Y131" s="123">
        <f t="shared" si="39"/>
        <v>0</v>
      </c>
      <c r="Z131" s="123">
        <f t="shared" si="39"/>
        <v>0</v>
      </c>
      <c r="AA131" s="123">
        <f t="shared" si="39"/>
        <v>0</v>
      </c>
      <c r="AB131" s="123">
        <f t="shared" si="39"/>
        <v>0</v>
      </c>
      <c r="AC131" s="123">
        <f t="shared" si="39"/>
        <v>0</v>
      </c>
      <c r="AD131" s="123">
        <f t="shared" si="39"/>
        <v>0</v>
      </c>
      <c r="AE131" s="123">
        <f t="shared" si="39"/>
        <v>0</v>
      </c>
      <c r="AF131" s="123">
        <f t="shared" si="39"/>
        <v>0</v>
      </c>
      <c r="AG131" s="123">
        <f t="shared" si="39"/>
        <v>0</v>
      </c>
      <c r="AH131" s="123">
        <f t="shared" si="39"/>
        <v>0</v>
      </c>
      <c r="AI131" s="123">
        <f t="shared" si="39"/>
        <v>0</v>
      </c>
      <c r="AJ131" s="123">
        <f t="shared" si="39"/>
        <v>0</v>
      </c>
      <c r="AK131" s="123">
        <f t="shared" si="39"/>
        <v>0</v>
      </c>
      <c r="AL131" s="123">
        <f t="shared" si="39"/>
        <v>-86.608153675487273</v>
      </c>
      <c r="AM131" s="123">
        <f t="shared" si="39"/>
        <v>-163.33386124832836</v>
      </c>
      <c r="AN131" s="123">
        <f t="shared" si="39"/>
        <v>-177.84185654931713</v>
      </c>
      <c r="AO131" s="123">
        <f t="shared" si="39"/>
        <v>-187.99745326000925</v>
      </c>
      <c r="AP131" s="123">
        <f t="shared" si="39"/>
        <v>-195.10637095749374</v>
      </c>
      <c r="AQ131" s="123">
        <f t="shared" si="39"/>
        <v>-200.08261334573288</v>
      </c>
      <c r="AR131" s="123">
        <f t="shared" si="39"/>
        <v>-203.56598301750029</v>
      </c>
      <c r="AS131" s="123">
        <f t="shared" si="39"/>
        <v>-206.00434178773747</v>
      </c>
      <c r="AT131" s="123">
        <f t="shared" si="39"/>
        <v>-207.71119292690349</v>
      </c>
      <c r="AU131" s="123">
        <f t="shared" si="39"/>
        <v>-208.90598872431971</v>
      </c>
      <c r="AV131" s="123">
        <f t="shared" si="39"/>
        <v>-209.74234578251105</v>
      </c>
    </row>
    <row r="132" spans="1:48" s="123" customFormat="1" ht="15" customHeight="1">
      <c r="A132" s="134"/>
      <c r="B132" s="134"/>
      <c r="C132" s="151"/>
      <c r="E132" s="123" t="s">
        <v>118</v>
      </c>
      <c r="G132" s="123" t="s">
        <v>29</v>
      </c>
      <c r="K132" s="177"/>
      <c r="L132" s="123">
        <f t="shared" ref="L132:AV132" si="40" xml:space="preserve"> L130 + L131</f>
        <v>-750</v>
      </c>
      <c r="M132" s="123">
        <f t="shared" si="40"/>
        <v>-750</v>
      </c>
      <c r="N132" s="123">
        <f t="shared" si="40"/>
        <v>-750</v>
      </c>
      <c r="O132" s="123">
        <f t="shared" si="40"/>
        <v>-750</v>
      </c>
      <c r="P132" s="123">
        <f t="shared" si="40"/>
        <v>-750</v>
      </c>
      <c r="Q132" s="123">
        <f t="shared" si="40"/>
        <v>-218</v>
      </c>
      <c r="R132" s="123">
        <f t="shared" si="40"/>
        <v>425.79999999999995</v>
      </c>
      <c r="S132" s="123">
        <f t="shared" si="40"/>
        <v>782.16</v>
      </c>
      <c r="T132" s="123">
        <f t="shared" si="40"/>
        <v>1467.212</v>
      </c>
      <c r="U132" s="123">
        <f t="shared" si="40"/>
        <v>1655.9484</v>
      </c>
      <c r="V132" s="123">
        <f t="shared" si="40"/>
        <v>1564.46388</v>
      </c>
      <c r="W132" s="123">
        <f t="shared" si="40"/>
        <v>1466.5247159999999</v>
      </c>
      <c r="X132" s="123">
        <f t="shared" si="40"/>
        <v>1315.6673012000001</v>
      </c>
      <c r="Y132" s="123">
        <f t="shared" si="40"/>
        <v>1204.0671108399999</v>
      </c>
      <c r="Z132" s="123">
        <f t="shared" si="40"/>
        <v>1153.446977588</v>
      </c>
      <c r="AA132" s="123">
        <f t="shared" si="40"/>
        <v>1177.0128843115999</v>
      </c>
      <c r="AB132" s="123">
        <f t="shared" si="40"/>
        <v>1182.8090190181201</v>
      </c>
      <c r="AC132" s="123">
        <f t="shared" si="40"/>
        <v>1165.466313312684</v>
      </c>
      <c r="AD132" s="123">
        <f t="shared" si="40"/>
        <v>1186.6264193188788</v>
      </c>
      <c r="AE132" s="123">
        <f t="shared" si="40"/>
        <v>1211.4384935232151</v>
      </c>
      <c r="AF132" s="123">
        <f t="shared" si="40"/>
        <v>1192.7069454662505</v>
      </c>
      <c r="AG132" s="123">
        <f t="shared" si="40"/>
        <v>1163.7948618263754</v>
      </c>
      <c r="AH132" s="123">
        <f t="shared" si="40"/>
        <v>1157.5564032784628</v>
      </c>
      <c r="AI132" s="123">
        <f t="shared" si="40"/>
        <v>1179.289482294924</v>
      </c>
      <c r="AJ132" s="123">
        <f t="shared" si="40"/>
        <v>1017.7026376064467</v>
      </c>
      <c r="AK132" s="123">
        <f t="shared" si="40"/>
        <v>-86.608153675487273</v>
      </c>
      <c r="AL132" s="123">
        <f t="shared" si="40"/>
        <v>-163.33386124832836</v>
      </c>
      <c r="AM132" s="123">
        <f t="shared" si="40"/>
        <v>-177.84185654931713</v>
      </c>
      <c r="AN132" s="123">
        <f t="shared" si="40"/>
        <v>-187.99745326000925</v>
      </c>
      <c r="AO132" s="123">
        <f t="shared" si="40"/>
        <v>-195.10637095749374</v>
      </c>
      <c r="AP132" s="123">
        <f t="shared" si="40"/>
        <v>-200.08261334573288</v>
      </c>
      <c r="AQ132" s="123">
        <f t="shared" si="40"/>
        <v>-203.56598301750029</v>
      </c>
      <c r="AR132" s="123">
        <f t="shared" si="40"/>
        <v>-206.00434178773747</v>
      </c>
      <c r="AS132" s="123">
        <f t="shared" si="40"/>
        <v>-207.71119292690349</v>
      </c>
      <c r="AT132" s="123">
        <f t="shared" si="40"/>
        <v>-208.90598872431971</v>
      </c>
      <c r="AU132" s="123">
        <f t="shared" si="40"/>
        <v>-209.74234578251105</v>
      </c>
      <c r="AV132" s="123">
        <f t="shared" si="40"/>
        <v>-210.327795723245</v>
      </c>
    </row>
    <row r="133" spans="1:48" s="123" customFormat="1" ht="15" customHeight="1">
      <c r="A133" s="134"/>
      <c r="B133" s="134"/>
      <c r="C133" s="151"/>
    </row>
    <row r="134" spans="1:48" s="123" customFormat="1" ht="15" customHeight="1">
      <c r="A134" s="134"/>
      <c r="B134" s="134"/>
      <c r="C134" s="151"/>
      <c r="E134" s="123" t="s">
        <v>119</v>
      </c>
      <c r="F134" s="137">
        <v>0.3</v>
      </c>
      <c r="G134" s="123" t="s">
        <v>26</v>
      </c>
    </row>
    <row r="135" spans="1:48" s="123" customFormat="1" ht="15" customHeight="1">
      <c r="A135" s="134"/>
      <c r="B135" s="134"/>
      <c r="C135" s="151"/>
      <c r="E135" s="123" t="s">
        <v>120</v>
      </c>
      <c r="G135" s="123" t="s">
        <v>29</v>
      </c>
      <c r="J135" s="123">
        <f xml:space="preserve"> SUM(L135:AV135)</f>
        <v>6800.9081536754857</v>
      </c>
      <c r="L135" s="123">
        <f t="shared" ref="L135:AV135" si="41" xml:space="preserve"> L132 * $F134 * (L132 &gt; 0)</f>
        <v>0</v>
      </c>
      <c r="M135" s="123">
        <f t="shared" si="41"/>
        <v>0</v>
      </c>
      <c r="N135" s="123">
        <f t="shared" si="41"/>
        <v>0</v>
      </c>
      <c r="O135" s="123">
        <f t="shared" si="41"/>
        <v>0</v>
      </c>
      <c r="P135" s="123">
        <f t="shared" si="41"/>
        <v>0</v>
      </c>
      <c r="Q135" s="123">
        <f t="shared" si="41"/>
        <v>0</v>
      </c>
      <c r="R135" s="123">
        <f t="shared" si="41"/>
        <v>127.73999999999998</v>
      </c>
      <c r="S135" s="123">
        <f t="shared" si="41"/>
        <v>234.64799999999997</v>
      </c>
      <c r="T135" s="123">
        <f t="shared" si="41"/>
        <v>440.16359999999997</v>
      </c>
      <c r="U135" s="123">
        <f t="shared" si="41"/>
        <v>496.78451999999999</v>
      </c>
      <c r="V135" s="123">
        <f t="shared" si="41"/>
        <v>469.33916399999998</v>
      </c>
      <c r="W135" s="123">
        <f t="shared" si="41"/>
        <v>439.95741479999998</v>
      </c>
      <c r="X135" s="123">
        <f t="shared" si="41"/>
        <v>394.70019036000002</v>
      </c>
      <c r="Y135" s="123">
        <f t="shared" si="41"/>
        <v>361.22013325199998</v>
      </c>
      <c r="Z135" s="123">
        <f t="shared" si="41"/>
        <v>346.03409327639997</v>
      </c>
      <c r="AA135" s="123">
        <f t="shared" si="41"/>
        <v>353.10386529347994</v>
      </c>
      <c r="AB135" s="123">
        <f t="shared" si="41"/>
        <v>354.842705705436</v>
      </c>
      <c r="AC135" s="123">
        <f t="shared" si="41"/>
        <v>349.63989399380517</v>
      </c>
      <c r="AD135" s="123">
        <f t="shared" si="41"/>
        <v>355.98792579566361</v>
      </c>
      <c r="AE135" s="123">
        <f t="shared" si="41"/>
        <v>363.43154805696452</v>
      </c>
      <c r="AF135" s="123">
        <f t="shared" si="41"/>
        <v>357.81208363987514</v>
      </c>
      <c r="AG135" s="123">
        <f t="shared" si="41"/>
        <v>349.13845854791259</v>
      </c>
      <c r="AH135" s="123">
        <f t="shared" si="41"/>
        <v>347.2669209835388</v>
      </c>
      <c r="AI135" s="123">
        <f t="shared" si="41"/>
        <v>353.78684468847717</v>
      </c>
      <c r="AJ135" s="123">
        <f t="shared" si="41"/>
        <v>305.31079128193403</v>
      </c>
      <c r="AK135" s="123">
        <f t="shared" si="41"/>
        <v>0</v>
      </c>
      <c r="AL135" s="123">
        <f t="shared" si="41"/>
        <v>0</v>
      </c>
      <c r="AM135" s="123">
        <f t="shared" si="41"/>
        <v>0</v>
      </c>
      <c r="AN135" s="123">
        <f t="shared" si="41"/>
        <v>0</v>
      </c>
      <c r="AO135" s="123">
        <f t="shared" si="41"/>
        <v>0</v>
      </c>
      <c r="AP135" s="123">
        <f t="shared" si="41"/>
        <v>0</v>
      </c>
      <c r="AQ135" s="123">
        <f t="shared" si="41"/>
        <v>0</v>
      </c>
      <c r="AR135" s="123">
        <f t="shared" si="41"/>
        <v>0</v>
      </c>
      <c r="AS135" s="123">
        <f t="shared" si="41"/>
        <v>0</v>
      </c>
      <c r="AT135" s="123">
        <f t="shared" si="41"/>
        <v>0</v>
      </c>
      <c r="AU135" s="123">
        <f t="shared" si="41"/>
        <v>0</v>
      </c>
      <c r="AV135" s="123">
        <f t="shared" si="41"/>
        <v>0</v>
      </c>
    </row>
    <row r="136" spans="1:48" s="132" customFormat="1" ht="15" customHeight="1">
      <c r="A136" s="133"/>
      <c r="B136" s="133"/>
      <c r="C136" s="151"/>
      <c r="E136" s="170" t="str">
        <f xml:space="preserve"> InputsTS!E$419</f>
        <v>Taxation 2011TR</v>
      </c>
      <c r="F136" s="170">
        <f xml:space="preserve"> InputsTS!F$419</f>
        <v>0</v>
      </c>
      <c r="G136" s="170" t="str">
        <f xml:space="preserve"> InputsTS!G$419</f>
        <v>$ mn</v>
      </c>
      <c r="H136" s="170">
        <f xml:space="preserve"> InputsTS!H$419</f>
        <v>0</v>
      </c>
      <c r="I136" s="170" t="str">
        <f xml:space="preserve"> InputsTS!I$419</f>
        <v>XVII</v>
      </c>
      <c r="J136" s="170">
        <f xml:space="preserve"> InputsTS!J$419</f>
        <v>-6829</v>
      </c>
      <c r="K136" s="170">
        <f xml:space="preserve"> InputsTS!K$419</f>
        <v>0</v>
      </c>
      <c r="L136" s="170">
        <f xml:space="preserve"> InputsTS!L$419</f>
        <v>0</v>
      </c>
      <c r="M136" s="170">
        <f xml:space="preserve"> InputsTS!M$419</f>
        <v>0</v>
      </c>
      <c r="N136" s="170">
        <f xml:space="preserve"> InputsTS!N$419</f>
        <v>0</v>
      </c>
      <c r="O136" s="170">
        <f xml:space="preserve"> InputsTS!O$419</f>
        <v>0</v>
      </c>
      <c r="P136" s="170">
        <f xml:space="preserve"> InputsTS!P$419</f>
        <v>0</v>
      </c>
      <c r="Q136" s="170">
        <f xml:space="preserve"> InputsTS!Q$419</f>
        <v>-1</v>
      </c>
      <c r="R136" s="170">
        <f xml:space="preserve"> InputsTS!R$419</f>
        <v>-2</v>
      </c>
      <c r="S136" s="170">
        <f xml:space="preserve"> InputsTS!S$419</f>
        <v>-2</v>
      </c>
      <c r="T136" s="170">
        <f xml:space="preserve"> InputsTS!T$419</f>
        <v>-284</v>
      </c>
      <c r="U136" s="170">
        <f xml:space="preserve"> InputsTS!U$419</f>
        <v>-653</v>
      </c>
      <c r="V136" s="170">
        <f xml:space="preserve"> InputsTS!V$419</f>
        <v>-544</v>
      </c>
      <c r="W136" s="170">
        <f xml:space="preserve"> InputsTS!W$419</f>
        <v>-452</v>
      </c>
      <c r="X136" s="170">
        <f xml:space="preserve"> InputsTS!X$419</f>
        <v>-414</v>
      </c>
      <c r="Y136" s="170">
        <f xml:space="preserve"> InputsTS!Y$419</f>
        <v>-359</v>
      </c>
      <c r="Z136" s="170">
        <f xml:space="preserve"> InputsTS!Z$419</f>
        <v>-330</v>
      </c>
      <c r="AA136" s="170">
        <f xml:space="preserve"> InputsTS!AA$419</f>
        <v>-335</v>
      </c>
      <c r="AB136" s="170">
        <f xml:space="preserve"> InputsTS!AB$419</f>
        <v>-356</v>
      </c>
      <c r="AC136" s="170">
        <f xml:space="preserve"> InputsTS!AC$419</f>
        <v>-355</v>
      </c>
      <c r="AD136" s="170">
        <f xml:space="preserve"> InputsTS!AD$419</f>
        <v>-346</v>
      </c>
      <c r="AE136" s="170">
        <f xml:space="preserve"> InputsTS!AE$419</f>
        <v>-362</v>
      </c>
      <c r="AF136" s="170">
        <f xml:space="preserve"> InputsTS!AF$419</f>
        <v>-369</v>
      </c>
      <c r="AG136" s="170">
        <f xml:space="preserve"> InputsTS!AG$419</f>
        <v>-354</v>
      </c>
      <c r="AH136" s="170">
        <f xml:space="preserve"> InputsTS!AH$419</f>
        <v>-342</v>
      </c>
      <c r="AI136" s="170">
        <f xml:space="preserve"> InputsTS!AI$419</f>
        <v>-348</v>
      </c>
      <c r="AJ136" s="170">
        <f xml:space="preserve"> InputsTS!AJ$419</f>
        <v>-358</v>
      </c>
      <c r="AK136" s="170">
        <f xml:space="preserve"> InputsTS!AK$419</f>
        <v>-263</v>
      </c>
      <c r="AL136" s="170">
        <f xml:space="preserve"> InputsTS!AL$419</f>
        <v>0</v>
      </c>
      <c r="AM136" s="170">
        <f xml:space="preserve"> InputsTS!AM$419</f>
        <v>0</v>
      </c>
      <c r="AN136" s="170">
        <f xml:space="preserve"> InputsTS!AN$419</f>
        <v>0</v>
      </c>
      <c r="AO136" s="170">
        <f xml:space="preserve"> InputsTS!AO$419</f>
        <v>0</v>
      </c>
      <c r="AP136" s="170">
        <f xml:space="preserve"> InputsTS!AP$419</f>
        <v>0</v>
      </c>
      <c r="AQ136" s="170">
        <f xml:space="preserve"> InputsTS!AQ$419</f>
        <v>0</v>
      </c>
      <c r="AR136" s="170">
        <f xml:space="preserve"> InputsTS!AR$419</f>
        <v>0</v>
      </c>
      <c r="AS136" s="170">
        <f xml:space="preserve"> InputsTS!AS$419</f>
        <v>0</v>
      </c>
      <c r="AT136" s="170">
        <f xml:space="preserve"> InputsTS!AT$419</f>
        <v>0</v>
      </c>
      <c r="AU136" s="170">
        <f xml:space="preserve"> InputsTS!AU$419</f>
        <v>0</v>
      </c>
      <c r="AV136" s="170">
        <f xml:space="preserve"> InputsTS!AV$419</f>
        <v>0</v>
      </c>
    </row>
    <row r="137" spans="1:48" s="123" customFormat="1" ht="15" customHeight="1">
      <c r="A137" s="134"/>
      <c r="B137" s="134"/>
      <c r="C137" s="151"/>
      <c r="E137" s="123" t="str">
        <f xml:space="preserve"> E136 &amp; " POS"</f>
        <v>Taxation 2011TR POS</v>
      </c>
      <c r="G137" s="123" t="str">
        <f xml:space="preserve"> G136</f>
        <v>$ mn</v>
      </c>
      <c r="J137" s="123">
        <f xml:space="preserve"> SUM(L137:AV137)</f>
        <v>6829</v>
      </c>
      <c r="L137" s="123">
        <f t="shared" ref="L137:AV137" si="42" xml:space="preserve"> L136 * -1</f>
        <v>0</v>
      </c>
      <c r="M137" s="123">
        <f t="shared" si="42"/>
        <v>0</v>
      </c>
      <c r="N137" s="123">
        <f t="shared" si="42"/>
        <v>0</v>
      </c>
      <c r="O137" s="123">
        <f t="shared" si="42"/>
        <v>0</v>
      </c>
      <c r="P137" s="123">
        <f t="shared" si="42"/>
        <v>0</v>
      </c>
      <c r="Q137" s="123">
        <f t="shared" si="42"/>
        <v>1</v>
      </c>
      <c r="R137" s="123">
        <f t="shared" si="42"/>
        <v>2</v>
      </c>
      <c r="S137" s="123">
        <f t="shared" si="42"/>
        <v>2</v>
      </c>
      <c r="T137" s="123">
        <f t="shared" si="42"/>
        <v>284</v>
      </c>
      <c r="U137" s="123">
        <f t="shared" si="42"/>
        <v>653</v>
      </c>
      <c r="V137" s="123">
        <f t="shared" si="42"/>
        <v>544</v>
      </c>
      <c r="W137" s="123">
        <f t="shared" si="42"/>
        <v>452</v>
      </c>
      <c r="X137" s="123">
        <f t="shared" si="42"/>
        <v>414</v>
      </c>
      <c r="Y137" s="123">
        <f t="shared" si="42"/>
        <v>359</v>
      </c>
      <c r="Z137" s="123">
        <f t="shared" si="42"/>
        <v>330</v>
      </c>
      <c r="AA137" s="123">
        <f t="shared" si="42"/>
        <v>335</v>
      </c>
      <c r="AB137" s="123">
        <f t="shared" si="42"/>
        <v>356</v>
      </c>
      <c r="AC137" s="123">
        <f t="shared" si="42"/>
        <v>355</v>
      </c>
      <c r="AD137" s="123">
        <f t="shared" si="42"/>
        <v>346</v>
      </c>
      <c r="AE137" s="123">
        <f t="shared" si="42"/>
        <v>362</v>
      </c>
      <c r="AF137" s="123">
        <f t="shared" si="42"/>
        <v>369</v>
      </c>
      <c r="AG137" s="123">
        <f t="shared" si="42"/>
        <v>354</v>
      </c>
      <c r="AH137" s="123">
        <f t="shared" si="42"/>
        <v>342</v>
      </c>
      <c r="AI137" s="123">
        <f t="shared" si="42"/>
        <v>348</v>
      </c>
      <c r="AJ137" s="123">
        <f t="shared" si="42"/>
        <v>358</v>
      </c>
      <c r="AK137" s="123">
        <f t="shared" si="42"/>
        <v>263</v>
      </c>
      <c r="AL137" s="123">
        <f t="shared" si="42"/>
        <v>0</v>
      </c>
      <c r="AM137" s="123">
        <f t="shared" si="42"/>
        <v>0</v>
      </c>
      <c r="AN137" s="123">
        <f t="shared" si="42"/>
        <v>0</v>
      </c>
      <c r="AO137" s="123">
        <f t="shared" si="42"/>
        <v>0</v>
      </c>
      <c r="AP137" s="123">
        <f t="shared" si="42"/>
        <v>0</v>
      </c>
      <c r="AQ137" s="123">
        <f t="shared" si="42"/>
        <v>0</v>
      </c>
      <c r="AR137" s="123">
        <f t="shared" si="42"/>
        <v>0</v>
      </c>
      <c r="AS137" s="123">
        <f t="shared" si="42"/>
        <v>0</v>
      </c>
      <c r="AT137" s="123">
        <f t="shared" si="42"/>
        <v>0</v>
      </c>
      <c r="AU137" s="123">
        <f t="shared" si="42"/>
        <v>0</v>
      </c>
      <c r="AV137" s="123">
        <f t="shared" si="42"/>
        <v>0</v>
      </c>
    </row>
    <row r="138" spans="1:48" s="123" customFormat="1" ht="15" customHeight="1">
      <c r="A138" s="134"/>
      <c r="B138" s="134"/>
      <c r="C138" s="151"/>
    </row>
    <row r="139" spans="1:48" s="123" customFormat="1" ht="15" customHeight="1">
      <c r="A139" s="134"/>
      <c r="B139" s="134"/>
      <c r="C139" s="151" t="s">
        <v>201</v>
      </c>
    </row>
    <row r="140" spans="1:48" s="123" customFormat="1" ht="15" customHeight="1">
      <c r="A140" s="134"/>
      <c r="B140" s="134"/>
      <c r="C140" s="151"/>
      <c r="E140" s="123" t="str">
        <f xml:space="preserve"> E135</f>
        <v>CIT payable (calculated)</v>
      </c>
      <c r="F140" s="123">
        <f xml:space="preserve"> SUM(L135:AV135)</f>
        <v>6800.9081536754857</v>
      </c>
      <c r="G140" s="123" t="s">
        <v>29</v>
      </c>
    </row>
    <row r="141" spans="1:48" s="123" customFormat="1" ht="15" customHeight="1">
      <c r="A141" s="134"/>
      <c r="B141" s="134"/>
      <c r="C141" s="151"/>
      <c r="E141" s="123" t="s">
        <v>202</v>
      </c>
      <c r="F141" s="159">
        <f xml:space="preserve"> F140 + F143</f>
        <v>-28.091846324514336</v>
      </c>
      <c r="G141" s="123" t="s">
        <v>29</v>
      </c>
      <c r="I141" s="136" t="s">
        <v>203</v>
      </c>
    </row>
    <row r="142" spans="1:48" s="123" customFormat="1" ht="15" customHeight="1">
      <c r="A142" s="134"/>
      <c r="B142" s="134"/>
      <c r="C142" s="151"/>
      <c r="E142" s="123" t="s">
        <v>202</v>
      </c>
      <c r="F142" s="78">
        <f xml:space="preserve"> F141 / F143</f>
        <v>4.1136105322176503E-3</v>
      </c>
      <c r="G142" s="123" t="s">
        <v>29</v>
      </c>
      <c r="I142" s="78"/>
    </row>
    <row r="143" spans="1:48" s="123" customFormat="1" ht="15" customHeight="1">
      <c r="A143" s="134"/>
      <c r="B143" s="134"/>
      <c r="C143" s="151"/>
      <c r="E143" s="123" t="str">
        <f xml:space="preserve"> E136</f>
        <v>Taxation 2011TR</v>
      </c>
      <c r="F143" s="123">
        <f xml:space="preserve"> SUM(L136:AV136)</f>
        <v>-6829</v>
      </c>
      <c r="G143" s="123" t="s">
        <v>29</v>
      </c>
    </row>
    <row r="144" spans="1:48" s="123" customFormat="1" ht="15" customHeight="1">
      <c r="A144" s="134"/>
      <c r="B144" s="134"/>
      <c r="C144" s="151"/>
    </row>
    <row r="145" spans="1:48" s="160" customFormat="1" ht="15" customHeight="1">
      <c r="A145" s="164" t="s">
        <v>204</v>
      </c>
      <c r="B145" s="162"/>
      <c r="C145" s="192"/>
      <c r="D145" s="163"/>
      <c r="E145" s="162"/>
      <c r="F145" s="162"/>
      <c r="G145" s="162"/>
      <c r="H145" s="162"/>
    </row>
    <row r="146" spans="1:48" s="229" customFormat="1" ht="15" customHeight="1">
      <c r="A146" s="225"/>
      <c r="B146" s="226"/>
      <c r="C146" s="227"/>
      <c r="D146" s="228"/>
      <c r="E146" s="226"/>
      <c r="F146" s="226"/>
      <c r="G146" s="226"/>
      <c r="H146" s="226"/>
    </row>
    <row r="147" spans="1:48" ht="15" customHeight="1">
      <c r="B147" s="111" t="s">
        <v>205</v>
      </c>
    </row>
    <row r="148" spans="1:48" ht="15" customHeight="1">
      <c r="E148" s="170" t="str">
        <f xml:space="preserve"> InputsTS!E$411</f>
        <v>Revenue 2011TR</v>
      </c>
      <c r="F148" s="170">
        <f xml:space="preserve"> InputsTS!F$411</f>
        <v>0</v>
      </c>
      <c r="G148" s="170" t="str">
        <f xml:space="preserve"> InputsTS!G$411</f>
        <v>$ mn</v>
      </c>
      <c r="H148" s="170">
        <f xml:space="preserve"> InputsTS!H$411</f>
        <v>0</v>
      </c>
      <c r="I148" s="170" t="str">
        <f xml:space="preserve"> InputsTS!I$411</f>
        <v>XVII</v>
      </c>
      <c r="J148" s="170">
        <f xml:space="preserve"> InputsTS!J$411</f>
        <v>45013</v>
      </c>
      <c r="K148" s="170">
        <f xml:space="preserve"> InputsTS!K$411</f>
        <v>0</v>
      </c>
      <c r="L148" s="170">
        <f xml:space="preserve"> InputsTS!L$411</f>
        <v>0</v>
      </c>
      <c r="M148" s="170">
        <f xml:space="preserve"> InputsTS!M$411</f>
        <v>0</v>
      </c>
      <c r="N148" s="170">
        <f xml:space="preserve"> InputsTS!N$411</f>
        <v>0</v>
      </c>
      <c r="O148" s="170">
        <f xml:space="preserve"> InputsTS!O$411</f>
        <v>0</v>
      </c>
      <c r="P148" s="170">
        <f xml:space="preserve"> InputsTS!P$411</f>
        <v>0</v>
      </c>
      <c r="Q148" s="170">
        <f xml:space="preserve"> InputsTS!Q$411</f>
        <v>1365</v>
      </c>
      <c r="R148" s="170">
        <f xml:space="preserve"> InputsTS!R$411</f>
        <v>1583</v>
      </c>
      <c r="S148" s="170">
        <f xml:space="preserve"> InputsTS!S$411</f>
        <v>1795</v>
      </c>
      <c r="T148" s="170">
        <f xml:space="preserve"> InputsTS!T$411</f>
        <v>2497</v>
      </c>
      <c r="U148" s="170">
        <f xml:space="preserve"> InputsTS!U$411</f>
        <v>2789</v>
      </c>
      <c r="V148" s="170">
        <f xml:space="preserve"> InputsTS!V$411</f>
        <v>2637</v>
      </c>
      <c r="W148" s="170">
        <f xml:space="preserve"> InputsTS!W$411</f>
        <v>2609</v>
      </c>
      <c r="X148" s="170">
        <f xml:space="preserve"> InputsTS!X$411</f>
        <v>2455</v>
      </c>
      <c r="Y148" s="170">
        <f xml:space="preserve"> InputsTS!Y$411</f>
        <v>2324</v>
      </c>
      <c r="Z148" s="170">
        <f xml:space="preserve"> InputsTS!Z$411</f>
        <v>2320</v>
      </c>
      <c r="AA148" s="170">
        <f xml:space="preserve"> InputsTS!AA$411</f>
        <v>2318</v>
      </c>
      <c r="AB148" s="170">
        <f xml:space="preserve"> InputsTS!AB$411</f>
        <v>2354</v>
      </c>
      <c r="AC148" s="170">
        <f xml:space="preserve"> InputsTS!AC$411</f>
        <v>2362</v>
      </c>
      <c r="AD148" s="170">
        <f xml:space="preserve"> InputsTS!AD$411</f>
        <v>2369</v>
      </c>
      <c r="AE148" s="170">
        <f xml:space="preserve"> InputsTS!AE$411</f>
        <v>2363</v>
      </c>
      <c r="AF148" s="170">
        <f xml:space="preserve"> InputsTS!AF$411</f>
        <v>2332</v>
      </c>
      <c r="AG148" s="170">
        <f xml:space="preserve"> InputsTS!AG$411</f>
        <v>2273</v>
      </c>
      <c r="AH148" s="170">
        <f xml:space="preserve"> InputsTS!AH$411</f>
        <v>2258</v>
      </c>
      <c r="AI148" s="170">
        <f xml:space="preserve"> InputsTS!AI$411</f>
        <v>2167</v>
      </c>
      <c r="AJ148" s="170">
        <f xml:space="preserve"> InputsTS!AJ$411</f>
        <v>1843</v>
      </c>
      <c r="AK148" s="170">
        <f xml:space="preserve"> InputsTS!AK$411</f>
        <v>0</v>
      </c>
      <c r="AL148" s="170">
        <f xml:space="preserve"> InputsTS!AL$411</f>
        <v>0</v>
      </c>
      <c r="AM148" s="170">
        <f xml:space="preserve"> InputsTS!AM$411</f>
        <v>0</v>
      </c>
      <c r="AN148" s="170">
        <f xml:space="preserve"> InputsTS!AN$411</f>
        <v>0</v>
      </c>
      <c r="AO148" s="170">
        <f xml:space="preserve"> InputsTS!AO$411</f>
        <v>0</v>
      </c>
      <c r="AP148" s="170">
        <f xml:space="preserve"> InputsTS!AP$411</f>
        <v>0</v>
      </c>
      <c r="AQ148" s="170">
        <f xml:space="preserve"> InputsTS!AQ$411</f>
        <v>0</v>
      </c>
      <c r="AR148" s="170">
        <f xml:space="preserve"> InputsTS!AR$411</f>
        <v>0</v>
      </c>
      <c r="AS148" s="170">
        <f xml:space="preserve"> InputsTS!AS$411</f>
        <v>0</v>
      </c>
      <c r="AT148" s="170">
        <f xml:space="preserve"> InputsTS!AT$411</f>
        <v>0</v>
      </c>
      <c r="AU148" s="170">
        <f xml:space="preserve"> InputsTS!AU$411</f>
        <v>0</v>
      </c>
      <c r="AV148" s="170">
        <f xml:space="preserve"> InputsTS!AV$411</f>
        <v>0</v>
      </c>
    </row>
    <row r="149" spans="1:48" s="93" customFormat="1" ht="15" customHeight="1">
      <c r="A149" s="92"/>
      <c r="B149" s="92"/>
      <c r="C149" s="149"/>
      <c r="E149" s="170" t="str">
        <f xml:space="preserve"> InputsTS!E$412</f>
        <v>Freight, Insurance &amp; Sales 2011TR</v>
      </c>
      <c r="F149" s="170">
        <f xml:space="preserve"> InputsTS!F$412</f>
        <v>0</v>
      </c>
      <c r="G149" s="170" t="str">
        <f xml:space="preserve"> InputsTS!G$412</f>
        <v>$ mn</v>
      </c>
      <c r="H149" s="170">
        <f xml:space="preserve"> InputsTS!H$412</f>
        <v>0</v>
      </c>
      <c r="I149" s="170" t="str">
        <f xml:space="preserve"> InputsTS!I$412</f>
        <v>XVII</v>
      </c>
      <c r="J149" s="170">
        <f xml:space="preserve"> InputsTS!J$412</f>
        <v>-4714</v>
      </c>
      <c r="K149" s="170">
        <f xml:space="preserve"> InputsTS!K$412</f>
        <v>0</v>
      </c>
      <c r="L149" s="170">
        <f xml:space="preserve"> InputsTS!L$412</f>
        <v>0</v>
      </c>
      <c r="M149" s="170">
        <f xml:space="preserve"> InputsTS!M$412</f>
        <v>0</v>
      </c>
      <c r="N149" s="170">
        <f xml:space="preserve"> InputsTS!N$412</f>
        <v>0</v>
      </c>
      <c r="O149" s="170">
        <f xml:space="preserve"> InputsTS!O$412</f>
        <v>0</v>
      </c>
      <c r="P149" s="170">
        <f xml:space="preserve"> InputsTS!P$412</f>
        <v>0</v>
      </c>
      <c r="Q149" s="170">
        <f xml:space="preserve"> InputsTS!Q$412</f>
        <v>-151</v>
      </c>
      <c r="R149" s="170">
        <f xml:space="preserve"> InputsTS!R$412</f>
        <v>-123</v>
      </c>
      <c r="S149" s="170">
        <f xml:space="preserve"> InputsTS!S$412</f>
        <v>-145</v>
      </c>
      <c r="T149" s="170">
        <f xml:space="preserve"> InputsTS!T$412</f>
        <v>-208</v>
      </c>
      <c r="U149" s="170">
        <f xml:space="preserve"> InputsTS!U$412</f>
        <v>-243</v>
      </c>
      <c r="V149" s="170">
        <f xml:space="preserve"> InputsTS!V$412</f>
        <v>-247</v>
      </c>
      <c r="W149" s="170">
        <f xml:space="preserve"> InputsTS!W$412</f>
        <v>-263</v>
      </c>
      <c r="X149" s="170">
        <f xml:space="preserve"> InputsTS!X$412</f>
        <v>-261</v>
      </c>
      <c r="Y149" s="170">
        <f xml:space="preserve"> InputsTS!Y$412</f>
        <v>-258</v>
      </c>
      <c r="Z149" s="170">
        <f xml:space="preserve"> InputsTS!Z$412</f>
        <v>-262</v>
      </c>
      <c r="AA149" s="170">
        <f xml:space="preserve"> InputsTS!AA$412</f>
        <v>-262</v>
      </c>
      <c r="AB149" s="170">
        <f xml:space="preserve"> InputsTS!AB$412</f>
        <v>-266</v>
      </c>
      <c r="AC149" s="170">
        <f xml:space="preserve"> InputsTS!AC$412</f>
        <v>-267</v>
      </c>
      <c r="AD149" s="170">
        <f xml:space="preserve"> InputsTS!AD$412</f>
        <v>-268</v>
      </c>
      <c r="AE149" s="170">
        <f xml:space="preserve"> InputsTS!AE$412</f>
        <v>-267</v>
      </c>
      <c r="AF149" s="170">
        <f xml:space="preserve"> InputsTS!AF$412</f>
        <v>-264</v>
      </c>
      <c r="AG149" s="170">
        <f xml:space="preserve"> InputsTS!AG$412</f>
        <v>-257</v>
      </c>
      <c r="AH149" s="170">
        <f xml:space="preserve"> InputsTS!AH$412</f>
        <v>-255</v>
      </c>
      <c r="AI149" s="170">
        <f xml:space="preserve"> InputsTS!AI$412</f>
        <v>-243</v>
      </c>
      <c r="AJ149" s="170">
        <f xml:space="preserve"> InputsTS!AJ$412</f>
        <v>-204</v>
      </c>
      <c r="AK149" s="170">
        <f xml:space="preserve"> InputsTS!AK$412</f>
        <v>0</v>
      </c>
      <c r="AL149" s="170">
        <f xml:space="preserve"> InputsTS!AL$412</f>
        <v>0</v>
      </c>
      <c r="AM149" s="170">
        <f xml:space="preserve"> InputsTS!AM$412</f>
        <v>0</v>
      </c>
      <c r="AN149" s="170">
        <f xml:space="preserve"> InputsTS!AN$412</f>
        <v>0</v>
      </c>
      <c r="AO149" s="170">
        <f xml:space="preserve"> InputsTS!AO$412</f>
        <v>0</v>
      </c>
      <c r="AP149" s="170">
        <f xml:space="preserve"> InputsTS!AP$412</f>
        <v>0</v>
      </c>
      <c r="AQ149" s="170">
        <f xml:space="preserve"> InputsTS!AQ$412</f>
        <v>0</v>
      </c>
      <c r="AR149" s="170">
        <f xml:space="preserve"> InputsTS!AR$412</f>
        <v>0</v>
      </c>
      <c r="AS149" s="170">
        <f xml:space="preserve"> InputsTS!AS$412</f>
        <v>0</v>
      </c>
      <c r="AT149" s="170">
        <f xml:space="preserve"> InputsTS!AT$412</f>
        <v>0</v>
      </c>
      <c r="AU149" s="170">
        <f xml:space="preserve"> InputsTS!AU$412</f>
        <v>0</v>
      </c>
      <c r="AV149" s="170">
        <f xml:space="preserve"> InputsTS!AV$412</f>
        <v>0</v>
      </c>
    </row>
    <row r="150" spans="1:48" ht="15" customHeight="1">
      <c r="E150" s="170" t="str">
        <f xml:space="preserve"> InputsTS!E$413</f>
        <v>Royalties 2011TR</v>
      </c>
      <c r="F150" s="170">
        <f xml:space="preserve"> InputsTS!F$413</f>
        <v>0</v>
      </c>
      <c r="G150" s="170" t="str">
        <f xml:space="preserve"> InputsTS!G$413</f>
        <v>$ mn</v>
      </c>
      <c r="H150" s="170">
        <f xml:space="preserve"> InputsTS!H$413</f>
        <v>0</v>
      </c>
      <c r="I150" s="170" t="str">
        <f xml:space="preserve"> InputsTS!I$413</f>
        <v>XVII</v>
      </c>
      <c r="J150" s="170">
        <f xml:space="preserve"> InputsTS!J$413</f>
        <v>-1755</v>
      </c>
      <c r="K150" s="170">
        <f xml:space="preserve"> InputsTS!K$413</f>
        <v>0</v>
      </c>
      <c r="L150" s="170">
        <f xml:space="preserve"> InputsTS!L$413</f>
        <v>0</v>
      </c>
      <c r="M150" s="170">
        <f xml:space="preserve"> InputsTS!M$413</f>
        <v>0</v>
      </c>
      <c r="N150" s="170">
        <f xml:space="preserve"> InputsTS!N$413</f>
        <v>0</v>
      </c>
      <c r="O150" s="170">
        <f xml:space="preserve"> InputsTS!O$413</f>
        <v>0</v>
      </c>
      <c r="P150" s="170">
        <f xml:space="preserve"> InputsTS!P$413</f>
        <v>0</v>
      </c>
      <c r="Q150" s="170">
        <f xml:space="preserve"> InputsTS!Q$413</f>
        <v>-55</v>
      </c>
      <c r="R150" s="170">
        <f xml:space="preserve"> InputsTS!R$413</f>
        <v>-66</v>
      </c>
      <c r="S150" s="170">
        <f xml:space="preserve"> InputsTS!S$413</f>
        <v>-74</v>
      </c>
      <c r="T150" s="170">
        <f xml:space="preserve"> InputsTS!T$413</f>
        <v>-103</v>
      </c>
      <c r="U150" s="170">
        <f xml:space="preserve"> InputsTS!U$413</f>
        <v>-83</v>
      </c>
      <c r="V150" s="170">
        <f xml:space="preserve"> InputsTS!V$413</f>
        <v>-78</v>
      </c>
      <c r="W150" s="170">
        <f xml:space="preserve"> InputsTS!W$413</f>
        <v>-106</v>
      </c>
      <c r="X150" s="170">
        <f xml:space="preserve"> InputsTS!X$413</f>
        <v>-99</v>
      </c>
      <c r="Y150" s="170">
        <f xml:space="preserve"> InputsTS!Y$413</f>
        <v>-93</v>
      </c>
      <c r="Z150" s="170">
        <f xml:space="preserve"> InputsTS!Z$413</f>
        <v>-93</v>
      </c>
      <c r="AA150" s="170">
        <f xml:space="preserve"> InputsTS!AA$413</f>
        <v>-93</v>
      </c>
      <c r="AB150" s="170">
        <f xml:space="preserve"> InputsTS!AB$413</f>
        <v>-94</v>
      </c>
      <c r="AC150" s="170">
        <f xml:space="preserve"> InputsTS!AC$413</f>
        <v>-94</v>
      </c>
      <c r="AD150" s="170">
        <f xml:space="preserve"> InputsTS!AD$413</f>
        <v>-95</v>
      </c>
      <c r="AE150" s="170">
        <f xml:space="preserve"> InputsTS!AE$413</f>
        <v>-94</v>
      </c>
      <c r="AF150" s="170">
        <f xml:space="preserve"> InputsTS!AF$413</f>
        <v>-93</v>
      </c>
      <c r="AG150" s="170">
        <f xml:space="preserve"> InputsTS!AG$413</f>
        <v>-91</v>
      </c>
      <c r="AH150" s="170">
        <f xml:space="preserve"> InputsTS!AH$413</f>
        <v>-90</v>
      </c>
      <c r="AI150" s="170">
        <f xml:space="preserve"> InputsTS!AI$413</f>
        <v>-87</v>
      </c>
      <c r="AJ150" s="170">
        <f xml:space="preserve"> InputsTS!AJ$413</f>
        <v>-74</v>
      </c>
      <c r="AK150" s="170">
        <f xml:space="preserve"> InputsTS!AK$413</f>
        <v>0</v>
      </c>
      <c r="AL150" s="170">
        <f xml:space="preserve"> InputsTS!AL$413</f>
        <v>0</v>
      </c>
      <c r="AM150" s="170">
        <f xml:space="preserve"> InputsTS!AM$413</f>
        <v>0</v>
      </c>
      <c r="AN150" s="170">
        <f xml:space="preserve"> InputsTS!AN$413</f>
        <v>0</v>
      </c>
      <c r="AO150" s="170">
        <f xml:space="preserve"> InputsTS!AO$413</f>
        <v>0</v>
      </c>
      <c r="AP150" s="170">
        <f xml:space="preserve"> InputsTS!AP$413</f>
        <v>0</v>
      </c>
      <c r="AQ150" s="170">
        <f xml:space="preserve"> InputsTS!AQ$413</f>
        <v>0</v>
      </c>
      <c r="AR150" s="170">
        <f xml:space="preserve"> InputsTS!AR$413</f>
        <v>0</v>
      </c>
      <c r="AS150" s="170">
        <f xml:space="preserve"> InputsTS!AS$413</f>
        <v>0</v>
      </c>
      <c r="AT150" s="170">
        <f xml:space="preserve"> InputsTS!AT$413</f>
        <v>0</v>
      </c>
      <c r="AU150" s="170">
        <f xml:space="preserve"> InputsTS!AU$413</f>
        <v>0</v>
      </c>
      <c r="AV150" s="170">
        <f xml:space="preserve"> InputsTS!AV$413</f>
        <v>0</v>
      </c>
    </row>
    <row r="151" spans="1:48" s="132" customFormat="1" ht="15" customHeight="1">
      <c r="A151" s="133"/>
      <c r="B151" s="133"/>
      <c r="C151" s="151"/>
      <c r="E151" s="170" t="str">
        <f xml:space="preserve"> InputsTS!E$415</f>
        <v>Operating Costs 2011TR</v>
      </c>
      <c r="F151" s="170">
        <f xml:space="preserve"> InputsTS!F$415</f>
        <v>0</v>
      </c>
      <c r="G151" s="170" t="str">
        <f xml:space="preserve"> InputsTS!G$415</f>
        <v>$ mn</v>
      </c>
      <c r="H151" s="170">
        <f xml:space="preserve"> InputsTS!H$415</f>
        <v>0</v>
      </c>
      <c r="I151" s="170" t="str">
        <f xml:space="preserve"> InputsTS!I$415</f>
        <v>XVII</v>
      </c>
      <c r="J151" s="170">
        <f xml:space="preserve"> InputsTS!J$415</f>
        <v>-12423</v>
      </c>
      <c r="K151" s="170">
        <f xml:space="preserve"> InputsTS!K$415</f>
        <v>0</v>
      </c>
      <c r="L151" s="170">
        <f xml:space="preserve"> InputsTS!L$415</f>
        <v>0</v>
      </c>
      <c r="M151" s="170">
        <f xml:space="preserve"> InputsTS!M$415</f>
        <v>0</v>
      </c>
      <c r="N151" s="170">
        <f xml:space="preserve"> InputsTS!N$415</f>
        <v>0</v>
      </c>
      <c r="O151" s="170">
        <f xml:space="preserve"> InputsTS!O$415</f>
        <v>0</v>
      </c>
      <c r="P151" s="170">
        <f xml:space="preserve"> InputsTS!P$415</f>
        <v>0</v>
      </c>
      <c r="Q151" s="170">
        <f xml:space="preserve"> InputsTS!Q$415</f>
        <v>-388</v>
      </c>
      <c r="R151" s="170">
        <f xml:space="preserve"> InputsTS!R$415</f>
        <v>-483</v>
      </c>
      <c r="S151" s="170">
        <f xml:space="preserve"> InputsTS!S$415</f>
        <v>-485</v>
      </c>
      <c r="T151" s="170">
        <f xml:space="preserve"> InputsTS!T$415</f>
        <v>-529</v>
      </c>
      <c r="U151" s="170">
        <f xml:space="preserve"> InputsTS!U$415</f>
        <v>-637</v>
      </c>
      <c r="V151" s="170">
        <f xml:space="preserve"> InputsTS!V$415</f>
        <v>-606</v>
      </c>
      <c r="W151" s="170">
        <f xml:space="preserve"> InputsTS!W$415</f>
        <v>-648</v>
      </c>
      <c r="X151" s="170">
        <f xml:space="preserve"> InputsTS!X$415</f>
        <v>-651</v>
      </c>
      <c r="Y151" s="170">
        <f xml:space="preserve"> InputsTS!Y$415</f>
        <v>-656</v>
      </c>
      <c r="Z151" s="170">
        <f xml:space="preserve"> InputsTS!Z$415</f>
        <v>-696</v>
      </c>
      <c r="AA151" s="170">
        <f xml:space="preserve"> InputsTS!AA$415</f>
        <v>-676</v>
      </c>
      <c r="AB151" s="170">
        <f xml:space="preserve"> InputsTS!AB$415</f>
        <v>-702</v>
      </c>
      <c r="AC151" s="170">
        <f xml:space="preserve"> InputsTS!AC$415</f>
        <v>-734</v>
      </c>
      <c r="AD151" s="170">
        <f xml:space="preserve"> InputsTS!AD$415</f>
        <v>-724</v>
      </c>
      <c r="AE151" s="170">
        <f xml:space="preserve"> InputsTS!AE$415</f>
        <v>-703</v>
      </c>
      <c r="AF151" s="170">
        <f xml:space="preserve"> InputsTS!AF$415</f>
        <v>-698</v>
      </c>
      <c r="AG151" s="170">
        <f xml:space="preserve"> InputsTS!AG$415</f>
        <v>-680</v>
      </c>
      <c r="AH151" s="170">
        <f xml:space="preserve"> InputsTS!AH$415</f>
        <v>-670</v>
      </c>
      <c r="AI151" s="170">
        <f xml:space="preserve"> InputsTS!AI$415</f>
        <v>-577</v>
      </c>
      <c r="AJ151" s="170">
        <f xml:space="preserve"> InputsTS!AJ$415</f>
        <v>-480</v>
      </c>
      <c r="AK151" s="170">
        <f xml:space="preserve"> InputsTS!AK$415</f>
        <v>0</v>
      </c>
      <c r="AL151" s="170">
        <f xml:space="preserve"> InputsTS!AL$415</f>
        <v>0</v>
      </c>
      <c r="AM151" s="170">
        <f xml:space="preserve"> InputsTS!AM$415</f>
        <v>0</v>
      </c>
      <c r="AN151" s="170">
        <f xml:space="preserve"> InputsTS!AN$415</f>
        <v>0</v>
      </c>
      <c r="AO151" s="170">
        <f xml:space="preserve"> InputsTS!AO$415</f>
        <v>0</v>
      </c>
      <c r="AP151" s="170">
        <f xml:space="preserve"> InputsTS!AP$415</f>
        <v>0</v>
      </c>
      <c r="AQ151" s="170">
        <f xml:space="preserve"> InputsTS!AQ$415</f>
        <v>0</v>
      </c>
      <c r="AR151" s="170">
        <f xml:space="preserve"> InputsTS!AR$415</f>
        <v>0</v>
      </c>
      <c r="AS151" s="170">
        <f xml:space="preserve"> InputsTS!AS$415</f>
        <v>0</v>
      </c>
      <c r="AT151" s="170">
        <f xml:space="preserve"> InputsTS!AT$415</f>
        <v>0</v>
      </c>
      <c r="AU151" s="170">
        <f xml:space="preserve"> InputsTS!AU$415</f>
        <v>0</v>
      </c>
      <c r="AV151" s="170">
        <f xml:space="preserve"> InputsTS!AV$415</f>
        <v>0</v>
      </c>
    </row>
    <row r="152" spans="1:48" s="132" customFormat="1" ht="15" customHeight="1">
      <c r="A152" s="133"/>
      <c r="B152" s="133"/>
      <c r="C152" s="151"/>
      <c r="E152" s="170" t="str">
        <f xml:space="preserve"> InputsTS!E$416</f>
        <v>Other Costs 2011TR</v>
      </c>
      <c r="F152" s="170">
        <f xml:space="preserve"> InputsTS!F$416</f>
        <v>0</v>
      </c>
      <c r="G152" s="170" t="str">
        <f xml:space="preserve"> InputsTS!G$416</f>
        <v>$ mn</v>
      </c>
      <c r="H152" s="170">
        <f xml:space="preserve"> InputsTS!H$416</f>
        <v>0</v>
      </c>
      <c r="I152" s="170" t="str">
        <f xml:space="preserve"> InputsTS!I$416</f>
        <v>XVII</v>
      </c>
      <c r="J152" s="170">
        <f xml:space="preserve"> InputsTS!J$416</f>
        <v>-265</v>
      </c>
      <c r="K152" s="170">
        <f xml:space="preserve"> InputsTS!K$416</f>
        <v>0</v>
      </c>
      <c r="L152" s="170">
        <f xml:space="preserve"> InputsTS!L$416</f>
        <v>0</v>
      </c>
      <c r="M152" s="170">
        <f xml:space="preserve"> InputsTS!M$416</f>
        <v>0</v>
      </c>
      <c r="N152" s="170">
        <f xml:space="preserve"> InputsTS!N$416</f>
        <v>0</v>
      </c>
      <c r="O152" s="170">
        <f xml:space="preserve"> InputsTS!O$416</f>
        <v>0</v>
      </c>
      <c r="P152" s="170">
        <f xml:space="preserve"> InputsTS!P$416</f>
        <v>0</v>
      </c>
      <c r="Q152" s="170">
        <f xml:space="preserve"> InputsTS!Q$416</f>
        <v>-47</v>
      </c>
      <c r="R152" s="170">
        <f xml:space="preserve"> InputsTS!R$416</f>
        <v>-17</v>
      </c>
      <c r="S152" s="170">
        <f xml:space="preserve"> InputsTS!S$416</f>
        <v>-17</v>
      </c>
      <c r="T152" s="170">
        <f xml:space="preserve"> InputsTS!T$416</f>
        <v>-17</v>
      </c>
      <c r="U152" s="170">
        <f xml:space="preserve"> InputsTS!U$416</f>
        <v>-17</v>
      </c>
      <c r="V152" s="170">
        <f xml:space="preserve"> InputsTS!V$416</f>
        <v>-17</v>
      </c>
      <c r="W152" s="170">
        <f xml:space="preserve"> InputsTS!W$416</f>
        <v>-2</v>
      </c>
      <c r="X152" s="170">
        <f xml:space="preserve"> InputsTS!X$416</f>
        <v>-2</v>
      </c>
      <c r="Y152" s="170">
        <f xml:space="preserve"> InputsTS!Y$416</f>
        <v>-2</v>
      </c>
      <c r="Z152" s="170">
        <f xml:space="preserve"> InputsTS!Z$416</f>
        <v>-1</v>
      </c>
      <c r="AA152" s="170">
        <f xml:space="preserve"> InputsTS!AA$416</f>
        <v>-1</v>
      </c>
      <c r="AB152" s="170">
        <f xml:space="preserve"> InputsTS!AB$416</f>
        <v>-2</v>
      </c>
      <c r="AC152" s="170">
        <f xml:space="preserve"> InputsTS!AC$416</f>
        <v>-1</v>
      </c>
      <c r="AD152" s="170">
        <f xml:space="preserve"> InputsTS!AD$416</f>
        <v>-1</v>
      </c>
      <c r="AE152" s="170">
        <f xml:space="preserve"> InputsTS!AE$416</f>
        <v>-2</v>
      </c>
      <c r="AF152" s="170">
        <f xml:space="preserve"> InputsTS!AF$416</f>
        <v>-1</v>
      </c>
      <c r="AG152" s="170">
        <f xml:space="preserve"> InputsTS!AG$416</f>
        <v>-1</v>
      </c>
      <c r="AH152" s="170">
        <f xml:space="preserve"> InputsTS!AH$416</f>
        <v>-2</v>
      </c>
      <c r="AI152" s="170">
        <f xml:space="preserve"> InputsTS!AI$416</f>
        <v>-1</v>
      </c>
      <c r="AJ152" s="170">
        <f xml:space="preserve"> InputsTS!AJ$416</f>
        <v>-1</v>
      </c>
      <c r="AK152" s="170">
        <f xml:space="preserve"> InputsTS!AK$416</f>
        <v>-57</v>
      </c>
      <c r="AL152" s="170">
        <f xml:space="preserve"> InputsTS!AL$416</f>
        <v>-56</v>
      </c>
      <c r="AM152" s="170">
        <f xml:space="preserve"> InputsTS!AM$416</f>
        <v>0</v>
      </c>
      <c r="AN152" s="170">
        <f xml:space="preserve"> InputsTS!AN$416</f>
        <v>0</v>
      </c>
      <c r="AO152" s="170">
        <f xml:space="preserve"> InputsTS!AO$416</f>
        <v>0</v>
      </c>
      <c r="AP152" s="170">
        <f xml:space="preserve"> InputsTS!AP$416</f>
        <v>0</v>
      </c>
      <c r="AQ152" s="170">
        <f xml:space="preserve"> InputsTS!AQ$416</f>
        <v>0</v>
      </c>
      <c r="AR152" s="170">
        <f xml:space="preserve"> InputsTS!AR$416</f>
        <v>0</v>
      </c>
      <c r="AS152" s="170">
        <f xml:space="preserve"> InputsTS!AS$416</f>
        <v>0</v>
      </c>
      <c r="AT152" s="170">
        <f xml:space="preserve"> InputsTS!AT$416</f>
        <v>0</v>
      </c>
      <c r="AU152" s="170">
        <f xml:space="preserve"> InputsTS!AU$416</f>
        <v>0</v>
      </c>
      <c r="AV152" s="170">
        <f xml:space="preserve"> InputsTS!AV$416</f>
        <v>0</v>
      </c>
    </row>
    <row r="153" spans="1:48" s="132" customFormat="1" ht="15" customHeight="1">
      <c r="A153" s="133"/>
      <c r="B153" s="133"/>
      <c r="C153" s="151"/>
      <c r="E153" s="170" t="str">
        <f xml:space="preserve"> InputsTS!E$417</f>
        <v>Net Change in Working Capital 2011TR</v>
      </c>
      <c r="F153" s="170">
        <f xml:space="preserve"> InputsTS!F$417</f>
        <v>0</v>
      </c>
      <c r="G153" s="170" t="str">
        <f xml:space="preserve"> InputsTS!G$417</f>
        <v>$ mn</v>
      </c>
      <c r="H153" s="170">
        <f xml:space="preserve"> InputsTS!H$417</f>
        <v>0</v>
      </c>
      <c r="I153" s="170" t="str">
        <f xml:space="preserve"> InputsTS!I$417</f>
        <v>XVII</v>
      </c>
      <c r="J153" s="170">
        <f xml:space="preserve"> InputsTS!J$417</f>
        <v>180</v>
      </c>
      <c r="K153" s="170">
        <f xml:space="preserve"> InputsTS!K$417</f>
        <v>0</v>
      </c>
      <c r="L153" s="170">
        <f xml:space="preserve"> InputsTS!L$417</f>
        <v>0</v>
      </c>
      <c r="M153" s="170">
        <f xml:space="preserve"> InputsTS!M$417</f>
        <v>0</v>
      </c>
      <c r="N153" s="170">
        <f xml:space="preserve"> InputsTS!N$417</f>
        <v>0</v>
      </c>
      <c r="O153" s="170">
        <f xml:space="preserve"> InputsTS!O$417</f>
        <v>0</v>
      </c>
      <c r="P153" s="170">
        <f xml:space="preserve"> InputsTS!P$417</f>
        <v>0</v>
      </c>
      <c r="Q153" s="170">
        <f xml:space="preserve"> InputsTS!Q$417</f>
        <v>24</v>
      </c>
      <c r="R153" s="170">
        <f xml:space="preserve"> InputsTS!R$417</f>
        <v>-28</v>
      </c>
      <c r="S153" s="170">
        <f xml:space="preserve"> InputsTS!S$417</f>
        <v>-84</v>
      </c>
      <c r="T153" s="170">
        <f xml:space="preserve"> InputsTS!T$417</f>
        <v>10</v>
      </c>
      <c r="U153" s="170">
        <f xml:space="preserve"> InputsTS!U$417</f>
        <v>-36</v>
      </c>
      <c r="V153" s="170">
        <f xml:space="preserve"> InputsTS!V$417</f>
        <v>15</v>
      </c>
      <c r="W153" s="170">
        <f xml:space="preserve"> InputsTS!W$417</f>
        <v>-3</v>
      </c>
      <c r="X153" s="170">
        <f xml:space="preserve"> InputsTS!X$417</f>
        <v>10</v>
      </c>
      <c r="Y153" s="170">
        <f xml:space="preserve"> InputsTS!Y$417</f>
        <v>8</v>
      </c>
      <c r="Z153" s="170">
        <f xml:space="preserve"> InputsTS!Z$417</f>
        <v>-7</v>
      </c>
      <c r="AA153" s="170">
        <f xml:space="preserve"> InputsTS!AA$417</f>
        <v>8</v>
      </c>
      <c r="AB153" s="170">
        <f xml:space="preserve"> InputsTS!AB$417</f>
        <v>-7</v>
      </c>
      <c r="AC153" s="170">
        <f xml:space="preserve"> InputsTS!AC$417</f>
        <v>-1</v>
      </c>
      <c r="AD153" s="170">
        <f xml:space="preserve"> InputsTS!AD$417</f>
        <v>4</v>
      </c>
      <c r="AE153" s="170">
        <f xml:space="preserve"> InputsTS!AE$417</f>
        <v>4</v>
      </c>
      <c r="AF153" s="170">
        <f xml:space="preserve"> InputsTS!AF$417</f>
        <v>3</v>
      </c>
      <c r="AG153" s="170">
        <f xml:space="preserve"> InputsTS!AG$417</f>
        <v>9</v>
      </c>
      <c r="AH153" s="170">
        <f xml:space="preserve"> InputsTS!AH$417</f>
        <v>0</v>
      </c>
      <c r="AI153" s="170">
        <f xml:space="preserve"> InputsTS!AI$417</f>
        <v>35</v>
      </c>
      <c r="AJ153" s="170">
        <f xml:space="preserve"> InputsTS!AJ$417</f>
        <v>24</v>
      </c>
      <c r="AK153" s="170">
        <f xml:space="preserve"> InputsTS!AK$417</f>
        <v>192</v>
      </c>
      <c r="AL153" s="170">
        <f xml:space="preserve"> InputsTS!AL$417</f>
        <v>0</v>
      </c>
      <c r="AM153" s="170">
        <f xml:space="preserve"> InputsTS!AM$417</f>
        <v>0</v>
      </c>
      <c r="AN153" s="170">
        <f xml:space="preserve"> InputsTS!AN$417</f>
        <v>0</v>
      </c>
      <c r="AO153" s="170">
        <f xml:space="preserve"> InputsTS!AO$417</f>
        <v>0</v>
      </c>
      <c r="AP153" s="170">
        <f xml:space="preserve"> InputsTS!AP$417</f>
        <v>0</v>
      </c>
      <c r="AQ153" s="170">
        <f xml:space="preserve"> InputsTS!AQ$417</f>
        <v>0</v>
      </c>
      <c r="AR153" s="170">
        <f xml:space="preserve"> InputsTS!AR$417</f>
        <v>0</v>
      </c>
      <c r="AS153" s="170">
        <f xml:space="preserve"> InputsTS!AS$417</f>
        <v>0</v>
      </c>
      <c r="AT153" s="170">
        <f xml:space="preserve"> InputsTS!AT$417</f>
        <v>0</v>
      </c>
      <c r="AU153" s="170">
        <f xml:space="preserve"> InputsTS!AU$417</f>
        <v>0</v>
      </c>
      <c r="AV153" s="170">
        <f xml:space="preserve"> InputsTS!AV$417</f>
        <v>0</v>
      </c>
    </row>
    <row r="154" spans="1:48" s="132" customFormat="1" ht="15" customHeight="1">
      <c r="A154" s="133"/>
      <c r="B154" s="133"/>
      <c r="C154" s="151"/>
      <c r="E154" s="170" t="str">
        <f xml:space="preserve"> InputsTS!E$420</f>
        <v>Capital Expenditure 2011TR</v>
      </c>
      <c r="F154" s="170">
        <f xml:space="preserve"> InputsTS!F$420</f>
        <v>0</v>
      </c>
      <c r="G154" s="170" t="str">
        <f xml:space="preserve"> InputsTS!G$420</f>
        <v>$ mn</v>
      </c>
      <c r="H154" s="170">
        <f xml:space="preserve"> InputsTS!H$420</f>
        <v>0</v>
      </c>
      <c r="I154" s="170" t="str">
        <f xml:space="preserve"> InputsTS!I$420</f>
        <v>XVII</v>
      </c>
      <c r="J154" s="170">
        <f xml:space="preserve"> InputsTS!J$420</f>
        <v>-2648</v>
      </c>
      <c r="K154" s="170">
        <f xml:space="preserve"> InputsTS!K$420</f>
        <v>0</v>
      </c>
      <c r="L154" s="170">
        <f xml:space="preserve"> InputsTS!L$420</f>
        <v>0</v>
      </c>
      <c r="M154" s="170">
        <f xml:space="preserve"> InputsTS!M$420</f>
        <v>0</v>
      </c>
      <c r="N154" s="170">
        <f xml:space="preserve"> InputsTS!N$420</f>
        <v>0</v>
      </c>
      <c r="O154" s="170">
        <f xml:space="preserve"> InputsTS!O$420</f>
        <v>0</v>
      </c>
      <c r="P154" s="170">
        <f xml:space="preserve"> InputsTS!P$420</f>
        <v>0</v>
      </c>
      <c r="Q154" s="170">
        <f xml:space="preserve"> InputsTS!Q$420</f>
        <v>-320</v>
      </c>
      <c r="R154" s="170">
        <f xml:space="preserve"> InputsTS!R$420</f>
        <v>-353</v>
      </c>
      <c r="S154" s="170">
        <f xml:space="preserve"> InputsTS!S$420</f>
        <v>-371</v>
      </c>
      <c r="T154" s="170">
        <f xml:space="preserve"> InputsTS!T$420</f>
        <v>-133</v>
      </c>
      <c r="U154" s="170">
        <f xml:space="preserve"> InputsTS!U$420</f>
        <v>-120</v>
      </c>
      <c r="V154" s="170">
        <f xml:space="preserve"> InputsTS!V$420</f>
        <v>-89</v>
      </c>
      <c r="W154" s="170">
        <f xml:space="preserve"> InputsTS!W$420</f>
        <v>-105</v>
      </c>
      <c r="X154" s="170">
        <f xml:space="preserve"> InputsTS!X$420</f>
        <v>-119</v>
      </c>
      <c r="Y154" s="170">
        <f xml:space="preserve"> InputsTS!Y$420</f>
        <v>-97</v>
      </c>
      <c r="Z154" s="170">
        <f xml:space="preserve"> InputsTS!Z$420</f>
        <v>-110</v>
      </c>
      <c r="AA154" s="170">
        <f xml:space="preserve"> InputsTS!AA$420</f>
        <v>-103</v>
      </c>
      <c r="AB154" s="170">
        <f xml:space="preserve"> InputsTS!AB$420</f>
        <v>-103</v>
      </c>
      <c r="AC154" s="170">
        <f xml:space="preserve"> InputsTS!AC$420</f>
        <v>-94</v>
      </c>
      <c r="AD154" s="170">
        <f xml:space="preserve"> InputsTS!AD$420</f>
        <v>-87</v>
      </c>
      <c r="AE154" s="170">
        <f xml:space="preserve"> InputsTS!AE$420</f>
        <v>-76</v>
      </c>
      <c r="AF154" s="170">
        <f xml:space="preserve"> InputsTS!AF$420</f>
        <v>-77</v>
      </c>
      <c r="AG154" s="170">
        <f xml:space="preserve"> InputsTS!AG$420</f>
        <v>-75</v>
      </c>
      <c r="AH154" s="170">
        <f xml:space="preserve"> InputsTS!AH$420</f>
        <v>-83</v>
      </c>
      <c r="AI154" s="170">
        <f xml:space="preserve"> InputsTS!AI$420</f>
        <v>-77</v>
      </c>
      <c r="AJ154" s="170">
        <f xml:space="preserve"> InputsTS!AJ$420</f>
        <v>-56</v>
      </c>
      <c r="AK154" s="170">
        <f xml:space="preserve"> InputsTS!AK$420</f>
        <v>0</v>
      </c>
      <c r="AL154" s="170">
        <f xml:space="preserve"> InputsTS!AL$420</f>
        <v>0</v>
      </c>
      <c r="AM154" s="170">
        <f xml:space="preserve"> InputsTS!AM$420</f>
        <v>0</v>
      </c>
      <c r="AN154" s="170">
        <f xml:space="preserve"> InputsTS!AN$420</f>
        <v>0</v>
      </c>
      <c r="AO154" s="170">
        <f xml:space="preserve"> InputsTS!AO$420</f>
        <v>0</v>
      </c>
      <c r="AP154" s="170">
        <f xml:space="preserve"> InputsTS!AP$420</f>
        <v>0</v>
      </c>
      <c r="AQ154" s="170">
        <f xml:space="preserve"> InputsTS!AQ$420</f>
        <v>0</v>
      </c>
      <c r="AR154" s="170">
        <f xml:space="preserve"> InputsTS!AR$420</f>
        <v>0</v>
      </c>
      <c r="AS154" s="170">
        <f xml:space="preserve"> InputsTS!AS$420</f>
        <v>0</v>
      </c>
      <c r="AT154" s="170">
        <f xml:space="preserve"> InputsTS!AT$420</f>
        <v>0</v>
      </c>
      <c r="AU154" s="170">
        <f xml:space="preserve"> InputsTS!AU$420</f>
        <v>0</v>
      </c>
      <c r="AV154" s="170">
        <f xml:space="preserve"> InputsTS!AV$420</f>
        <v>0</v>
      </c>
    </row>
    <row r="155" spans="1:48" s="123" customFormat="1" ht="15" customHeight="1">
      <c r="A155" s="134"/>
      <c r="B155" s="134"/>
      <c r="C155" s="151"/>
      <c r="E155" s="170" t="str">
        <f xml:space="preserve"> InputsTS!E$419</f>
        <v>Taxation 2011TR</v>
      </c>
      <c r="F155" s="170">
        <f xml:space="preserve"> InputsTS!F$419</f>
        <v>0</v>
      </c>
      <c r="G155" s="170" t="str">
        <f xml:space="preserve"> InputsTS!G$419</f>
        <v>$ mn</v>
      </c>
      <c r="H155" s="170">
        <f xml:space="preserve"> InputsTS!H$419</f>
        <v>0</v>
      </c>
      <c r="I155" s="170" t="str">
        <f xml:space="preserve"> InputsTS!I$419</f>
        <v>XVII</v>
      </c>
      <c r="J155" s="170">
        <f xml:space="preserve"> InputsTS!J$419</f>
        <v>-6829</v>
      </c>
      <c r="K155" s="170">
        <f xml:space="preserve"> InputsTS!K$419</f>
        <v>0</v>
      </c>
      <c r="L155" s="170">
        <f xml:space="preserve"> InputsTS!L$419</f>
        <v>0</v>
      </c>
      <c r="M155" s="170">
        <f xml:space="preserve"> InputsTS!M$419</f>
        <v>0</v>
      </c>
      <c r="N155" s="170">
        <f xml:space="preserve"> InputsTS!N$419</f>
        <v>0</v>
      </c>
      <c r="O155" s="170">
        <f xml:space="preserve"> InputsTS!O$419</f>
        <v>0</v>
      </c>
      <c r="P155" s="170">
        <f xml:space="preserve"> InputsTS!P$419</f>
        <v>0</v>
      </c>
      <c r="Q155" s="170">
        <f xml:space="preserve"> InputsTS!Q$419</f>
        <v>-1</v>
      </c>
      <c r="R155" s="170">
        <f xml:space="preserve"> InputsTS!R$419</f>
        <v>-2</v>
      </c>
      <c r="S155" s="170">
        <f xml:space="preserve"> InputsTS!S$419</f>
        <v>-2</v>
      </c>
      <c r="T155" s="170">
        <f xml:space="preserve"> InputsTS!T$419</f>
        <v>-284</v>
      </c>
      <c r="U155" s="170">
        <f xml:space="preserve"> InputsTS!U$419</f>
        <v>-653</v>
      </c>
      <c r="V155" s="170">
        <f xml:space="preserve"> InputsTS!V$419</f>
        <v>-544</v>
      </c>
      <c r="W155" s="170">
        <f xml:space="preserve"> InputsTS!W$419</f>
        <v>-452</v>
      </c>
      <c r="X155" s="170">
        <f xml:space="preserve"> InputsTS!X$419</f>
        <v>-414</v>
      </c>
      <c r="Y155" s="170">
        <f xml:space="preserve"> InputsTS!Y$419</f>
        <v>-359</v>
      </c>
      <c r="Z155" s="170">
        <f xml:space="preserve"> InputsTS!Z$419</f>
        <v>-330</v>
      </c>
      <c r="AA155" s="170">
        <f xml:space="preserve"> InputsTS!AA$419</f>
        <v>-335</v>
      </c>
      <c r="AB155" s="170">
        <f xml:space="preserve"> InputsTS!AB$419</f>
        <v>-356</v>
      </c>
      <c r="AC155" s="170">
        <f xml:space="preserve"> InputsTS!AC$419</f>
        <v>-355</v>
      </c>
      <c r="AD155" s="170">
        <f xml:space="preserve"> InputsTS!AD$419</f>
        <v>-346</v>
      </c>
      <c r="AE155" s="170">
        <f xml:space="preserve"> InputsTS!AE$419</f>
        <v>-362</v>
      </c>
      <c r="AF155" s="170">
        <f xml:space="preserve"> InputsTS!AF$419</f>
        <v>-369</v>
      </c>
      <c r="AG155" s="170">
        <f xml:space="preserve"> InputsTS!AG$419</f>
        <v>-354</v>
      </c>
      <c r="AH155" s="170">
        <f xml:space="preserve"> InputsTS!AH$419</f>
        <v>-342</v>
      </c>
      <c r="AI155" s="170">
        <f xml:space="preserve"> InputsTS!AI$419</f>
        <v>-348</v>
      </c>
      <c r="AJ155" s="170">
        <f xml:space="preserve"> InputsTS!AJ$419</f>
        <v>-358</v>
      </c>
      <c r="AK155" s="170">
        <f xml:space="preserve"> InputsTS!AK$419</f>
        <v>-263</v>
      </c>
      <c r="AL155" s="170">
        <f xml:space="preserve"> InputsTS!AL$419</f>
        <v>0</v>
      </c>
      <c r="AM155" s="170">
        <f xml:space="preserve"> InputsTS!AM$419</f>
        <v>0</v>
      </c>
      <c r="AN155" s="170">
        <f xml:space="preserve"> InputsTS!AN$419</f>
        <v>0</v>
      </c>
      <c r="AO155" s="170">
        <f xml:space="preserve"> InputsTS!AO$419</f>
        <v>0</v>
      </c>
      <c r="AP155" s="170">
        <f xml:space="preserve"> InputsTS!AP$419</f>
        <v>0</v>
      </c>
      <c r="AQ155" s="170">
        <f xml:space="preserve"> InputsTS!AQ$419</f>
        <v>0</v>
      </c>
      <c r="AR155" s="170">
        <f xml:space="preserve"> InputsTS!AR$419</f>
        <v>0</v>
      </c>
      <c r="AS155" s="170">
        <f xml:space="preserve"> InputsTS!AS$419</f>
        <v>0</v>
      </c>
      <c r="AT155" s="170">
        <f xml:space="preserve"> InputsTS!AT$419</f>
        <v>0</v>
      </c>
      <c r="AU155" s="170">
        <f xml:space="preserve"> InputsTS!AU$419</f>
        <v>0</v>
      </c>
      <c r="AV155" s="170">
        <f xml:space="preserve"> InputsTS!AV$419</f>
        <v>0</v>
      </c>
    </row>
    <row r="156" spans="1:48" s="123" customFormat="1" ht="15" customHeight="1">
      <c r="A156" s="134"/>
      <c r="B156" s="134"/>
      <c r="C156" s="151"/>
      <c r="E156" s="123" t="s">
        <v>124</v>
      </c>
      <c r="F156" s="135"/>
      <c r="G156" s="123" t="s">
        <v>29</v>
      </c>
      <c r="J156" s="123">
        <f xml:space="preserve"> SUM(L156:AV156)</f>
        <v>16559</v>
      </c>
      <c r="L156" s="123">
        <f xml:space="preserve"> SUM(L148:L155)</f>
        <v>0</v>
      </c>
      <c r="M156" s="123">
        <f t="shared" ref="M156:AV156" si="43" xml:space="preserve"> SUM(M148:M155)</f>
        <v>0</v>
      </c>
      <c r="N156" s="123">
        <f t="shared" si="43"/>
        <v>0</v>
      </c>
      <c r="O156" s="123">
        <f t="shared" si="43"/>
        <v>0</v>
      </c>
      <c r="P156" s="123">
        <f t="shared" si="43"/>
        <v>0</v>
      </c>
      <c r="Q156" s="123">
        <f t="shared" si="43"/>
        <v>427</v>
      </c>
      <c r="R156" s="123">
        <f t="shared" si="43"/>
        <v>511</v>
      </c>
      <c r="S156" s="123">
        <f t="shared" si="43"/>
        <v>617</v>
      </c>
      <c r="T156" s="123">
        <f t="shared" si="43"/>
        <v>1233</v>
      </c>
      <c r="U156" s="123">
        <f t="shared" si="43"/>
        <v>1000</v>
      </c>
      <c r="V156" s="123">
        <f t="shared" si="43"/>
        <v>1071</v>
      </c>
      <c r="W156" s="123">
        <f t="shared" si="43"/>
        <v>1030</v>
      </c>
      <c r="X156" s="123">
        <f t="shared" si="43"/>
        <v>919</v>
      </c>
      <c r="Y156" s="123">
        <f t="shared" si="43"/>
        <v>867</v>
      </c>
      <c r="Z156" s="123">
        <f t="shared" si="43"/>
        <v>821</v>
      </c>
      <c r="AA156" s="123">
        <f t="shared" si="43"/>
        <v>856</v>
      </c>
      <c r="AB156" s="123">
        <f t="shared" si="43"/>
        <v>824</v>
      </c>
      <c r="AC156" s="123">
        <f t="shared" si="43"/>
        <v>816</v>
      </c>
      <c r="AD156" s="123">
        <f t="shared" si="43"/>
        <v>852</v>
      </c>
      <c r="AE156" s="123">
        <f t="shared" si="43"/>
        <v>863</v>
      </c>
      <c r="AF156" s="123">
        <f t="shared" si="43"/>
        <v>833</v>
      </c>
      <c r="AG156" s="123">
        <f t="shared" si="43"/>
        <v>824</v>
      </c>
      <c r="AH156" s="123">
        <f t="shared" si="43"/>
        <v>816</v>
      </c>
      <c r="AI156" s="123">
        <f t="shared" si="43"/>
        <v>869</v>
      </c>
      <c r="AJ156" s="123">
        <f t="shared" si="43"/>
        <v>694</v>
      </c>
      <c r="AK156" s="123">
        <f t="shared" si="43"/>
        <v>-128</v>
      </c>
      <c r="AL156" s="123">
        <f t="shared" si="43"/>
        <v>-56</v>
      </c>
      <c r="AM156" s="123">
        <f t="shared" si="43"/>
        <v>0</v>
      </c>
      <c r="AN156" s="123">
        <f t="shared" si="43"/>
        <v>0</v>
      </c>
      <c r="AO156" s="123">
        <f t="shared" si="43"/>
        <v>0</v>
      </c>
      <c r="AP156" s="123">
        <f t="shared" si="43"/>
        <v>0</v>
      </c>
      <c r="AQ156" s="123">
        <f t="shared" si="43"/>
        <v>0</v>
      </c>
      <c r="AR156" s="123">
        <f t="shared" si="43"/>
        <v>0</v>
      </c>
      <c r="AS156" s="123">
        <f t="shared" si="43"/>
        <v>0</v>
      </c>
      <c r="AT156" s="123">
        <f t="shared" si="43"/>
        <v>0</v>
      </c>
      <c r="AU156" s="123">
        <f t="shared" si="43"/>
        <v>0</v>
      </c>
      <c r="AV156" s="123">
        <f t="shared" si="43"/>
        <v>0</v>
      </c>
    </row>
    <row r="157" spans="1:48" ht="15" customHeight="1">
      <c r="E157" s="123" t="s">
        <v>835</v>
      </c>
      <c r="F157" s="123"/>
      <c r="G157" s="123" t="s">
        <v>29</v>
      </c>
      <c r="H157" s="123"/>
      <c r="I157" s="123"/>
      <c r="J157" s="123">
        <f xml:space="preserve"> SUM(L157:AV157)</f>
        <v>1</v>
      </c>
      <c r="L157" s="123">
        <f xml:space="preserve"> L41 + L64 + L67 + L136 - L156</f>
        <v>0</v>
      </c>
      <c r="M157" s="123">
        <f t="shared" ref="M157:AV157" si="44" xml:space="preserve"> M41 + M64 + M67 + M136 - M156</f>
        <v>0</v>
      </c>
      <c r="N157" s="123">
        <f t="shared" si="44"/>
        <v>0</v>
      </c>
      <c r="O157" s="123">
        <f t="shared" si="44"/>
        <v>0</v>
      </c>
      <c r="P157" s="123">
        <f t="shared" si="44"/>
        <v>0</v>
      </c>
      <c r="Q157" s="123">
        <f t="shared" si="44"/>
        <v>1</v>
      </c>
      <c r="R157" s="123">
        <f t="shared" si="44"/>
        <v>0</v>
      </c>
      <c r="S157" s="123">
        <f t="shared" si="44"/>
        <v>-1</v>
      </c>
      <c r="T157" s="123">
        <f t="shared" si="44"/>
        <v>-1</v>
      </c>
      <c r="U157" s="123">
        <f t="shared" si="44"/>
        <v>1</v>
      </c>
      <c r="V157" s="123">
        <f t="shared" si="44"/>
        <v>1</v>
      </c>
      <c r="W157" s="123">
        <f t="shared" si="44"/>
        <v>1</v>
      </c>
      <c r="X157" s="123">
        <f t="shared" si="44"/>
        <v>1</v>
      </c>
      <c r="Y157" s="123">
        <f t="shared" si="44"/>
        <v>0</v>
      </c>
      <c r="Z157" s="123">
        <f t="shared" si="44"/>
        <v>1</v>
      </c>
      <c r="AA157" s="123">
        <f t="shared" si="44"/>
        <v>1</v>
      </c>
      <c r="AB157" s="123">
        <f t="shared" si="44"/>
        <v>-1</v>
      </c>
      <c r="AC157" s="123">
        <f t="shared" si="44"/>
        <v>-1</v>
      </c>
      <c r="AD157" s="123">
        <f t="shared" si="44"/>
        <v>0</v>
      </c>
      <c r="AE157" s="123">
        <f t="shared" si="44"/>
        <v>0</v>
      </c>
      <c r="AF157" s="123">
        <f t="shared" si="44"/>
        <v>-1</v>
      </c>
      <c r="AG157" s="123">
        <f t="shared" si="44"/>
        <v>-1</v>
      </c>
      <c r="AH157" s="123">
        <f t="shared" si="44"/>
        <v>0</v>
      </c>
      <c r="AI157" s="123">
        <f t="shared" si="44"/>
        <v>0</v>
      </c>
      <c r="AJ157" s="123">
        <f t="shared" si="44"/>
        <v>0</v>
      </c>
      <c r="AK157" s="123">
        <f t="shared" si="44"/>
        <v>0</v>
      </c>
      <c r="AL157" s="123">
        <f t="shared" si="44"/>
        <v>0</v>
      </c>
      <c r="AM157" s="123">
        <f t="shared" si="44"/>
        <v>0</v>
      </c>
      <c r="AN157" s="123">
        <f t="shared" si="44"/>
        <v>0</v>
      </c>
      <c r="AO157" s="123">
        <f t="shared" si="44"/>
        <v>0</v>
      </c>
      <c r="AP157" s="123">
        <f t="shared" si="44"/>
        <v>0</v>
      </c>
      <c r="AQ157" s="123">
        <f t="shared" si="44"/>
        <v>0</v>
      </c>
      <c r="AR157" s="123">
        <f t="shared" si="44"/>
        <v>0</v>
      </c>
      <c r="AS157" s="123">
        <f t="shared" si="44"/>
        <v>0</v>
      </c>
      <c r="AT157" s="123">
        <f t="shared" si="44"/>
        <v>0</v>
      </c>
      <c r="AU157" s="123">
        <f t="shared" si="44"/>
        <v>0</v>
      </c>
      <c r="AV157" s="123">
        <f t="shared" si="44"/>
        <v>0</v>
      </c>
    </row>
    <row r="158" spans="1:48" ht="15" customHeight="1">
      <c r="E158" s="123" t="str">
        <f>E157</f>
        <v>Check: cashflows after tax</v>
      </c>
      <c r="F158" s="169">
        <f xml:space="preserve"> IF( ABS(SUM(L158:AV158)) &gt; CHK_TOL, 1, 0)</f>
        <v>0</v>
      </c>
      <c r="G158" s="123"/>
      <c r="H158" s="123"/>
      <c r="I158" s="123"/>
      <c r="J158" s="123"/>
      <c r="L158" s="169">
        <f t="shared" ref="L158:AV158" si="45" xml:space="preserve"> IF( ABS(L157) &gt; $F159, 1, 0)</f>
        <v>0</v>
      </c>
      <c r="M158" s="169">
        <f t="shared" si="45"/>
        <v>0</v>
      </c>
      <c r="N158" s="169">
        <f t="shared" si="45"/>
        <v>0</v>
      </c>
      <c r="O158" s="169">
        <f t="shared" si="45"/>
        <v>0</v>
      </c>
      <c r="P158" s="169">
        <f t="shared" si="45"/>
        <v>0</v>
      </c>
      <c r="Q158" s="169">
        <f t="shared" si="45"/>
        <v>0</v>
      </c>
      <c r="R158" s="169">
        <f t="shared" si="45"/>
        <v>0</v>
      </c>
      <c r="S158" s="169">
        <f t="shared" si="45"/>
        <v>0</v>
      </c>
      <c r="T158" s="169">
        <f t="shared" si="45"/>
        <v>0</v>
      </c>
      <c r="U158" s="169">
        <f t="shared" si="45"/>
        <v>0</v>
      </c>
      <c r="V158" s="169">
        <f t="shared" si="45"/>
        <v>0</v>
      </c>
      <c r="W158" s="169">
        <f t="shared" si="45"/>
        <v>0</v>
      </c>
      <c r="X158" s="169">
        <f t="shared" si="45"/>
        <v>0</v>
      </c>
      <c r="Y158" s="169">
        <f t="shared" si="45"/>
        <v>0</v>
      </c>
      <c r="Z158" s="169">
        <f t="shared" si="45"/>
        <v>0</v>
      </c>
      <c r="AA158" s="169">
        <f t="shared" si="45"/>
        <v>0</v>
      </c>
      <c r="AB158" s="169">
        <f t="shared" si="45"/>
        <v>0</v>
      </c>
      <c r="AC158" s="169">
        <f t="shared" si="45"/>
        <v>0</v>
      </c>
      <c r="AD158" s="169">
        <f t="shared" si="45"/>
        <v>0</v>
      </c>
      <c r="AE158" s="169">
        <f t="shared" si="45"/>
        <v>0</v>
      </c>
      <c r="AF158" s="169">
        <f t="shared" si="45"/>
        <v>0</v>
      </c>
      <c r="AG158" s="169">
        <f t="shared" si="45"/>
        <v>0</v>
      </c>
      <c r="AH158" s="169">
        <f t="shared" si="45"/>
        <v>0</v>
      </c>
      <c r="AI158" s="169">
        <f t="shared" si="45"/>
        <v>0</v>
      </c>
      <c r="AJ158" s="169">
        <f t="shared" si="45"/>
        <v>0</v>
      </c>
      <c r="AK158" s="169">
        <f t="shared" si="45"/>
        <v>0</v>
      </c>
      <c r="AL158" s="169">
        <f t="shared" si="45"/>
        <v>0</v>
      </c>
      <c r="AM158" s="169">
        <f t="shared" si="45"/>
        <v>0</v>
      </c>
      <c r="AN158" s="169">
        <f t="shared" si="45"/>
        <v>0</v>
      </c>
      <c r="AO158" s="169">
        <f t="shared" si="45"/>
        <v>0</v>
      </c>
      <c r="AP158" s="169">
        <f t="shared" si="45"/>
        <v>0</v>
      </c>
      <c r="AQ158" s="169">
        <f t="shared" si="45"/>
        <v>0</v>
      </c>
      <c r="AR158" s="169">
        <f t="shared" si="45"/>
        <v>0</v>
      </c>
      <c r="AS158" s="169">
        <f t="shared" si="45"/>
        <v>0</v>
      </c>
      <c r="AT158" s="169">
        <f t="shared" si="45"/>
        <v>0</v>
      </c>
      <c r="AU158" s="169">
        <f t="shared" si="45"/>
        <v>0</v>
      </c>
      <c r="AV158" s="169">
        <f t="shared" si="45"/>
        <v>0</v>
      </c>
    </row>
    <row r="159" spans="1:48" s="123" customFormat="1" ht="15" customHeight="1">
      <c r="A159" s="134"/>
      <c r="B159" s="134"/>
      <c r="C159" s="151"/>
      <c r="E159" s="123" t="s">
        <v>840</v>
      </c>
      <c r="F159" s="147">
        <v>2</v>
      </c>
      <c r="G159" s="123" t="s">
        <v>681</v>
      </c>
    </row>
    <row r="160" spans="1:48" s="123" customFormat="1" ht="15" customHeight="1">
      <c r="A160" s="134"/>
      <c r="B160" s="134"/>
      <c r="C160" s="151"/>
    </row>
    <row r="161" spans="1:48" s="123" customFormat="1" ht="15" customHeight="1">
      <c r="A161" s="134"/>
      <c r="B161" s="134"/>
      <c r="C161" s="151"/>
    </row>
    <row r="162" spans="1:48" s="132" customFormat="1" ht="15" customHeight="1">
      <c r="A162" s="133"/>
      <c r="B162" s="133"/>
      <c r="C162" s="151"/>
      <c r="E162" s="170" t="str">
        <f xml:space="preserve"> InputsTS!E$421</f>
        <v>Gécamines Dividends 2011TR</v>
      </c>
      <c r="F162" s="170">
        <f xml:space="preserve"> InputsTS!F$421</f>
        <v>0</v>
      </c>
      <c r="G162" s="170" t="str">
        <f xml:space="preserve"> InputsTS!G$421</f>
        <v>$ mn</v>
      </c>
      <c r="H162" s="170">
        <f xml:space="preserve"> InputsTS!H$421</f>
        <v>0</v>
      </c>
      <c r="I162" s="170" t="str">
        <f xml:space="preserve"> InputsTS!I$421</f>
        <v>XVII</v>
      </c>
      <c r="J162" s="170">
        <f xml:space="preserve"> InputsTS!J$421</f>
        <v>-3416</v>
      </c>
      <c r="K162" s="170">
        <f xml:space="preserve"> InputsTS!K$421</f>
        <v>0</v>
      </c>
      <c r="L162" s="170">
        <f xml:space="preserve"> InputsTS!L$421</f>
        <v>0</v>
      </c>
      <c r="M162" s="170">
        <f xml:space="preserve"> InputsTS!M$421</f>
        <v>0</v>
      </c>
      <c r="N162" s="170">
        <f xml:space="preserve"> InputsTS!N$421</f>
        <v>0</v>
      </c>
      <c r="O162" s="170">
        <f xml:space="preserve"> InputsTS!O$421</f>
        <v>0</v>
      </c>
      <c r="P162" s="170">
        <f xml:space="preserve"> InputsTS!P$421</f>
        <v>0</v>
      </c>
      <c r="Q162" s="170">
        <f xml:space="preserve"> InputsTS!Q$421</f>
        <v>-11</v>
      </c>
      <c r="R162" s="170">
        <f xml:space="preserve"> InputsTS!R$421</f>
        <v>-21</v>
      </c>
      <c r="S162" s="170">
        <f xml:space="preserve"> InputsTS!S$421</f>
        <v>-15</v>
      </c>
      <c r="T162" s="170">
        <f xml:space="preserve"> InputsTS!T$421</f>
        <v>-74</v>
      </c>
      <c r="U162" s="170">
        <f xml:space="preserve"> InputsTS!U$421</f>
        <v>-91</v>
      </c>
      <c r="V162" s="170">
        <f xml:space="preserve"> InputsTS!V$421</f>
        <v>-158</v>
      </c>
      <c r="W162" s="170">
        <f xml:space="preserve"> InputsTS!W$421</f>
        <v>-260</v>
      </c>
      <c r="X162" s="170">
        <f xml:space="preserve"> InputsTS!X$421</f>
        <v>-236</v>
      </c>
      <c r="Y162" s="170">
        <f xml:space="preserve"> InputsTS!Y$421</f>
        <v>-218</v>
      </c>
      <c r="Z162" s="170">
        <f xml:space="preserve"> InputsTS!Z$421</f>
        <v>-205</v>
      </c>
      <c r="AA162" s="170">
        <f xml:space="preserve"> InputsTS!AA$421</f>
        <v>-209</v>
      </c>
      <c r="AB162" s="170">
        <f xml:space="preserve"> InputsTS!AB$421</f>
        <v>-206</v>
      </c>
      <c r="AC162" s="170">
        <f xml:space="preserve"> InputsTS!AC$421</f>
        <v>-204</v>
      </c>
      <c r="AD162" s="170">
        <f xml:space="preserve"> InputsTS!AD$421</f>
        <v>-211</v>
      </c>
      <c r="AE162" s="170">
        <f xml:space="preserve"> InputsTS!AE$421</f>
        <v>-213</v>
      </c>
      <c r="AF162" s="170">
        <f xml:space="preserve"> InputsTS!AF$421</f>
        <v>-209</v>
      </c>
      <c r="AG162" s="170">
        <f xml:space="preserve"> InputsTS!AG$421</f>
        <v>-207</v>
      </c>
      <c r="AH162" s="170">
        <f xml:space="preserve"> InputsTS!AH$421</f>
        <v>-202</v>
      </c>
      <c r="AI162" s="170">
        <f xml:space="preserve"> InputsTS!AI$421</f>
        <v>-218</v>
      </c>
      <c r="AJ162" s="170">
        <f xml:space="preserve"> InputsTS!AJ$421</f>
        <v>-176</v>
      </c>
      <c r="AK162" s="170">
        <f xml:space="preserve"> InputsTS!AK$421</f>
        <v>-72</v>
      </c>
      <c r="AL162" s="170">
        <f xml:space="preserve"> InputsTS!AL$421</f>
        <v>0</v>
      </c>
      <c r="AM162" s="170">
        <f xml:space="preserve"> InputsTS!AM$421</f>
        <v>0</v>
      </c>
      <c r="AN162" s="170">
        <f xml:space="preserve"> InputsTS!AN$421</f>
        <v>0</v>
      </c>
      <c r="AO162" s="170">
        <f xml:space="preserve"> InputsTS!AO$421</f>
        <v>0</v>
      </c>
      <c r="AP162" s="170">
        <f xml:space="preserve"> InputsTS!AP$421</f>
        <v>0</v>
      </c>
      <c r="AQ162" s="170">
        <f xml:space="preserve"> InputsTS!AQ$421</f>
        <v>0</v>
      </c>
      <c r="AR162" s="170">
        <f xml:space="preserve"> InputsTS!AR$421</f>
        <v>0</v>
      </c>
      <c r="AS162" s="170">
        <f xml:space="preserve"> InputsTS!AS$421</f>
        <v>0</v>
      </c>
      <c r="AT162" s="170">
        <f xml:space="preserve"> InputsTS!AT$421</f>
        <v>0</v>
      </c>
      <c r="AU162" s="170">
        <f xml:space="preserve"> InputsTS!AU$421</f>
        <v>0</v>
      </c>
      <c r="AV162" s="170">
        <f xml:space="preserve"> InputsTS!AV$421</f>
        <v>0</v>
      </c>
    </row>
    <row r="163" spans="1:48" s="132" customFormat="1" ht="15" customHeight="1">
      <c r="A163" s="133"/>
      <c r="B163" s="133"/>
      <c r="C163" s="151"/>
      <c r="E163" s="170" t="str">
        <f xml:space="preserve"> InputsTS!E$422</f>
        <v>Net Free Cash 2011TR KML</v>
      </c>
      <c r="F163" s="170">
        <f xml:space="preserve"> InputsTS!F$422</f>
        <v>0</v>
      </c>
      <c r="G163" s="170" t="str">
        <f xml:space="preserve"> InputsTS!G$422</f>
        <v>$ mn</v>
      </c>
      <c r="H163" s="170">
        <f xml:space="preserve"> InputsTS!H$422</f>
        <v>0</v>
      </c>
      <c r="I163" s="170" t="str">
        <f xml:space="preserve"> InputsTS!I$422</f>
        <v>XVII</v>
      </c>
      <c r="J163" s="170">
        <f xml:space="preserve"> InputsTS!J$422</f>
        <v>13144</v>
      </c>
      <c r="K163" s="170">
        <f xml:space="preserve"> InputsTS!K$422</f>
        <v>0</v>
      </c>
      <c r="L163" s="170">
        <f xml:space="preserve"> InputsTS!L$422</f>
        <v>0</v>
      </c>
      <c r="M163" s="170">
        <f xml:space="preserve"> InputsTS!M$422</f>
        <v>0</v>
      </c>
      <c r="N163" s="170">
        <f xml:space="preserve"> InputsTS!N$422</f>
        <v>0</v>
      </c>
      <c r="O163" s="170">
        <f xml:space="preserve"> InputsTS!O$422</f>
        <v>0</v>
      </c>
      <c r="P163" s="170">
        <f xml:space="preserve"> InputsTS!P$422</f>
        <v>0</v>
      </c>
      <c r="Q163" s="170">
        <f xml:space="preserve"> InputsTS!Q$422</f>
        <v>416</v>
      </c>
      <c r="R163" s="170">
        <f xml:space="preserve"> InputsTS!R$422</f>
        <v>490</v>
      </c>
      <c r="S163" s="170">
        <f xml:space="preserve"> InputsTS!S$422</f>
        <v>601</v>
      </c>
      <c r="T163" s="170">
        <f xml:space="preserve"> InputsTS!T$422</f>
        <v>1159</v>
      </c>
      <c r="U163" s="170">
        <f xml:space="preserve"> InputsTS!U$422</f>
        <v>910</v>
      </c>
      <c r="V163" s="170">
        <f xml:space="preserve"> InputsTS!V$422</f>
        <v>915</v>
      </c>
      <c r="W163" s="170">
        <f xml:space="preserve"> InputsTS!W$422</f>
        <v>771</v>
      </c>
      <c r="X163" s="170">
        <f xml:space="preserve"> InputsTS!X$422</f>
        <v>683</v>
      </c>
      <c r="Y163" s="170">
        <f xml:space="preserve"> InputsTS!Y$422</f>
        <v>649</v>
      </c>
      <c r="Z163" s="170">
        <f xml:space="preserve"> InputsTS!Z$422</f>
        <v>617</v>
      </c>
      <c r="AA163" s="170">
        <f xml:space="preserve"> InputsTS!AA$422</f>
        <v>647</v>
      </c>
      <c r="AB163" s="170">
        <f xml:space="preserve"> InputsTS!AB$422</f>
        <v>618</v>
      </c>
      <c r="AC163" s="170">
        <f xml:space="preserve"> InputsTS!AC$422</f>
        <v>611</v>
      </c>
      <c r="AD163" s="170">
        <f xml:space="preserve"> InputsTS!AD$422</f>
        <v>641</v>
      </c>
      <c r="AE163" s="170">
        <f xml:space="preserve"> InputsTS!AE$422</f>
        <v>650</v>
      </c>
      <c r="AF163" s="170">
        <f xml:space="preserve"> InputsTS!AF$422</f>
        <v>622</v>
      </c>
      <c r="AG163" s="170">
        <f xml:space="preserve"> InputsTS!AG$422</f>
        <v>616</v>
      </c>
      <c r="AH163" s="170">
        <f xml:space="preserve"> InputsTS!AH$422</f>
        <v>615</v>
      </c>
      <c r="AI163" s="170">
        <f xml:space="preserve"> InputsTS!AI$422</f>
        <v>652</v>
      </c>
      <c r="AJ163" s="170">
        <f xml:space="preserve"> InputsTS!AJ$422</f>
        <v>517</v>
      </c>
      <c r="AK163" s="170">
        <f xml:space="preserve"> InputsTS!AK$422</f>
        <v>-200</v>
      </c>
      <c r="AL163" s="170">
        <f xml:space="preserve"> InputsTS!AL$422</f>
        <v>-56</v>
      </c>
      <c r="AM163" s="170">
        <f xml:space="preserve"> InputsTS!AM$422</f>
        <v>0</v>
      </c>
      <c r="AN163" s="170">
        <f xml:space="preserve"> InputsTS!AN$422</f>
        <v>0</v>
      </c>
      <c r="AO163" s="170">
        <f xml:space="preserve"> InputsTS!AO$422</f>
        <v>0</v>
      </c>
      <c r="AP163" s="170">
        <f xml:space="preserve"> InputsTS!AP$422</f>
        <v>0</v>
      </c>
      <c r="AQ163" s="170">
        <f xml:space="preserve"> InputsTS!AQ$422</f>
        <v>0</v>
      </c>
      <c r="AR163" s="170">
        <f xml:space="preserve"> InputsTS!AR$422</f>
        <v>0</v>
      </c>
      <c r="AS163" s="170">
        <f xml:space="preserve"> InputsTS!AS$422</f>
        <v>0</v>
      </c>
      <c r="AT163" s="170">
        <f xml:space="preserve"> InputsTS!AT$422</f>
        <v>0</v>
      </c>
      <c r="AU163" s="170">
        <f xml:space="preserve"> InputsTS!AU$422</f>
        <v>0</v>
      </c>
      <c r="AV163" s="170">
        <f xml:space="preserve"> InputsTS!AV$422</f>
        <v>0</v>
      </c>
    </row>
    <row r="164" spans="1:48" s="93" customFormat="1" ht="15" customHeight="1">
      <c r="A164" s="92"/>
      <c r="B164" s="92"/>
      <c r="C164" s="149"/>
      <c r="E164" s="93" t="s">
        <v>836</v>
      </c>
      <c r="G164" s="123" t="s">
        <v>29</v>
      </c>
      <c r="H164" s="123"/>
      <c r="I164" s="94"/>
      <c r="J164" s="93">
        <f xml:space="preserve"> SUM(L164:AV164)</f>
        <v>-1</v>
      </c>
      <c r="L164" s="93">
        <f xml:space="preserve"> L156 + L162 - L163</f>
        <v>0</v>
      </c>
      <c r="M164" s="93">
        <f t="shared" ref="M164:AV164" si="46" xml:space="preserve"> M156 + M162 - M163</f>
        <v>0</v>
      </c>
      <c r="N164" s="93">
        <f t="shared" si="46"/>
        <v>0</v>
      </c>
      <c r="O164" s="93">
        <f t="shared" si="46"/>
        <v>0</v>
      </c>
      <c r="P164" s="93">
        <f t="shared" si="46"/>
        <v>0</v>
      </c>
      <c r="Q164" s="93">
        <f t="shared" si="46"/>
        <v>0</v>
      </c>
      <c r="R164" s="93">
        <f t="shared" si="46"/>
        <v>0</v>
      </c>
      <c r="S164" s="93">
        <f t="shared" si="46"/>
        <v>1</v>
      </c>
      <c r="T164" s="93">
        <f t="shared" si="46"/>
        <v>0</v>
      </c>
      <c r="U164" s="93">
        <f t="shared" si="46"/>
        <v>-1</v>
      </c>
      <c r="V164" s="93">
        <f t="shared" si="46"/>
        <v>-2</v>
      </c>
      <c r="W164" s="93">
        <f t="shared" si="46"/>
        <v>-1</v>
      </c>
      <c r="X164" s="93">
        <f t="shared" si="46"/>
        <v>0</v>
      </c>
      <c r="Y164" s="93">
        <f t="shared" si="46"/>
        <v>0</v>
      </c>
      <c r="Z164" s="93">
        <f t="shared" si="46"/>
        <v>-1</v>
      </c>
      <c r="AA164" s="93">
        <f t="shared" si="46"/>
        <v>0</v>
      </c>
      <c r="AB164" s="93">
        <f t="shared" si="46"/>
        <v>0</v>
      </c>
      <c r="AC164" s="93">
        <f t="shared" si="46"/>
        <v>1</v>
      </c>
      <c r="AD164" s="93">
        <f t="shared" si="46"/>
        <v>0</v>
      </c>
      <c r="AE164" s="93">
        <f t="shared" si="46"/>
        <v>0</v>
      </c>
      <c r="AF164" s="93">
        <f t="shared" si="46"/>
        <v>2</v>
      </c>
      <c r="AG164" s="93">
        <f t="shared" si="46"/>
        <v>1</v>
      </c>
      <c r="AH164" s="93">
        <f t="shared" si="46"/>
        <v>-1</v>
      </c>
      <c r="AI164" s="93">
        <f t="shared" si="46"/>
        <v>-1</v>
      </c>
      <c r="AJ164" s="93">
        <f t="shared" si="46"/>
        <v>1</v>
      </c>
      <c r="AK164" s="93">
        <f t="shared" si="46"/>
        <v>0</v>
      </c>
      <c r="AL164" s="93">
        <f t="shared" si="46"/>
        <v>0</v>
      </c>
      <c r="AM164" s="93">
        <f t="shared" si="46"/>
        <v>0</v>
      </c>
      <c r="AN164" s="93">
        <f t="shared" si="46"/>
        <v>0</v>
      </c>
      <c r="AO164" s="93">
        <f t="shared" si="46"/>
        <v>0</v>
      </c>
      <c r="AP164" s="93">
        <f t="shared" si="46"/>
        <v>0</v>
      </c>
      <c r="AQ164" s="93">
        <f t="shared" si="46"/>
        <v>0</v>
      </c>
      <c r="AR164" s="93">
        <f t="shared" si="46"/>
        <v>0</v>
      </c>
      <c r="AS164" s="93">
        <f t="shared" si="46"/>
        <v>0</v>
      </c>
      <c r="AT164" s="93">
        <f t="shared" si="46"/>
        <v>0</v>
      </c>
      <c r="AU164" s="93">
        <f t="shared" si="46"/>
        <v>0</v>
      </c>
      <c r="AV164" s="93">
        <f t="shared" si="46"/>
        <v>0</v>
      </c>
    </row>
    <row r="165" spans="1:48" s="93" customFormat="1" ht="15" customHeight="1">
      <c r="A165" s="92"/>
      <c r="B165" s="92"/>
      <c r="C165" s="149"/>
      <c r="E165" s="93" t="str">
        <f>E164</f>
        <v>Check: cashflows after dividends</v>
      </c>
      <c r="F165" s="169">
        <f xml:space="preserve"> IF( ABS(SUM(L165:AV165)) &gt; CHK_TOL, 1, 0)</f>
        <v>0</v>
      </c>
      <c r="G165" s="123"/>
      <c r="H165" s="123"/>
      <c r="I165" s="94"/>
      <c r="L165" s="169">
        <f xml:space="preserve"> IF( ABS(L164) &gt; $F159, 1, 0)</f>
        <v>0</v>
      </c>
      <c r="M165" s="169">
        <f t="shared" ref="M165:AV165" si="47" xml:space="preserve"> IF( ABS(M164) &gt; $F159, 1, 0)</f>
        <v>0</v>
      </c>
      <c r="N165" s="169">
        <f t="shared" si="47"/>
        <v>0</v>
      </c>
      <c r="O165" s="169">
        <f t="shared" si="47"/>
        <v>0</v>
      </c>
      <c r="P165" s="169">
        <f t="shared" si="47"/>
        <v>0</v>
      </c>
      <c r="Q165" s="169">
        <f t="shared" si="47"/>
        <v>0</v>
      </c>
      <c r="R165" s="169">
        <f t="shared" si="47"/>
        <v>0</v>
      </c>
      <c r="S165" s="169">
        <f t="shared" si="47"/>
        <v>0</v>
      </c>
      <c r="T165" s="169">
        <f t="shared" si="47"/>
        <v>0</v>
      </c>
      <c r="U165" s="169">
        <f t="shared" si="47"/>
        <v>0</v>
      </c>
      <c r="V165" s="169">
        <f t="shared" si="47"/>
        <v>0</v>
      </c>
      <c r="W165" s="169">
        <f t="shared" si="47"/>
        <v>0</v>
      </c>
      <c r="X165" s="169">
        <f t="shared" si="47"/>
        <v>0</v>
      </c>
      <c r="Y165" s="169">
        <f t="shared" si="47"/>
        <v>0</v>
      </c>
      <c r="Z165" s="169">
        <f t="shared" si="47"/>
        <v>0</v>
      </c>
      <c r="AA165" s="169">
        <f t="shared" si="47"/>
        <v>0</v>
      </c>
      <c r="AB165" s="169">
        <f t="shared" si="47"/>
        <v>0</v>
      </c>
      <c r="AC165" s="169">
        <f t="shared" si="47"/>
        <v>0</v>
      </c>
      <c r="AD165" s="169">
        <f t="shared" si="47"/>
        <v>0</v>
      </c>
      <c r="AE165" s="169">
        <f t="shared" si="47"/>
        <v>0</v>
      </c>
      <c r="AF165" s="169">
        <f t="shared" si="47"/>
        <v>0</v>
      </c>
      <c r="AG165" s="169">
        <f t="shared" si="47"/>
        <v>0</v>
      </c>
      <c r="AH165" s="169">
        <f t="shared" si="47"/>
        <v>0</v>
      </c>
      <c r="AI165" s="169">
        <f t="shared" si="47"/>
        <v>0</v>
      </c>
      <c r="AJ165" s="169">
        <f t="shared" si="47"/>
        <v>0</v>
      </c>
      <c r="AK165" s="169">
        <f t="shared" si="47"/>
        <v>0</v>
      </c>
      <c r="AL165" s="169">
        <f t="shared" si="47"/>
        <v>0</v>
      </c>
      <c r="AM165" s="169">
        <f t="shared" si="47"/>
        <v>0</v>
      </c>
      <c r="AN165" s="169">
        <f t="shared" si="47"/>
        <v>0</v>
      </c>
      <c r="AO165" s="169">
        <f t="shared" si="47"/>
        <v>0</v>
      </c>
      <c r="AP165" s="169">
        <f t="shared" si="47"/>
        <v>0</v>
      </c>
      <c r="AQ165" s="169">
        <f t="shared" si="47"/>
        <v>0</v>
      </c>
      <c r="AR165" s="169">
        <f t="shared" si="47"/>
        <v>0</v>
      </c>
      <c r="AS165" s="169">
        <f t="shared" si="47"/>
        <v>0</v>
      </c>
      <c r="AT165" s="169">
        <f t="shared" si="47"/>
        <v>0</v>
      </c>
      <c r="AU165" s="169">
        <f t="shared" si="47"/>
        <v>0</v>
      </c>
      <c r="AV165" s="169">
        <f t="shared" si="47"/>
        <v>0</v>
      </c>
    </row>
    <row r="167" spans="1:48" s="160" customFormat="1" ht="15" customHeight="1">
      <c r="A167" s="164" t="s">
        <v>206</v>
      </c>
      <c r="B167" s="162"/>
      <c r="C167" s="192"/>
      <c r="D167" s="163"/>
      <c r="E167" s="162"/>
      <c r="F167" s="162"/>
      <c r="G167" s="162"/>
      <c r="H167" s="162"/>
    </row>
    <row r="168" spans="1:48" s="229" customFormat="1" ht="15" customHeight="1">
      <c r="A168" s="225"/>
      <c r="B168" s="226"/>
      <c r="C168" s="227"/>
      <c r="D168" s="228"/>
      <c r="E168" s="226"/>
      <c r="F168" s="226"/>
      <c r="G168" s="226"/>
      <c r="H168" s="226"/>
    </row>
    <row r="169" spans="1:48" ht="15" customHeight="1">
      <c r="E169" s="123" t="s">
        <v>126</v>
      </c>
      <c r="F169" s="137">
        <v>0.25</v>
      </c>
      <c r="G169" s="123" t="s">
        <v>26</v>
      </c>
      <c r="H169" s="123"/>
      <c r="I169" s="123"/>
      <c r="J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3"/>
      <c r="AC169" s="123"/>
      <c r="AD169" s="123"/>
      <c r="AE169" s="123"/>
      <c r="AF169" s="123"/>
      <c r="AG169" s="123"/>
      <c r="AH169" s="123"/>
      <c r="AI169" s="123"/>
      <c r="AJ169" s="123"/>
      <c r="AK169" s="123"/>
      <c r="AL169" s="123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</row>
    <row r="170" spans="1:48" s="114" customFormat="1" ht="15" customHeight="1">
      <c r="A170" s="131"/>
      <c r="B170" s="131"/>
      <c r="C170" s="194"/>
      <c r="E170" s="114" t="str">
        <f xml:space="preserve"> E162 &amp; " % CFAT"</f>
        <v>Gécamines Dividends 2011TR % CFAT</v>
      </c>
      <c r="G170" s="114" t="s">
        <v>26</v>
      </c>
      <c r="I170" s="130"/>
      <c r="L170" s="114">
        <f t="shared" ref="L170:AV170" si="48" xml:space="preserve"> IF(L162 &lt;&gt; 0,L162 / L156, 0)</f>
        <v>0</v>
      </c>
      <c r="M170" s="114">
        <f t="shared" si="48"/>
        <v>0</v>
      </c>
      <c r="N170" s="114">
        <f t="shared" si="48"/>
        <v>0</v>
      </c>
      <c r="O170" s="114">
        <f t="shared" si="48"/>
        <v>0</v>
      </c>
      <c r="P170" s="114">
        <f t="shared" si="48"/>
        <v>0</v>
      </c>
      <c r="Q170" s="114">
        <f t="shared" si="48"/>
        <v>-2.576112412177986E-2</v>
      </c>
      <c r="R170" s="114">
        <f t="shared" si="48"/>
        <v>-4.1095890410958902E-2</v>
      </c>
      <c r="S170" s="114">
        <f t="shared" si="48"/>
        <v>-2.4311183144246355E-2</v>
      </c>
      <c r="T170" s="114">
        <f t="shared" si="48"/>
        <v>-6.0016220600162207E-2</v>
      </c>
      <c r="U170" s="114">
        <f t="shared" si="48"/>
        <v>-9.0999999999999998E-2</v>
      </c>
      <c r="V170" s="114">
        <f t="shared" si="48"/>
        <v>-0.14752567693744165</v>
      </c>
      <c r="W170" s="114">
        <f t="shared" si="48"/>
        <v>-0.25242718446601942</v>
      </c>
      <c r="X170" s="114">
        <f t="shared" si="48"/>
        <v>-0.25680087051142547</v>
      </c>
      <c r="Y170" s="114">
        <f t="shared" si="48"/>
        <v>-0.25144175317185696</v>
      </c>
      <c r="Z170" s="114">
        <f t="shared" si="48"/>
        <v>-0.24969549330085261</v>
      </c>
      <c r="AA170" s="114">
        <f t="shared" si="48"/>
        <v>-0.24415887850467291</v>
      </c>
      <c r="AB170" s="114">
        <f t="shared" si="48"/>
        <v>-0.25</v>
      </c>
      <c r="AC170" s="114">
        <f t="shared" si="48"/>
        <v>-0.25</v>
      </c>
      <c r="AD170" s="114">
        <f t="shared" si="48"/>
        <v>-0.24765258215962441</v>
      </c>
      <c r="AE170" s="114">
        <f t="shared" si="48"/>
        <v>-0.24681344148319814</v>
      </c>
      <c r="AF170" s="114">
        <f t="shared" si="48"/>
        <v>-0.25090036014405764</v>
      </c>
      <c r="AG170" s="114">
        <f t="shared" si="48"/>
        <v>-0.25121359223300971</v>
      </c>
      <c r="AH170" s="114">
        <f t="shared" si="48"/>
        <v>-0.24754901960784315</v>
      </c>
      <c r="AI170" s="114">
        <f t="shared" si="48"/>
        <v>-0.25086306098964328</v>
      </c>
      <c r="AJ170" s="114">
        <f t="shared" si="48"/>
        <v>-0.25360230547550433</v>
      </c>
      <c r="AK170" s="114">
        <f t="shared" si="48"/>
        <v>0.5625</v>
      </c>
      <c r="AL170" s="114">
        <f t="shared" si="48"/>
        <v>0</v>
      </c>
      <c r="AM170" s="114">
        <f t="shared" si="48"/>
        <v>0</v>
      </c>
      <c r="AN170" s="114">
        <f t="shared" si="48"/>
        <v>0</v>
      </c>
      <c r="AO170" s="114">
        <f t="shared" si="48"/>
        <v>0</v>
      </c>
      <c r="AP170" s="114">
        <f t="shared" si="48"/>
        <v>0</v>
      </c>
      <c r="AQ170" s="114">
        <f t="shared" si="48"/>
        <v>0</v>
      </c>
      <c r="AR170" s="114">
        <f t="shared" si="48"/>
        <v>0</v>
      </c>
      <c r="AS170" s="114">
        <f t="shared" si="48"/>
        <v>0</v>
      </c>
      <c r="AT170" s="114">
        <f t="shared" si="48"/>
        <v>0</v>
      </c>
      <c r="AU170" s="114">
        <f t="shared" si="48"/>
        <v>0</v>
      </c>
      <c r="AV170" s="114">
        <f t="shared" si="48"/>
        <v>0</v>
      </c>
    </row>
    <row r="171" spans="1:48" ht="15" customHeight="1">
      <c r="E171" s="10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</row>
    <row r="172" spans="1:48" ht="15" customHeight="1">
      <c r="E172" s="110" t="s">
        <v>127</v>
      </c>
      <c r="F172" s="123"/>
      <c r="G172" s="123" t="s">
        <v>29</v>
      </c>
      <c r="H172" s="123"/>
      <c r="I172" s="123"/>
      <c r="J172" s="123"/>
      <c r="L172" s="123">
        <f t="shared" ref="L172:AV172" si="49" xml:space="preserve"> L154 * $F169</f>
        <v>0</v>
      </c>
      <c r="M172" s="123">
        <f t="shared" si="49"/>
        <v>0</v>
      </c>
      <c r="N172" s="123">
        <f t="shared" si="49"/>
        <v>0</v>
      </c>
      <c r="O172" s="123">
        <f t="shared" si="49"/>
        <v>0</v>
      </c>
      <c r="P172" s="123">
        <f t="shared" si="49"/>
        <v>0</v>
      </c>
      <c r="Q172" s="123">
        <f t="shared" si="49"/>
        <v>-80</v>
      </c>
      <c r="R172" s="123">
        <f t="shared" si="49"/>
        <v>-88.25</v>
      </c>
      <c r="S172" s="123">
        <f t="shared" si="49"/>
        <v>-92.75</v>
      </c>
      <c r="T172" s="123">
        <f t="shared" si="49"/>
        <v>-33.25</v>
      </c>
      <c r="U172" s="123">
        <f t="shared" si="49"/>
        <v>-30</v>
      </c>
      <c r="V172" s="123">
        <f t="shared" si="49"/>
        <v>-22.25</v>
      </c>
      <c r="W172" s="123">
        <f t="shared" si="49"/>
        <v>-26.25</v>
      </c>
      <c r="X172" s="123">
        <f t="shared" si="49"/>
        <v>-29.75</v>
      </c>
      <c r="Y172" s="123">
        <f t="shared" si="49"/>
        <v>-24.25</v>
      </c>
      <c r="Z172" s="123">
        <f t="shared" si="49"/>
        <v>-27.5</v>
      </c>
      <c r="AA172" s="123">
        <f t="shared" si="49"/>
        <v>-25.75</v>
      </c>
      <c r="AB172" s="123">
        <f t="shared" si="49"/>
        <v>-25.75</v>
      </c>
      <c r="AC172" s="123">
        <f t="shared" si="49"/>
        <v>-23.5</v>
      </c>
      <c r="AD172" s="123">
        <f t="shared" si="49"/>
        <v>-21.75</v>
      </c>
      <c r="AE172" s="123">
        <f t="shared" si="49"/>
        <v>-19</v>
      </c>
      <c r="AF172" s="123">
        <f t="shared" si="49"/>
        <v>-19.25</v>
      </c>
      <c r="AG172" s="123">
        <f t="shared" si="49"/>
        <v>-18.75</v>
      </c>
      <c r="AH172" s="123">
        <f t="shared" si="49"/>
        <v>-20.75</v>
      </c>
      <c r="AI172" s="123">
        <f t="shared" si="49"/>
        <v>-19.25</v>
      </c>
      <c r="AJ172" s="123">
        <f t="shared" si="49"/>
        <v>-14</v>
      </c>
      <c r="AK172" s="123">
        <f t="shared" si="49"/>
        <v>0</v>
      </c>
      <c r="AL172" s="123">
        <f t="shared" si="49"/>
        <v>0</v>
      </c>
      <c r="AM172" s="123">
        <f t="shared" si="49"/>
        <v>0</v>
      </c>
      <c r="AN172" s="123">
        <f t="shared" si="49"/>
        <v>0</v>
      </c>
      <c r="AO172" s="123">
        <f t="shared" si="49"/>
        <v>0</v>
      </c>
      <c r="AP172" s="123">
        <f t="shared" si="49"/>
        <v>0</v>
      </c>
      <c r="AQ172" s="123">
        <f t="shared" si="49"/>
        <v>0</v>
      </c>
      <c r="AR172" s="123">
        <f t="shared" si="49"/>
        <v>0</v>
      </c>
      <c r="AS172" s="123">
        <f t="shared" si="49"/>
        <v>0</v>
      </c>
      <c r="AT172" s="123">
        <f t="shared" si="49"/>
        <v>0</v>
      </c>
      <c r="AU172" s="123">
        <f t="shared" si="49"/>
        <v>0</v>
      </c>
      <c r="AV172" s="123">
        <f t="shared" si="49"/>
        <v>0</v>
      </c>
    </row>
    <row r="173" spans="1:48" ht="15" customHeight="1">
      <c r="E173" s="110" t="s">
        <v>128</v>
      </c>
      <c r="F173" s="123"/>
      <c r="G173" s="123" t="s">
        <v>29</v>
      </c>
      <c r="H173" s="123"/>
      <c r="I173" s="123"/>
      <c r="J173" s="123">
        <f xml:space="preserve"> SUM(L173:AV173)</f>
        <v>4139.75</v>
      </c>
      <c r="L173" s="123">
        <f t="shared" ref="L173:AV173" si="50" xml:space="preserve"> L156 * $F169</f>
        <v>0</v>
      </c>
      <c r="M173" s="123">
        <f t="shared" si="50"/>
        <v>0</v>
      </c>
      <c r="N173" s="123">
        <f t="shared" si="50"/>
        <v>0</v>
      </c>
      <c r="O173" s="123">
        <f t="shared" si="50"/>
        <v>0</v>
      </c>
      <c r="P173" s="123">
        <f t="shared" si="50"/>
        <v>0</v>
      </c>
      <c r="Q173" s="123">
        <f t="shared" si="50"/>
        <v>106.75</v>
      </c>
      <c r="R173" s="123">
        <f t="shared" si="50"/>
        <v>127.75</v>
      </c>
      <c r="S173" s="123">
        <f t="shared" si="50"/>
        <v>154.25</v>
      </c>
      <c r="T173" s="123">
        <f t="shared" si="50"/>
        <v>308.25</v>
      </c>
      <c r="U173" s="123">
        <f t="shared" si="50"/>
        <v>250</v>
      </c>
      <c r="V173" s="123">
        <f t="shared" si="50"/>
        <v>267.75</v>
      </c>
      <c r="W173" s="123">
        <f t="shared" si="50"/>
        <v>257.5</v>
      </c>
      <c r="X173" s="123">
        <f t="shared" si="50"/>
        <v>229.75</v>
      </c>
      <c r="Y173" s="123">
        <f t="shared" si="50"/>
        <v>216.75</v>
      </c>
      <c r="Z173" s="123">
        <f t="shared" si="50"/>
        <v>205.25</v>
      </c>
      <c r="AA173" s="123">
        <f t="shared" si="50"/>
        <v>214</v>
      </c>
      <c r="AB173" s="123">
        <f t="shared" si="50"/>
        <v>206</v>
      </c>
      <c r="AC173" s="123">
        <f t="shared" si="50"/>
        <v>204</v>
      </c>
      <c r="AD173" s="123">
        <f t="shared" si="50"/>
        <v>213</v>
      </c>
      <c r="AE173" s="123">
        <f t="shared" si="50"/>
        <v>215.75</v>
      </c>
      <c r="AF173" s="123">
        <f t="shared" si="50"/>
        <v>208.25</v>
      </c>
      <c r="AG173" s="123">
        <f t="shared" si="50"/>
        <v>206</v>
      </c>
      <c r="AH173" s="123">
        <f t="shared" si="50"/>
        <v>204</v>
      </c>
      <c r="AI173" s="123">
        <f t="shared" si="50"/>
        <v>217.25</v>
      </c>
      <c r="AJ173" s="123">
        <f t="shared" si="50"/>
        <v>173.5</v>
      </c>
      <c r="AK173" s="123">
        <f t="shared" si="50"/>
        <v>-32</v>
      </c>
      <c r="AL173" s="123">
        <f t="shared" si="50"/>
        <v>-14</v>
      </c>
      <c r="AM173" s="123">
        <f t="shared" si="50"/>
        <v>0</v>
      </c>
      <c r="AN173" s="123">
        <f t="shared" si="50"/>
        <v>0</v>
      </c>
      <c r="AO173" s="123">
        <f t="shared" si="50"/>
        <v>0</v>
      </c>
      <c r="AP173" s="123">
        <f t="shared" si="50"/>
        <v>0</v>
      </c>
      <c r="AQ173" s="123">
        <f t="shared" si="50"/>
        <v>0</v>
      </c>
      <c r="AR173" s="123">
        <f t="shared" si="50"/>
        <v>0</v>
      </c>
      <c r="AS173" s="123">
        <f t="shared" si="50"/>
        <v>0</v>
      </c>
      <c r="AT173" s="123">
        <f t="shared" si="50"/>
        <v>0</v>
      </c>
      <c r="AU173" s="123">
        <f t="shared" si="50"/>
        <v>0</v>
      </c>
      <c r="AV173" s="123">
        <f t="shared" si="50"/>
        <v>0</v>
      </c>
    </row>
    <row r="174" spans="1:48" ht="15" customHeight="1">
      <c r="E174" s="110" t="s">
        <v>207</v>
      </c>
      <c r="F174" s="123"/>
      <c r="G174" s="123" t="s">
        <v>29</v>
      </c>
      <c r="H174" s="123"/>
      <c r="I174" s="170" t="str">
        <f xml:space="preserve"> Sources!I57</f>
        <v>XLVI</v>
      </c>
      <c r="J174" s="123">
        <f xml:space="preserve"> SUM(L174:AV174)</f>
        <v>723.75</v>
      </c>
      <c r="L174" s="123">
        <f t="shared" ref="L174:AV174" si="51" xml:space="preserve"> L173 - L162 * -1</f>
        <v>0</v>
      </c>
      <c r="M174" s="123">
        <f t="shared" si="51"/>
        <v>0</v>
      </c>
      <c r="N174" s="123">
        <f t="shared" si="51"/>
        <v>0</v>
      </c>
      <c r="O174" s="123">
        <f t="shared" si="51"/>
        <v>0</v>
      </c>
      <c r="P174" s="123">
        <f t="shared" si="51"/>
        <v>0</v>
      </c>
      <c r="Q174" s="244">
        <f t="shared" si="51"/>
        <v>95.75</v>
      </c>
      <c r="R174" s="244">
        <f t="shared" si="51"/>
        <v>106.75</v>
      </c>
      <c r="S174" s="244">
        <f t="shared" si="51"/>
        <v>139.25</v>
      </c>
      <c r="T174" s="244">
        <f t="shared" si="51"/>
        <v>234.25</v>
      </c>
      <c r="U174" s="244">
        <f t="shared" si="51"/>
        <v>159</v>
      </c>
      <c r="V174" s="244">
        <f t="shared" si="51"/>
        <v>109.75</v>
      </c>
      <c r="W174" s="123">
        <f t="shared" si="51"/>
        <v>-2.5</v>
      </c>
      <c r="X174" s="123">
        <f t="shared" si="51"/>
        <v>-6.25</v>
      </c>
      <c r="Y174" s="123">
        <f t="shared" si="51"/>
        <v>-1.25</v>
      </c>
      <c r="Z174" s="123">
        <f t="shared" si="51"/>
        <v>0.25</v>
      </c>
      <c r="AA174" s="123">
        <f t="shared" si="51"/>
        <v>5</v>
      </c>
      <c r="AB174" s="123">
        <f t="shared" si="51"/>
        <v>0</v>
      </c>
      <c r="AC174" s="123">
        <f t="shared" si="51"/>
        <v>0</v>
      </c>
      <c r="AD174" s="123">
        <f t="shared" si="51"/>
        <v>2</v>
      </c>
      <c r="AE174" s="123">
        <f t="shared" si="51"/>
        <v>2.75</v>
      </c>
      <c r="AF174" s="123">
        <f t="shared" si="51"/>
        <v>-0.75</v>
      </c>
      <c r="AG174" s="123">
        <f t="shared" si="51"/>
        <v>-1</v>
      </c>
      <c r="AH174" s="123">
        <f t="shared" si="51"/>
        <v>2</v>
      </c>
      <c r="AI174" s="123">
        <f t="shared" si="51"/>
        <v>-0.75</v>
      </c>
      <c r="AJ174" s="123">
        <f t="shared" si="51"/>
        <v>-2.5</v>
      </c>
      <c r="AK174" s="123">
        <f t="shared" si="51"/>
        <v>-104</v>
      </c>
      <c r="AL174" s="123">
        <f t="shared" si="51"/>
        <v>-14</v>
      </c>
      <c r="AM174" s="123">
        <f t="shared" si="51"/>
        <v>0</v>
      </c>
      <c r="AN174" s="123">
        <f t="shared" si="51"/>
        <v>0</v>
      </c>
      <c r="AO174" s="123">
        <f t="shared" si="51"/>
        <v>0</v>
      </c>
      <c r="AP174" s="123">
        <f t="shared" si="51"/>
        <v>0</v>
      </c>
      <c r="AQ174" s="123">
        <f t="shared" si="51"/>
        <v>0</v>
      </c>
      <c r="AR174" s="123">
        <f t="shared" si="51"/>
        <v>0</v>
      </c>
      <c r="AS174" s="123">
        <f t="shared" si="51"/>
        <v>0</v>
      </c>
      <c r="AT174" s="123">
        <f t="shared" si="51"/>
        <v>0</v>
      </c>
      <c r="AU174" s="123">
        <f t="shared" si="51"/>
        <v>0</v>
      </c>
      <c r="AV174" s="123">
        <f t="shared" si="51"/>
        <v>0</v>
      </c>
    </row>
    <row r="175" spans="1:48" ht="15" customHeight="1">
      <c r="E175" s="110" t="str">
        <f xml:space="preserve"> E174 &amp; " CUM"</f>
        <v>Gecamines dividends foregone: debt repayment? CUM</v>
      </c>
      <c r="F175" s="123"/>
      <c r="G175" s="123" t="s">
        <v>29</v>
      </c>
      <c r="H175" s="123"/>
      <c r="I175" s="123"/>
      <c r="J175" s="123"/>
      <c r="K175" s="177"/>
      <c r="L175" s="123">
        <f xml:space="preserve"> K175 + L174</f>
        <v>0</v>
      </c>
      <c r="M175" s="123">
        <f t="shared" ref="M175:AV175" si="52" xml:space="preserve"> L175 + M174</f>
        <v>0</v>
      </c>
      <c r="N175" s="123">
        <f t="shared" si="52"/>
        <v>0</v>
      </c>
      <c r="O175" s="123">
        <f t="shared" si="52"/>
        <v>0</v>
      </c>
      <c r="P175" s="123">
        <f t="shared" si="52"/>
        <v>0</v>
      </c>
      <c r="Q175" s="123">
        <f t="shared" si="52"/>
        <v>95.75</v>
      </c>
      <c r="R175" s="123">
        <f t="shared" si="52"/>
        <v>202.5</v>
      </c>
      <c r="S175" s="123">
        <f t="shared" si="52"/>
        <v>341.75</v>
      </c>
      <c r="T175" s="123">
        <f t="shared" si="52"/>
        <v>576</v>
      </c>
      <c r="U175" s="123">
        <f t="shared" si="52"/>
        <v>735</v>
      </c>
      <c r="V175" s="123">
        <f t="shared" si="52"/>
        <v>844.75</v>
      </c>
      <c r="W175" s="123">
        <f t="shared" si="52"/>
        <v>842.25</v>
      </c>
      <c r="X175" s="123">
        <f t="shared" si="52"/>
        <v>836</v>
      </c>
      <c r="Y175" s="123">
        <f t="shared" si="52"/>
        <v>834.75</v>
      </c>
      <c r="Z175" s="123">
        <f t="shared" si="52"/>
        <v>835</v>
      </c>
      <c r="AA175" s="123">
        <f t="shared" si="52"/>
        <v>840</v>
      </c>
      <c r="AB175" s="123">
        <f t="shared" si="52"/>
        <v>840</v>
      </c>
      <c r="AC175" s="123">
        <f t="shared" si="52"/>
        <v>840</v>
      </c>
      <c r="AD175" s="123">
        <f t="shared" si="52"/>
        <v>842</v>
      </c>
      <c r="AE175" s="123">
        <f t="shared" si="52"/>
        <v>844.75</v>
      </c>
      <c r="AF175" s="123">
        <f t="shared" si="52"/>
        <v>844</v>
      </c>
      <c r="AG175" s="123">
        <f t="shared" si="52"/>
        <v>843</v>
      </c>
      <c r="AH175" s="123">
        <f t="shared" si="52"/>
        <v>845</v>
      </c>
      <c r="AI175" s="123">
        <f t="shared" si="52"/>
        <v>844.25</v>
      </c>
      <c r="AJ175" s="123">
        <f t="shared" si="52"/>
        <v>841.75</v>
      </c>
      <c r="AK175" s="123">
        <f t="shared" si="52"/>
        <v>737.75</v>
      </c>
      <c r="AL175" s="123">
        <f t="shared" si="52"/>
        <v>723.75</v>
      </c>
      <c r="AM175" s="123">
        <f t="shared" si="52"/>
        <v>723.75</v>
      </c>
      <c r="AN175" s="123">
        <f t="shared" si="52"/>
        <v>723.75</v>
      </c>
      <c r="AO175" s="123">
        <f t="shared" si="52"/>
        <v>723.75</v>
      </c>
      <c r="AP175" s="123">
        <f t="shared" si="52"/>
        <v>723.75</v>
      </c>
      <c r="AQ175" s="123">
        <f t="shared" si="52"/>
        <v>723.75</v>
      </c>
      <c r="AR175" s="123">
        <f t="shared" si="52"/>
        <v>723.75</v>
      </c>
      <c r="AS175" s="123">
        <f t="shared" si="52"/>
        <v>723.75</v>
      </c>
      <c r="AT175" s="123">
        <f t="shared" si="52"/>
        <v>723.75</v>
      </c>
      <c r="AU175" s="123">
        <f t="shared" si="52"/>
        <v>723.75</v>
      </c>
      <c r="AV175" s="123">
        <f t="shared" si="52"/>
        <v>723.75</v>
      </c>
    </row>
    <row r="176" spans="1:48" ht="15" customHeight="1">
      <c r="F176" s="123"/>
      <c r="G176" s="123"/>
      <c r="H176" s="123"/>
      <c r="I176" s="123"/>
      <c r="J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3"/>
      <c r="AC176" s="123"/>
      <c r="AD176" s="123"/>
      <c r="AE176" s="123"/>
      <c r="AF176" s="123"/>
      <c r="AG176" s="123"/>
      <c r="AH176" s="123"/>
      <c r="AI176" s="123"/>
      <c r="AJ176" s="123"/>
      <c r="AK176" s="123"/>
      <c r="AL176" s="123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3"/>
    </row>
    <row r="177" spans="1:48" ht="15" customHeight="1">
      <c r="C177" s="191" t="s">
        <v>129</v>
      </c>
      <c r="F177" s="123"/>
      <c r="G177" s="123"/>
      <c r="H177" s="123"/>
      <c r="I177" s="123"/>
      <c r="J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3"/>
    </row>
    <row r="178" spans="1:48" ht="15" customHeight="1">
      <c r="E178" s="110" t="s">
        <v>130</v>
      </c>
      <c r="F178" s="137">
        <v>0.05</v>
      </c>
      <c r="G178" s="123" t="s">
        <v>26</v>
      </c>
      <c r="H178" s="123"/>
      <c r="I178" s="123" t="s">
        <v>131</v>
      </c>
      <c r="J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3"/>
    </row>
    <row r="179" spans="1:48" ht="15" customHeight="1">
      <c r="E179" s="110" t="s">
        <v>916</v>
      </c>
      <c r="F179" s="242">
        <v>700</v>
      </c>
      <c r="G179" s="123" t="s">
        <v>29</v>
      </c>
      <c r="H179" s="123"/>
      <c r="I179" s="123" t="s">
        <v>131</v>
      </c>
      <c r="J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3"/>
      <c r="AC179" s="123"/>
      <c r="AD179" s="123"/>
      <c r="AE179" s="123"/>
      <c r="AF179" s="123"/>
      <c r="AG179" s="123"/>
      <c r="AH179" s="123"/>
      <c r="AI179" s="123"/>
      <c r="AJ179" s="123"/>
      <c r="AK179" s="123"/>
      <c r="AL179" s="123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3"/>
    </row>
    <row r="180" spans="1:48" ht="15" customHeight="1">
      <c r="E180" s="110" t="s">
        <v>132</v>
      </c>
      <c r="F180" s="242">
        <v>2011</v>
      </c>
      <c r="G180" s="123" t="s">
        <v>62</v>
      </c>
      <c r="H180" s="123"/>
      <c r="I180" s="123"/>
      <c r="J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  <c r="AE180" s="123"/>
      <c r="AF180" s="123"/>
      <c r="AG180" s="123"/>
      <c r="AH180" s="123"/>
      <c r="AI180" s="123"/>
      <c r="AJ180" s="123"/>
      <c r="AK180" s="123"/>
      <c r="AL180" s="123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3"/>
    </row>
    <row r="181" spans="1:48" ht="15" customHeight="1">
      <c r="F181" s="123"/>
      <c r="G181" s="123"/>
      <c r="H181" s="123"/>
      <c r="I181" s="123"/>
      <c r="J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3"/>
      <c r="AC181" s="123"/>
      <c r="AD181" s="123"/>
      <c r="AE181" s="123"/>
      <c r="AF181" s="123"/>
      <c r="AG181" s="123"/>
      <c r="AH181" s="123"/>
      <c r="AI181" s="123"/>
      <c r="AJ181" s="123"/>
      <c r="AK181" s="123"/>
      <c r="AL181" s="123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3"/>
    </row>
    <row r="182" spans="1:48" ht="15" customHeight="1">
      <c r="E182" s="108" t="str">
        <f xml:space="preserve"> 'T&amp;E'!E$9</f>
        <v>Model calendar year</v>
      </c>
      <c r="F182" s="108">
        <f xml:space="preserve"> 'T&amp;E'!F$9</f>
        <v>0</v>
      </c>
      <c r="G182" s="108" t="str">
        <f xml:space="preserve"> 'T&amp;E'!G$9</f>
        <v>year</v>
      </c>
      <c r="H182" s="108">
        <f xml:space="preserve"> 'T&amp;E'!H$9</f>
        <v>0</v>
      </c>
      <c r="I182" s="108">
        <f xml:space="preserve"> 'T&amp;E'!I$9</f>
        <v>0</v>
      </c>
      <c r="J182" s="108">
        <f xml:space="preserve"> 'T&amp;E'!J$9</f>
        <v>0</v>
      </c>
      <c r="K182" s="108">
        <f xml:space="preserve"> 'T&amp;E'!K$9</f>
        <v>0</v>
      </c>
      <c r="L182" s="108">
        <f xml:space="preserve"> 'T&amp;E'!L$9</f>
        <v>2014</v>
      </c>
      <c r="M182" s="108">
        <f xml:space="preserve"> 'T&amp;E'!M$9</f>
        <v>2015</v>
      </c>
      <c r="N182" s="108">
        <f xml:space="preserve"> 'T&amp;E'!N$9</f>
        <v>2016</v>
      </c>
      <c r="O182" s="108">
        <f xml:space="preserve"> 'T&amp;E'!O$9</f>
        <v>2017</v>
      </c>
      <c r="P182" s="108">
        <f xml:space="preserve"> 'T&amp;E'!P$9</f>
        <v>2018</v>
      </c>
      <c r="Q182" s="108">
        <f xml:space="preserve"> 'T&amp;E'!Q$9</f>
        <v>2019</v>
      </c>
      <c r="R182" s="108">
        <f xml:space="preserve"> 'T&amp;E'!R$9</f>
        <v>2020</v>
      </c>
      <c r="S182" s="108">
        <f xml:space="preserve"> 'T&amp;E'!S$9</f>
        <v>2021</v>
      </c>
      <c r="T182" s="108">
        <f xml:space="preserve"> 'T&amp;E'!T$9</f>
        <v>2022</v>
      </c>
      <c r="U182" s="108">
        <f xml:space="preserve"> 'T&amp;E'!U$9</f>
        <v>2023</v>
      </c>
      <c r="V182" s="108">
        <f xml:space="preserve"> 'T&amp;E'!V$9</f>
        <v>2024</v>
      </c>
      <c r="W182" s="108">
        <f xml:space="preserve"> 'T&amp;E'!W$9</f>
        <v>2025</v>
      </c>
      <c r="X182" s="108">
        <f xml:space="preserve"> 'T&amp;E'!X$9</f>
        <v>2026</v>
      </c>
      <c r="Y182" s="108">
        <f xml:space="preserve"> 'T&amp;E'!Y$9</f>
        <v>2027</v>
      </c>
      <c r="Z182" s="108">
        <f xml:space="preserve"> 'T&amp;E'!Z$9</f>
        <v>2028</v>
      </c>
      <c r="AA182" s="108">
        <f xml:space="preserve"> 'T&amp;E'!AA$9</f>
        <v>2029</v>
      </c>
      <c r="AB182" s="108">
        <f xml:space="preserve"> 'T&amp;E'!AB$9</f>
        <v>2030</v>
      </c>
      <c r="AC182" s="108">
        <f xml:space="preserve"> 'T&amp;E'!AC$9</f>
        <v>2031</v>
      </c>
      <c r="AD182" s="108">
        <f xml:space="preserve"> 'T&amp;E'!AD$9</f>
        <v>2032</v>
      </c>
      <c r="AE182" s="108">
        <f xml:space="preserve"> 'T&amp;E'!AE$9</f>
        <v>2033</v>
      </c>
      <c r="AF182" s="108">
        <f xml:space="preserve"> 'T&amp;E'!AF$9</f>
        <v>2034</v>
      </c>
      <c r="AG182" s="108">
        <f xml:space="preserve"> 'T&amp;E'!AG$9</f>
        <v>2035</v>
      </c>
      <c r="AH182" s="108">
        <f xml:space="preserve"> 'T&amp;E'!AH$9</f>
        <v>2036</v>
      </c>
      <c r="AI182" s="108">
        <f xml:space="preserve"> 'T&amp;E'!AI$9</f>
        <v>2037</v>
      </c>
      <c r="AJ182" s="108">
        <f xml:space="preserve"> 'T&amp;E'!AJ$9</f>
        <v>2038</v>
      </c>
      <c r="AK182" s="108">
        <f xml:space="preserve"> 'T&amp;E'!AK$9</f>
        <v>2039</v>
      </c>
      <c r="AL182" s="108">
        <f xml:space="preserve"> 'T&amp;E'!AL$9</f>
        <v>2040</v>
      </c>
      <c r="AM182" s="108">
        <f xml:space="preserve"> 'T&amp;E'!AM$9</f>
        <v>2041</v>
      </c>
      <c r="AN182" s="108">
        <f xml:space="preserve"> 'T&amp;E'!AN$9</f>
        <v>2042</v>
      </c>
      <c r="AO182" s="108">
        <f xml:space="preserve"> 'T&amp;E'!AO$9</f>
        <v>2043</v>
      </c>
      <c r="AP182" s="108">
        <f xml:space="preserve"> 'T&amp;E'!AP$9</f>
        <v>2044</v>
      </c>
      <c r="AQ182" s="108">
        <f xml:space="preserve"> 'T&amp;E'!AQ$9</f>
        <v>2045</v>
      </c>
      <c r="AR182" s="108">
        <f xml:space="preserve"> 'T&amp;E'!AR$9</f>
        <v>2046</v>
      </c>
      <c r="AS182" s="108">
        <f xml:space="preserve"> 'T&amp;E'!AS$9</f>
        <v>2047</v>
      </c>
      <c r="AT182" s="108">
        <f xml:space="preserve"> 'T&amp;E'!AT$9</f>
        <v>2048</v>
      </c>
      <c r="AU182" s="108">
        <f xml:space="preserve"> 'T&amp;E'!AU$9</f>
        <v>2049</v>
      </c>
      <c r="AV182" s="108">
        <f xml:space="preserve"> 'T&amp;E'!AV$9</f>
        <v>2050</v>
      </c>
    </row>
    <row r="183" spans="1:48" ht="15" customHeight="1">
      <c r="E183" s="129" t="s">
        <v>133</v>
      </c>
      <c r="F183" s="146"/>
      <c r="G183" s="146" t="s">
        <v>29</v>
      </c>
      <c r="H183" s="146"/>
      <c r="I183" s="146"/>
      <c r="J183" s="146"/>
      <c r="K183" s="146"/>
      <c r="L183" s="146">
        <f t="shared" ref="L183:AV183" si="53">IF( L182 = $F180, $F179, K187)</f>
        <v>0</v>
      </c>
      <c r="M183" s="146">
        <f t="shared" si="53"/>
        <v>0</v>
      </c>
      <c r="N183" s="146">
        <f t="shared" si="53"/>
        <v>0</v>
      </c>
      <c r="O183" s="146">
        <f t="shared" si="53"/>
        <v>0</v>
      </c>
      <c r="P183" s="146">
        <f t="shared" si="53"/>
        <v>0</v>
      </c>
      <c r="Q183" s="146">
        <f t="shared" si="53"/>
        <v>0</v>
      </c>
      <c r="R183" s="146">
        <f t="shared" si="53"/>
        <v>-95.75</v>
      </c>
      <c r="S183" s="146">
        <f t="shared" si="53"/>
        <v>-207.28749999999999</v>
      </c>
      <c r="T183" s="146">
        <f t="shared" si="53"/>
        <v>-356.90187500000002</v>
      </c>
      <c r="U183" s="146">
        <f t="shared" si="53"/>
        <v>-608.99696874999995</v>
      </c>
      <c r="V183" s="146">
        <f t="shared" si="53"/>
        <v>-798.44681718749996</v>
      </c>
      <c r="W183" s="146">
        <f t="shared" si="53"/>
        <v>-948.11915804687499</v>
      </c>
      <c r="X183" s="146">
        <f t="shared" si="53"/>
        <v>-995.52511594921873</v>
      </c>
      <c r="Y183" s="146">
        <f t="shared" si="53"/>
        <v>-1045.3013717466797</v>
      </c>
      <c r="Z183" s="146">
        <f t="shared" si="53"/>
        <v>-1097.5664403340138</v>
      </c>
      <c r="AA183" s="146">
        <f t="shared" si="53"/>
        <v>-1152.4447623507144</v>
      </c>
      <c r="AB183" s="146">
        <f t="shared" si="53"/>
        <v>-1210.0670004682502</v>
      </c>
      <c r="AC183" s="146">
        <f t="shared" si="53"/>
        <v>-1270.5703504916628</v>
      </c>
      <c r="AD183" s="146">
        <f t="shared" si="53"/>
        <v>-1334.0988680162459</v>
      </c>
      <c r="AE183" s="146">
        <f t="shared" si="53"/>
        <v>-1400.8038114170581</v>
      </c>
      <c r="AF183" s="146">
        <f t="shared" si="53"/>
        <v>-1470.844001987911</v>
      </c>
      <c r="AG183" s="146">
        <f t="shared" si="53"/>
        <v>-1544.3862020873066</v>
      </c>
      <c r="AH183" s="146">
        <f t="shared" si="53"/>
        <v>-1621.605512191672</v>
      </c>
      <c r="AI183" s="146">
        <f t="shared" si="53"/>
        <v>-1702.6857878012556</v>
      </c>
      <c r="AJ183" s="146">
        <f t="shared" si="53"/>
        <v>-1787.8200771913184</v>
      </c>
      <c r="AK183" s="146">
        <f t="shared" si="53"/>
        <v>-1877.2110810508843</v>
      </c>
      <c r="AL183" s="146">
        <f t="shared" si="53"/>
        <v>-1971.0716351034284</v>
      </c>
      <c r="AM183" s="146">
        <f t="shared" si="53"/>
        <v>-2069.6252168585997</v>
      </c>
      <c r="AN183" s="146">
        <f t="shared" si="53"/>
        <v>-2173.1064777015299</v>
      </c>
      <c r="AO183" s="146">
        <f t="shared" si="53"/>
        <v>-2281.7618015866065</v>
      </c>
      <c r="AP183" s="146">
        <f t="shared" si="53"/>
        <v>-2395.8498916659369</v>
      </c>
      <c r="AQ183" s="146">
        <f t="shared" si="53"/>
        <v>-2515.6423862492338</v>
      </c>
      <c r="AR183" s="146">
        <f t="shared" si="53"/>
        <v>-2641.4245055616957</v>
      </c>
      <c r="AS183" s="146">
        <f t="shared" si="53"/>
        <v>-2773.4957308397807</v>
      </c>
      <c r="AT183" s="146">
        <f t="shared" si="53"/>
        <v>-2912.1705173817695</v>
      </c>
      <c r="AU183" s="146">
        <f t="shared" si="53"/>
        <v>-3057.7790432508582</v>
      </c>
      <c r="AV183" s="146">
        <f t="shared" si="53"/>
        <v>-3210.6679954134011</v>
      </c>
    </row>
    <row r="184" spans="1:48" ht="15" customHeight="1">
      <c r="E184" s="128" t="s">
        <v>208</v>
      </c>
      <c r="F184" s="142"/>
      <c r="G184" s="142" t="s">
        <v>29</v>
      </c>
      <c r="H184" s="142"/>
      <c r="I184" s="142"/>
      <c r="J184" s="142">
        <f xml:space="preserve"> SUM(L184:P184)</f>
        <v>0</v>
      </c>
      <c r="K184" s="142"/>
      <c r="L184" s="142">
        <f xml:space="preserve"> L154 * $F169 * -1</f>
        <v>0</v>
      </c>
      <c r="M184" s="142">
        <f xml:space="preserve"> M154 * $F169 * -1</f>
        <v>0</v>
      </c>
      <c r="N184" s="142">
        <f xml:space="preserve"> N154 * $F169 * -1</f>
        <v>0</v>
      </c>
      <c r="O184" s="142">
        <f xml:space="preserve"> O154 * $F169 * -1</f>
        <v>0</v>
      </c>
      <c r="P184" s="142">
        <f xml:space="preserve"> P154 * $F169 * -1</f>
        <v>0</v>
      </c>
      <c r="Q184" s="178"/>
      <c r="R184" s="178"/>
      <c r="S184" s="178"/>
      <c r="T184" s="178"/>
      <c r="U184" s="178"/>
      <c r="V184" s="178"/>
      <c r="W184" s="178"/>
      <c r="X184" s="245"/>
      <c r="Y184" s="245"/>
      <c r="Z184" s="245"/>
      <c r="AA184" s="245"/>
      <c r="AB184" s="245"/>
      <c r="AC184" s="245"/>
      <c r="AD184" s="245"/>
      <c r="AE184" s="245"/>
      <c r="AF184" s="245"/>
      <c r="AG184" s="245"/>
      <c r="AH184" s="245"/>
      <c r="AI184" s="245"/>
      <c r="AJ184" s="245"/>
      <c r="AK184" s="245"/>
      <c r="AL184" s="245"/>
      <c r="AM184" s="245"/>
      <c r="AN184" s="245"/>
      <c r="AO184" s="245"/>
      <c r="AP184" s="245"/>
      <c r="AQ184" s="245"/>
      <c r="AR184" s="245"/>
      <c r="AS184" s="245"/>
      <c r="AT184" s="245"/>
      <c r="AU184" s="245"/>
      <c r="AV184" s="245"/>
    </row>
    <row r="185" spans="1:48" ht="15" customHeight="1">
      <c r="E185" s="128" t="s">
        <v>134</v>
      </c>
      <c r="F185" s="142"/>
      <c r="G185" s="142" t="s">
        <v>29</v>
      </c>
      <c r="H185" s="142"/>
      <c r="I185" s="142"/>
      <c r="J185" s="142">
        <f xml:space="preserve"> SUM(L185:AV185)</f>
        <v>-2526.4513951840704</v>
      </c>
      <c r="K185" s="142"/>
      <c r="L185" s="142">
        <f t="shared" ref="L185:P185" si="54" xml:space="preserve"> (L183 + L184 / 2)  * $F178</f>
        <v>0</v>
      </c>
      <c r="M185" s="142">
        <f t="shared" si="54"/>
        <v>0</v>
      </c>
      <c r="N185" s="142">
        <f t="shared" si="54"/>
        <v>0</v>
      </c>
      <c r="O185" s="142">
        <f t="shared" si="54"/>
        <v>0</v>
      </c>
      <c r="P185" s="142">
        <f t="shared" si="54"/>
        <v>0</v>
      </c>
      <c r="Q185" s="142">
        <f xml:space="preserve"> (Q183 + Q184 / 2)  * $F178</f>
        <v>0</v>
      </c>
      <c r="R185" s="142">
        <f t="shared" ref="R185:AV185" si="55" xml:space="preserve"> (R183 + R184 / 2)  * $F178</f>
        <v>-4.7875000000000005</v>
      </c>
      <c r="S185" s="142">
        <f t="shared" si="55"/>
        <v>-10.364375000000001</v>
      </c>
      <c r="T185" s="142">
        <f t="shared" si="55"/>
        <v>-17.84509375</v>
      </c>
      <c r="U185" s="142">
        <f t="shared" si="55"/>
        <v>-30.449848437499998</v>
      </c>
      <c r="V185" s="142">
        <f t="shared" si="55"/>
        <v>-39.922340859374998</v>
      </c>
      <c r="W185" s="142">
        <f t="shared" si="55"/>
        <v>-47.405957902343751</v>
      </c>
      <c r="X185" s="142">
        <f t="shared" si="55"/>
        <v>-49.776255797460941</v>
      </c>
      <c r="Y185" s="142">
        <f t="shared" si="55"/>
        <v>-52.265068587333985</v>
      </c>
      <c r="Z185" s="142">
        <f t="shared" si="55"/>
        <v>-54.878322016700693</v>
      </c>
      <c r="AA185" s="142">
        <f t="shared" si="55"/>
        <v>-57.622238117535723</v>
      </c>
      <c r="AB185" s="142">
        <f t="shared" si="55"/>
        <v>-60.503350023412509</v>
      </c>
      <c r="AC185" s="142">
        <f t="shared" si="55"/>
        <v>-63.528517524583144</v>
      </c>
      <c r="AD185" s="142">
        <f t="shared" si="55"/>
        <v>-66.704943400812297</v>
      </c>
      <c r="AE185" s="142">
        <f t="shared" si="55"/>
        <v>-70.040190570852914</v>
      </c>
      <c r="AF185" s="142">
        <f t="shared" si="55"/>
        <v>-73.542200099395558</v>
      </c>
      <c r="AG185" s="142">
        <f t="shared" si="55"/>
        <v>-77.219310104365334</v>
      </c>
      <c r="AH185" s="142">
        <f t="shared" si="55"/>
        <v>-81.080275609583609</v>
      </c>
      <c r="AI185" s="142">
        <f t="shared" si="55"/>
        <v>-85.13428939006279</v>
      </c>
      <c r="AJ185" s="142">
        <f t="shared" si="55"/>
        <v>-89.391003859565927</v>
      </c>
      <c r="AK185" s="142">
        <f t="shared" si="55"/>
        <v>-93.860554052544217</v>
      </c>
      <c r="AL185" s="142">
        <f t="shared" si="55"/>
        <v>-98.553581755171422</v>
      </c>
      <c r="AM185" s="142">
        <f t="shared" si="55"/>
        <v>-103.48126084293</v>
      </c>
      <c r="AN185" s="142">
        <f t="shared" si="55"/>
        <v>-108.6553238850765</v>
      </c>
      <c r="AO185" s="142">
        <f t="shared" si="55"/>
        <v>-114.08809007933033</v>
      </c>
      <c r="AP185" s="142">
        <f t="shared" si="55"/>
        <v>-119.79249458329684</v>
      </c>
      <c r="AQ185" s="142">
        <f t="shared" si="55"/>
        <v>-125.7821193124617</v>
      </c>
      <c r="AR185" s="142">
        <f t="shared" si="55"/>
        <v>-132.0712252780848</v>
      </c>
      <c r="AS185" s="142">
        <f t="shared" si="55"/>
        <v>-138.67478654198905</v>
      </c>
      <c r="AT185" s="142">
        <f t="shared" si="55"/>
        <v>-145.60852586908848</v>
      </c>
      <c r="AU185" s="142">
        <f t="shared" si="55"/>
        <v>-152.88895216254292</v>
      </c>
      <c r="AV185" s="142">
        <f t="shared" si="55"/>
        <v>-160.53339977067006</v>
      </c>
    </row>
    <row r="186" spans="1:48" ht="15" customHeight="1">
      <c r="E186" s="128" t="s">
        <v>135</v>
      </c>
      <c r="F186" s="142"/>
      <c r="G186" s="142" t="s">
        <v>29</v>
      </c>
      <c r="H186" s="142"/>
      <c r="I186" s="142"/>
      <c r="J186" s="142">
        <f xml:space="preserve"> SUM(L186:AV186)</f>
        <v>844.75</v>
      </c>
      <c r="K186" s="142"/>
      <c r="L186" s="245"/>
      <c r="M186" s="245"/>
      <c r="N186" s="245"/>
      <c r="O186" s="245"/>
      <c r="P186" s="245"/>
      <c r="Q186" s="142">
        <f t="shared" ref="Q186:V186" si="56" xml:space="preserve"> Q174</f>
        <v>95.75</v>
      </c>
      <c r="R186" s="142">
        <f t="shared" si="56"/>
        <v>106.75</v>
      </c>
      <c r="S186" s="142">
        <f t="shared" si="56"/>
        <v>139.25</v>
      </c>
      <c r="T186" s="142">
        <f t="shared" si="56"/>
        <v>234.25</v>
      </c>
      <c r="U186" s="142">
        <f t="shared" si="56"/>
        <v>159</v>
      </c>
      <c r="V186" s="142">
        <f t="shared" si="56"/>
        <v>109.75</v>
      </c>
      <c r="W186" s="245"/>
      <c r="X186" s="245"/>
      <c r="Y186" s="245"/>
      <c r="Z186" s="245"/>
      <c r="AA186" s="245"/>
      <c r="AB186" s="245"/>
      <c r="AC186" s="245"/>
      <c r="AD186" s="245"/>
      <c r="AE186" s="245"/>
      <c r="AF186" s="245"/>
      <c r="AG186" s="245"/>
      <c r="AH186" s="245"/>
      <c r="AI186" s="245"/>
      <c r="AJ186" s="245"/>
      <c r="AK186" s="245"/>
      <c r="AL186" s="245"/>
      <c r="AM186" s="245"/>
      <c r="AN186" s="245"/>
      <c r="AO186" s="245"/>
      <c r="AP186" s="245"/>
      <c r="AQ186" s="245"/>
      <c r="AR186" s="245"/>
      <c r="AS186" s="245"/>
      <c r="AT186" s="245"/>
      <c r="AU186" s="245"/>
      <c r="AV186" s="245"/>
    </row>
    <row r="187" spans="1:48" ht="15" customHeight="1">
      <c r="E187" s="127" t="s">
        <v>136</v>
      </c>
      <c r="F187" s="140"/>
      <c r="G187" s="140" t="s">
        <v>29</v>
      </c>
      <c r="H187" s="140"/>
      <c r="I187" s="140"/>
      <c r="J187" s="140"/>
      <c r="K187" s="140"/>
      <c r="L187" s="140">
        <f t="shared" ref="L187:P187" si="57" xml:space="preserve"> L183 + L184 + L185 - L186</f>
        <v>0</v>
      </c>
      <c r="M187" s="140">
        <f t="shared" si="57"/>
        <v>0</v>
      </c>
      <c r="N187" s="140">
        <f t="shared" si="57"/>
        <v>0</v>
      </c>
      <c r="O187" s="140">
        <f t="shared" si="57"/>
        <v>0</v>
      </c>
      <c r="P187" s="140">
        <f t="shared" si="57"/>
        <v>0</v>
      </c>
      <c r="Q187" s="140">
        <f xml:space="preserve"> Q183 + Q184 + Q185 - Q186</f>
        <v>-95.75</v>
      </c>
      <c r="R187" s="140">
        <f t="shared" ref="R187:AV187" si="58" xml:space="preserve"> R183 + R184 + R185 - R186</f>
        <v>-207.28749999999999</v>
      </c>
      <c r="S187" s="140">
        <f t="shared" si="58"/>
        <v>-356.90187500000002</v>
      </c>
      <c r="T187" s="140">
        <f t="shared" si="58"/>
        <v>-608.99696874999995</v>
      </c>
      <c r="U187" s="140">
        <f t="shared" si="58"/>
        <v>-798.44681718749996</v>
      </c>
      <c r="V187" s="140">
        <f t="shared" si="58"/>
        <v>-948.11915804687499</v>
      </c>
      <c r="W187" s="140">
        <f t="shared" si="58"/>
        <v>-995.52511594921873</v>
      </c>
      <c r="X187" s="140">
        <f t="shared" si="58"/>
        <v>-1045.3013717466797</v>
      </c>
      <c r="Y187" s="140">
        <f t="shared" si="58"/>
        <v>-1097.5664403340138</v>
      </c>
      <c r="Z187" s="140">
        <f t="shared" si="58"/>
        <v>-1152.4447623507144</v>
      </c>
      <c r="AA187" s="140">
        <f t="shared" si="58"/>
        <v>-1210.0670004682502</v>
      </c>
      <c r="AB187" s="140">
        <f t="shared" si="58"/>
        <v>-1270.5703504916628</v>
      </c>
      <c r="AC187" s="140">
        <f t="shared" si="58"/>
        <v>-1334.0988680162459</v>
      </c>
      <c r="AD187" s="140">
        <f t="shared" si="58"/>
        <v>-1400.8038114170581</v>
      </c>
      <c r="AE187" s="140">
        <f t="shared" si="58"/>
        <v>-1470.844001987911</v>
      </c>
      <c r="AF187" s="140">
        <f t="shared" si="58"/>
        <v>-1544.3862020873066</v>
      </c>
      <c r="AG187" s="140">
        <f t="shared" si="58"/>
        <v>-1621.605512191672</v>
      </c>
      <c r="AH187" s="140">
        <f t="shared" si="58"/>
        <v>-1702.6857878012556</v>
      </c>
      <c r="AI187" s="140">
        <f t="shared" si="58"/>
        <v>-1787.8200771913184</v>
      </c>
      <c r="AJ187" s="140">
        <f t="shared" si="58"/>
        <v>-1877.2110810508843</v>
      </c>
      <c r="AK187" s="140">
        <f t="shared" si="58"/>
        <v>-1971.0716351034284</v>
      </c>
      <c r="AL187" s="140">
        <f t="shared" si="58"/>
        <v>-2069.6252168585997</v>
      </c>
      <c r="AM187" s="140">
        <f t="shared" si="58"/>
        <v>-2173.1064777015299</v>
      </c>
      <c r="AN187" s="140">
        <f t="shared" si="58"/>
        <v>-2281.7618015866065</v>
      </c>
      <c r="AO187" s="140">
        <f t="shared" si="58"/>
        <v>-2395.8498916659369</v>
      </c>
      <c r="AP187" s="140">
        <f t="shared" si="58"/>
        <v>-2515.6423862492338</v>
      </c>
      <c r="AQ187" s="140">
        <f t="shared" si="58"/>
        <v>-2641.4245055616957</v>
      </c>
      <c r="AR187" s="140">
        <f t="shared" si="58"/>
        <v>-2773.4957308397807</v>
      </c>
      <c r="AS187" s="140">
        <f t="shared" si="58"/>
        <v>-2912.1705173817695</v>
      </c>
      <c r="AT187" s="140">
        <f t="shared" si="58"/>
        <v>-3057.7790432508582</v>
      </c>
      <c r="AU187" s="140">
        <f t="shared" si="58"/>
        <v>-3210.6679954134011</v>
      </c>
      <c r="AV187" s="140">
        <f t="shared" si="58"/>
        <v>-3371.2013951840713</v>
      </c>
    </row>
    <row r="188" spans="1:48" ht="15" customHeight="1">
      <c r="F188" s="123"/>
      <c r="G188" s="123"/>
      <c r="H188" s="123"/>
      <c r="I188" s="123"/>
      <c r="J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3"/>
      <c r="AC188" s="123"/>
      <c r="AD188" s="123"/>
      <c r="AE188" s="123"/>
      <c r="AF188" s="123"/>
      <c r="AG188" s="123"/>
      <c r="AH188" s="123"/>
      <c r="AI188" s="123"/>
      <c r="AJ188" s="123"/>
      <c r="AK188" s="123"/>
      <c r="AL188" s="123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3"/>
    </row>
    <row r="189" spans="1:48" s="160" customFormat="1" ht="15" customHeight="1">
      <c r="A189" s="164" t="s">
        <v>209</v>
      </c>
      <c r="B189" s="162"/>
      <c r="C189" s="192"/>
      <c r="D189" s="163"/>
      <c r="E189" s="162"/>
      <c r="F189" s="162"/>
      <c r="G189" s="162"/>
      <c r="H189" s="162"/>
    </row>
    <row r="190" spans="1:48" ht="15" customHeight="1">
      <c r="F190" s="123"/>
      <c r="G190" s="123"/>
      <c r="H190" s="123"/>
      <c r="I190" s="123"/>
      <c r="J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3"/>
      <c r="AC190" s="123"/>
      <c r="AD190" s="123"/>
      <c r="AE190" s="123"/>
      <c r="AF190" s="123"/>
      <c r="AG190" s="123"/>
      <c r="AH190" s="123"/>
      <c r="AI190" s="123"/>
      <c r="AJ190" s="123"/>
      <c r="AK190" s="123"/>
      <c r="AL190" s="123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3"/>
    </row>
    <row r="191" spans="1:48" ht="15" customHeight="1">
      <c r="B191" s="111" t="s">
        <v>141</v>
      </c>
    </row>
    <row r="192" spans="1:48" s="132" customFormat="1" ht="15" customHeight="1">
      <c r="A192" s="133"/>
      <c r="B192" s="133"/>
      <c r="C192" s="151"/>
      <c r="E192" s="170" t="str">
        <f xml:space="preserve"> InputsTS!E$422</f>
        <v>Net Free Cash 2011TR KML</v>
      </c>
      <c r="F192" s="170">
        <f xml:space="preserve"> InputsTS!F$422</f>
        <v>0</v>
      </c>
      <c r="G192" s="170" t="str">
        <f xml:space="preserve"> InputsTS!G$422</f>
        <v>$ mn</v>
      </c>
      <c r="H192" s="170">
        <f xml:space="preserve"> InputsTS!H$422</f>
        <v>0</v>
      </c>
      <c r="I192" s="170" t="str">
        <f xml:space="preserve"> InputsTS!I$422</f>
        <v>XVII</v>
      </c>
      <c r="J192" s="170">
        <f xml:space="preserve"> InputsTS!J$422</f>
        <v>13144</v>
      </c>
      <c r="K192" s="170">
        <f xml:space="preserve"> InputsTS!K$422</f>
        <v>0</v>
      </c>
      <c r="L192" s="170">
        <f xml:space="preserve"> InputsTS!L$422</f>
        <v>0</v>
      </c>
      <c r="M192" s="170">
        <f xml:space="preserve"> InputsTS!M$422</f>
        <v>0</v>
      </c>
      <c r="N192" s="170">
        <f xml:space="preserve"> InputsTS!N$422</f>
        <v>0</v>
      </c>
      <c r="O192" s="170">
        <f xml:space="preserve"> InputsTS!O$422</f>
        <v>0</v>
      </c>
      <c r="P192" s="170">
        <f xml:space="preserve"> InputsTS!P$422</f>
        <v>0</v>
      </c>
      <c r="Q192" s="170">
        <f xml:space="preserve"> InputsTS!Q$422</f>
        <v>416</v>
      </c>
      <c r="R192" s="170">
        <f xml:space="preserve"> InputsTS!R$422</f>
        <v>490</v>
      </c>
      <c r="S192" s="170">
        <f xml:space="preserve"> InputsTS!S$422</f>
        <v>601</v>
      </c>
      <c r="T192" s="170">
        <f xml:space="preserve"> InputsTS!T$422</f>
        <v>1159</v>
      </c>
      <c r="U192" s="170">
        <f xml:space="preserve"> InputsTS!U$422</f>
        <v>910</v>
      </c>
      <c r="V192" s="170">
        <f xml:space="preserve"> InputsTS!V$422</f>
        <v>915</v>
      </c>
      <c r="W192" s="170">
        <f xml:space="preserve"> InputsTS!W$422</f>
        <v>771</v>
      </c>
      <c r="X192" s="170">
        <f xml:space="preserve"> InputsTS!X$422</f>
        <v>683</v>
      </c>
      <c r="Y192" s="170">
        <f xml:space="preserve"> InputsTS!Y$422</f>
        <v>649</v>
      </c>
      <c r="Z192" s="170">
        <f xml:space="preserve"> InputsTS!Z$422</f>
        <v>617</v>
      </c>
      <c r="AA192" s="170">
        <f xml:space="preserve"> InputsTS!AA$422</f>
        <v>647</v>
      </c>
      <c r="AB192" s="170">
        <f xml:space="preserve"> InputsTS!AB$422</f>
        <v>618</v>
      </c>
      <c r="AC192" s="170">
        <f xml:space="preserve"> InputsTS!AC$422</f>
        <v>611</v>
      </c>
      <c r="AD192" s="170">
        <f xml:space="preserve"> InputsTS!AD$422</f>
        <v>641</v>
      </c>
      <c r="AE192" s="170">
        <f xml:space="preserve"> InputsTS!AE$422</f>
        <v>650</v>
      </c>
      <c r="AF192" s="170">
        <f xml:space="preserve"> InputsTS!AF$422</f>
        <v>622</v>
      </c>
      <c r="AG192" s="170">
        <f xml:space="preserve"> InputsTS!AG$422</f>
        <v>616</v>
      </c>
      <c r="AH192" s="170">
        <f xml:space="preserve"> InputsTS!AH$422</f>
        <v>615</v>
      </c>
      <c r="AI192" s="170">
        <f xml:space="preserve"> InputsTS!AI$422</f>
        <v>652</v>
      </c>
      <c r="AJ192" s="170">
        <f xml:space="preserve"> InputsTS!AJ$422</f>
        <v>517</v>
      </c>
      <c r="AK192" s="170">
        <f xml:space="preserve"> InputsTS!AK$422</f>
        <v>-200</v>
      </c>
      <c r="AL192" s="170">
        <f xml:space="preserve"> InputsTS!AL$422</f>
        <v>-56</v>
      </c>
      <c r="AM192" s="170">
        <f xml:space="preserve"> InputsTS!AM$422</f>
        <v>0</v>
      </c>
      <c r="AN192" s="170">
        <f xml:space="preserve"> InputsTS!AN$422</f>
        <v>0</v>
      </c>
      <c r="AO192" s="170">
        <f xml:space="preserve"> InputsTS!AO$422</f>
        <v>0</v>
      </c>
      <c r="AP192" s="170">
        <f xml:space="preserve"> InputsTS!AP$422</f>
        <v>0</v>
      </c>
      <c r="AQ192" s="170">
        <f xml:space="preserve"> InputsTS!AQ$422</f>
        <v>0</v>
      </c>
      <c r="AR192" s="170">
        <f xml:space="preserve"> InputsTS!AR$422</f>
        <v>0</v>
      </c>
      <c r="AS192" s="170">
        <f xml:space="preserve"> InputsTS!AS$422</f>
        <v>0</v>
      </c>
      <c r="AT192" s="170">
        <f xml:space="preserve"> InputsTS!AT$422</f>
        <v>0</v>
      </c>
      <c r="AU192" s="170">
        <f xml:space="preserve"> InputsTS!AU$422</f>
        <v>0</v>
      </c>
      <c r="AV192" s="170">
        <f xml:space="preserve"> InputsTS!AV$422</f>
        <v>0</v>
      </c>
    </row>
    <row r="194" spans="1:68" ht="15" customHeight="1">
      <c r="D194" s="121"/>
      <c r="E194" s="37" t="s">
        <v>142</v>
      </c>
      <c r="F194" s="126">
        <v>0.1</v>
      </c>
      <c r="G194" s="37" t="s">
        <v>26</v>
      </c>
      <c r="H194" s="37"/>
      <c r="I194" s="69" t="str">
        <f xml:space="preserve"> Sources!$I$59</f>
        <v>XLVII</v>
      </c>
    </row>
    <row r="195" spans="1:68" ht="15" customHeight="1">
      <c r="D195" s="121"/>
      <c r="E195" s="37" t="s">
        <v>210</v>
      </c>
      <c r="F195" s="125">
        <v>2011</v>
      </c>
      <c r="G195" s="37" t="s">
        <v>146</v>
      </c>
      <c r="H195" s="37"/>
      <c r="I195" s="69"/>
    </row>
    <row r="196" spans="1:68" ht="15" customHeight="1">
      <c r="D196" s="121"/>
      <c r="E196" s="124" t="str">
        <f xml:space="preserve"> E$2</f>
        <v>Calendar year end</v>
      </c>
      <c r="F196" s="561">
        <f xml:space="preserve"> F$2</f>
        <v>0</v>
      </c>
      <c r="G196" s="124"/>
      <c r="H196" s="124"/>
      <c r="I196" s="562">
        <f t="shared" ref="I196:AV196" si="59" xml:space="preserve"> I$2</f>
        <v>0</v>
      </c>
      <c r="J196" s="562">
        <f t="shared" si="59"/>
        <v>0</v>
      </c>
      <c r="K196" s="562">
        <f t="shared" si="59"/>
        <v>0</v>
      </c>
      <c r="L196" s="561">
        <f t="shared" si="59"/>
        <v>2014</v>
      </c>
      <c r="M196" s="561">
        <f t="shared" si="59"/>
        <v>2015</v>
      </c>
      <c r="N196" s="561">
        <f t="shared" si="59"/>
        <v>2016</v>
      </c>
      <c r="O196" s="561">
        <f t="shared" si="59"/>
        <v>2017</v>
      </c>
      <c r="P196" s="561">
        <f t="shared" si="59"/>
        <v>2018</v>
      </c>
      <c r="Q196" s="561">
        <f t="shared" si="59"/>
        <v>2019</v>
      </c>
      <c r="R196" s="561">
        <f t="shared" si="59"/>
        <v>2020</v>
      </c>
      <c r="S196" s="561">
        <f t="shared" si="59"/>
        <v>2021</v>
      </c>
      <c r="T196" s="561">
        <f t="shared" si="59"/>
        <v>2022</v>
      </c>
      <c r="U196" s="561">
        <f t="shared" si="59"/>
        <v>2023</v>
      </c>
      <c r="V196" s="561">
        <f t="shared" si="59"/>
        <v>2024</v>
      </c>
      <c r="W196" s="561">
        <f t="shared" si="59"/>
        <v>2025</v>
      </c>
      <c r="X196" s="561">
        <f t="shared" si="59"/>
        <v>2026</v>
      </c>
      <c r="Y196" s="561">
        <f t="shared" si="59"/>
        <v>2027</v>
      </c>
      <c r="Z196" s="561">
        <f t="shared" si="59"/>
        <v>2028</v>
      </c>
      <c r="AA196" s="561">
        <f t="shared" si="59"/>
        <v>2029</v>
      </c>
      <c r="AB196" s="561">
        <f t="shared" si="59"/>
        <v>2030</v>
      </c>
      <c r="AC196" s="561">
        <f t="shared" si="59"/>
        <v>2031</v>
      </c>
      <c r="AD196" s="561">
        <f t="shared" si="59"/>
        <v>2032</v>
      </c>
      <c r="AE196" s="561">
        <f t="shared" si="59"/>
        <v>2033</v>
      </c>
      <c r="AF196" s="182">
        <f t="shared" si="59"/>
        <v>2034</v>
      </c>
      <c r="AG196" s="182">
        <f t="shared" si="59"/>
        <v>2035</v>
      </c>
      <c r="AH196" s="182">
        <f t="shared" si="59"/>
        <v>2036</v>
      </c>
      <c r="AI196" s="182">
        <f t="shared" si="59"/>
        <v>2037</v>
      </c>
      <c r="AJ196" s="182">
        <f t="shared" si="59"/>
        <v>2038</v>
      </c>
      <c r="AK196" s="182">
        <f t="shared" si="59"/>
        <v>2039</v>
      </c>
      <c r="AL196" s="182">
        <f t="shared" si="59"/>
        <v>2040</v>
      </c>
      <c r="AM196" s="182">
        <f t="shared" si="59"/>
        <v>2041</v>
      </c>
      <c r="AN196" s="182">
        <f t="shared" si="59"/>
        <v>2042</v>
      </c>
      <c r="AO196" s="182">
        <f t="shared" si="59"/>
        <v>2043</v>
      </c>
      <c r="AP196" s="182">
        <f t="shared" si="59"/>
        <v>2044</v>
      </c>
      <c r="AQ196" s="182">
        <f t="shared" si="59"/>
        <v>2045</v>
      </c>
      <c r="AR196" s="182">
        <f t="shared" si="59"/>
        <v>2046</v>
      </c>
      <c r="AS196" s="182">
        <f t="shared" si="59"/>
        <v>2047</v>
      </c>
      <c r="AT196" s="182">
        <f t="shared" si="59"/>
        <v>2048</v>
      </c>
      <c r="AU196" s="182">
        <f t="shared" si="59"/>
        <v>2049</v>
      </c>
      <c r="AV196" s="182">
        <f t="shared" si="59"/>
        <v>2050</v>
      </c>
      <c r="AW196" s="182"/>
      <c r="AX196" s="182"/>
      <c r="AY196" s="182"/>
      <c r="AZ196" s="182"/>
      <c r="BA196" s="182"/>
      <c r="BB196" s="182"/>
      <c r="BC196" s="182"/>
      <c r="BD196" s="182"/>
      <c r="BE196" s="182"/>
      <c r="BF196" s="182"/>
      <c r="BG196" s="182"/>
      <c r="BH196" s="182"/>
      <c r="BI196" s="182"/>
      <c r="BJ196" s="182"/>
      <c r="BK196" s="182"/>
      <c r="BL196" s="182"/>
      <c r="BM196" s="182"/>
      <c r="BN196" s="182"/>
      <c r="BO196" s="182"/>
      <c r="BP196" s="182"/>
    </row>
    <row r="197" spans="1:68" s="93" customFormat="1" ht="15" customHeight="1">
      <c r="A197" s="92"/>
      <c r="B197" s="92"/>
      <c r="C197" s="149"/>
      <c r="D197" s="183"/>
      <c r="E197" s="176" t="str">
        <f xml:space="preserve"> 'T&amp;E'!E$9</f>
        <v>Model calendar year</v>
      </c>
      <c r="F197" s="176">
        <f xml:space="preserve"> 'T&amp;E'!F$9</f>
        <v>0</v>
      </c>
      <c r="G197" s="176" t="str">
        <f xml:space="preserve"> 'T&amp;E'!G$9</f>
        <v>year</v>
      </c>
      <c r="H197" s="176">
        <f xml:space="preserve"> 'T&amp;E'!H$9</f>
        <v>0</v>
      </c>
      <c r="I197" s="176">
        <f xml:space="preserve"> 'T&amp;E'!I$9</f>
        <v>0</v>
      </c>
      <c r="J197" s="176">
        <f xml:space="preserve"> 'T&amp;E'!J$9</f>
        <v>0</v>
      </c>
      <c r="K197" s="176">
        <f xml:space="preserve"> 'T&amp;E'!K$9</f>
        <v>0</v>
      </c>
      <c r="L197" s="176">
        <f xml:space="preserve"> 'T&amp;E'!L$9</f>
        <v>2014</v>
      </c>
      <c r="M197" s="176">
        <f xml:space="preserve"> 'T&amp;E'!M$9</f>
        <v>2015</v>
      </c>
      <c r="N197" s="176">
        <f xml:space="preserve"> 'T&amp;E'!N$9</f>
        <v>2016</v>
      </c>
      <c r="O197" s="176">
        <f xml:space="preserve"> 'T&amp;E'!O$9</f>
        <v>2017</v>
      </c>
      <c r="P197" s="176">
        <f xml:space="preserve"> 'T&amp;E'!P$9</f>
        <v>2018</v>
      </c>
      <c r="Q197" s="176">
        <f xml:space="preserve"> 'T&amp;E'!Q$9</f>
        <v>2019</v>
      </c>
      <c r="R197" s="176">
        <f xml:space="preserve"> 'T&amp;E'!R$9</f>
        <v>2020</v>
      </c>
      <c r="S197" s="176">
        <f xml:space="preserve"> 'T&amp;E'!S$9</f>
        <v>2021</v>
      </c>
      <c r="T197" s="176">
        <f xml:space="preserve"> 'T&amp;E'!T$9</f>
        <v>2022</v>
      </c>
      <c r="U197" s="176">
        <f xml:space="preserve"> 'T&amp;E'!U$9</f>
        <v>2023</v>
      </c>
      <c r="V197" s="176">
        <f xml:space="preserve"> 'T&amp;E'!V$9</f>
        <v>2024</v>
      </c>
      <c r="W197" s="176">
        <f xml:space="preserve"> 'T&amp;E'!W$9</f>
        <v>2025</v>
      </c>
      <c r="X197" s="176">
        <f xml:space="preserve"> 'T&amp;E'!X$9</f>
        <v>2026</v>
      </c>
      <c r="Y197" s="176">
        <f xml:space="preserve"> 'T&amp;E'!Y$9</f>
        <v>2027</v>
      </c>
      <c r="Z197" s="176">
        <f xml:space="preserve"> 'T&amp;E'!Z$9</f>
        <v>2028</v>
      </c>
      <c r="AA197" s="176">
        <f xml:space="preserve"> 'T&amp;E'!AA$9</f>
        <v>2029</v>
      </c>
      <c r="AB197" s="176">
        <f xml:space="preserve"> 'T&amp;E'!AB$9</f>
        <v>2030</v>
      </c>
      <c r="AC197" s="176">
        <f xml:space="preserve"> 'T&amp;E'!AC$9</f>
        <v>2031</v>
      </c>
      <c r="AD197" s="176">
        <f xml:space="preserve"> 'T&amp;E'!AD$9</f>
        <v>2032</v>
      </c>
      <c r="AE197" s="176">
        <f xml:space="preserve"> 'T&amp;E'!AE$9</f>
        <v>2033</v>
      </c>
      <c r="AF197" s="176">
        <f xml:space="preserve"> 'T&amp;E'!AF$9</f>
        <v>2034</v>
      </c>
      <c r="AG197" s="176">
        <f xml:space="preserve"> 'T&amp;E'!AG$9</f>
        <v>2035</v>
      </c>
      <c r="AH197" s="176">
        <f xml:space="preserve"> 'T&amp;E'!AH$9</f>
        <v>2036</v>
      </c>
      <c r="AI197" s="176">
        <f xml:space="preserve"> 'T&amp;E'!AI$9</f>
        <v>2037</v>
      </c>
      <c r="AJ197" s="176">
        <f xml:space="preserve"> 'T&amp;E'!AJ$9</f>
        <v>2038</v>
      </c>
      <c r="AK197" s="176">
        <f xml:space="preserve"> 'T&amp;E'!AK$9</f>
        <v>2039</v>
      </c>
      <c r="AL197" s="176">
        <f xml:space="preserve"> 'T&amp;E'!AL$9</f>
        <v>2040</v>
      </c>
      <c r="AM197" s="176">
        <f xml:space="preserve"> 'T&amp;E'!AM$9</f>
        <v>2041</v>
      </c>
      <c r="AN197" s="176">
        <f xml:space="preserve"> 'T&amp;E'!AN$9</f>
        <v>2042</v>
      </c>
      <c r="AO197" s="176">
        <f xml:space="preserve"> 'T&amp;E'!AO$9</f>
        <v>2043</v>
      </c>
      <c r="AP197" s="176">
        <f xml:space="preserve"> 'T&amp;E'!AP$9</f>
        <v>2044</v>
      </c>
      <c r="AQ197" s="176">
        <f xml:space="preserve"> 'T&amp;E'!AQ$9</f>
        <v>2045</v>
      </c>
      <c r="AR197" s="176">
        <f xml:space="preserve"> 'T&amp;E'!AR$9</f>
        <v>2046</v>
      </c>
      <c r="AS197" s="176">
        <f xml:space="preserve"> 'T&amp;E'!AS$9</f>
        <v>2047</v>
      </c>
      <c r="AT197" s="176">
        <f xml:space="preserve"> 'T&amp;E'!AT$9</f>
        <v>2048</v>
      </c>
      <c r="AU197" s="176">
        <f xml:space="preserve"> 'T&amp;E'!AU$9</f>
        <v>2049</v>
      </c>
      <c r="AV197" s="176">
        <f xml:space="preserve"> 'T&amp;E'!AV$9</f>
        <v>2050</v>
      </c>
    </row>
    <row r="198" spans="1:68" ht="15" customHeight="1">
      <c r="D198" s="121"/>
      <c r="E198" s="37" t="s">
        <v>211</v>
      </c>
      <c r="F198" s="123"/>
      <c r="G198" s="37" t="s">
        <v>146</v>
      </c>
      <c r="H198" s="37"/>
      <c r="K198" s="119"/>
      <c r="L198" s="123">
        <f t="shared" ref="L198:AV198" si="60" xml:space="preserve"> IF(L197 &lt; $F195, 0, K198 + 1)</f>
        <v>1</v>
      </c>
      <c r="M198" s="123">
        <f t="shared" si="60"/>
        <v>2</v>
      </c>
      <c r="N198" s="123">
        <f t="shared" si="60"/>
        <v>3</v>
      </c>
      <c r="O198" s="123">
        <f t="shared" si="60"/>
        <v>4</v>
      </c>
      <c r="P198" s="123">
        <f t="shared" si="60"/>
        <v>5</v>
      </c>
      <c r="Q198" s="123">
        <f t="shared" si="60"/>
        <v>6</v>
      </c>
      <c r="R198" s="123">
        <f t="shared" si="60"/>
        <v>7</v>
      </c>
      <c r="S198" s="123">
        <f t="shared" si="60"/>
        <v>8</v>
      </c>
      <c r="T198" s="123">
        <f t="shared" si="60"/>
        <v>9</v>
      </c>
      <c r="U198" s="123">
        <f t="shared" si="60"/>
        <v>10</v>
      </c>
      <c r="V198" s="123">
        <f t="shared" si="60"/>
        <v>11</v>
      </c>
      <c r="W198" s="123">
        <f t="shared" si="60"/>
        <v>12</v>
      </c>
      <c r="X198" s="123">
        <f t="shared" si="60"/>
        <v>13</v>
      </c>
      <c r="Y198" s="123">
        <f t="shared" si="60"/>
        <v>14</v>
      </c>
      <c r="Z198" s="123">
        <f t="shared" si="60"/>
        <v>15</v>
      </c>
      <c r="AA198" s="123">
        <f t="shared" si="60"/>
        <v>16</v>
      </c>
      <c r="AB198" s="123">
        <f t="shared" si="60"/>
        <v>17</v>
      </c>
      <c r="AC198" s="123">
        <f t="shared" si="60"/>
        <v>18</v>
      </c>
      <c r="AD198" s="123">
        <f t="shared" si="60"/>
        <v>19</v>
      </c>
      <c r="AE198" s="123">
        <f t="shared" si="60"/>
        <v>20</v>
      </c>
      <c r="AF198" s="123">
        <f t="shared" si="60"/>
        <v>21</v>
      </c>
      <c r="AG198" s="123">
        <f t="shared" si="60"/>
        <v>22</v>
      </c>
      <c r="AH198" s="123">
        <f t="shared" si="60"/>
        <v>23</v>
      </c>
      <c r="AI198" s="123">
        <f t="shared" si="60"/>
        <v>24</v>
      </c>
      <c r="AJ198" s="123">
        <f t="shared" si="60"/>
        <v>25</v>
      </c>
      <c r="AK198" s="123">
        <f t="shared" si="60"/>
        <v>26</v>
      </c>
      <c r="AL198" s="123">
        <f t="shared" si="60"/>
        <v>27</v>
      </c>
      <c r="AM198" s="123">
        <f t="shared" si="60"/>
        <v>28</v>
      </c>
      <c r="AN198" s="123">
        <f t="shared" si="60"/>
        <v>29</v>
      </c>
      <c r="AO198" s="123">
        <f t="shared" si="60"/>
        <v>30</v>
      </c>
      <c r="AP198" s="123">
        <f t="shared" si="60"/>
        <v>31</v>
      </c>
      <c r="AQ198" s="123">
        <f t="shared" si="60"/>
        <v>32</v>
      </c>
      <c r="AR198" s="123">
        <f t="shared" si="60"/>
        <v>33</v>
      </c>
      <c r="AS198" s="123">
        <f t="shared" si="60"/>
        <v>34</v>
      </c>
      <c r="AT198" s="123">
        <f t="shared" si="60"/>
        <v>35</v>
      </c>
      <c r="AU198" s="123">
        <f t="shared" si="60"/>
        <v>36</v>
      </c>
      <c r="AV198" s="123">
        <f t="shared" si="60"/>
        <v>37</v>
      </c>
    </row>
    <row r="199" spans="1:68" ht="15" customHeight="1">
      <c r="D199" s="121"/>
      <c r="E199" s="37" t="s">
        <v>212</v>
      </c>
      <c r="F199" s="36"/>
      <c r="G199" s="37" t="s">
        <v>148</v>
      </c>
      <c r="H199" s="37"/>
      <c r="L199" s="122">
        <f t="shared" ref="L199:AK199" si="61" xml:space="preserve"> IF( L198 &gt; 0, 1 / ( 1 + $F194) ^ (L198 - 0.5), 0)</f>
        <v>0.95346258924559224</v>
      </c>
      <c r="M199" s="122">
        <f t="shared" si="61"/>
        <v>0.86678417204144742</v>
      </c>
      <c r="N199" s="122">
        <f t="shared" si="61"/>
        <v>0.78798561094677033</v>
      </c>
      <c r="O199" s="122">
        <f t="shared" si="61"/>
        <v>0.71635055540615489</v>
      </c>
      <c r="P199" s="122">
        <f t="shared" si="61"/>
        <v>0.65122777764195883</v>
      </c>
      <c r="Q199" s="122">
        <f t="shared" si="61"/>
        <v>0.59202525240178083</v>
      </c>
      <c r="R199" s="122">
        <f t="shared" si="61"/>
        <v>0.53820477491070973</v>
      </c>
      <c r="S199" s="122">
        <f t="shared" si="61"/>
        <v>0.48927706810064514</v>
      </c>
      <c r="T199" s="122">
        <f t="shared" si="61"/>
        <v>0.44479733463695009</v>
      </c>
      <c r="U199" s="122">
        <f t="shared" si="61"/>
        <v>0.4043612133063183</v>
      </c>
      <c r="V199" s="122">
        <f t="shared" si="61"/>
        <v>0.36760110300574383</v>
      </c>
      <c r="W199" s="122">
        <f t="shared" si="61"/>
        <v>0.33418282091431251</v>
      </c>
      <c r="X199" s="122">
        <f t="shared" si="61"/>
        <v>0.30380256446755688</v>
      </c>
      <c r="Y199" s="122">
        <f t="shared" si="61"/>
        <v>0.27618414951596076</v>
      </c>
      <c r="Z199" s="122">
        <f t="shared" si="61"/>
        <v>0.25107649955996431</v>
      </c>
      <c r="AA199" s="122">
        <f t="shared" si="61"/>
        <v>0.22825136323633116</v>
      </c>
      <c r="AB199" s="122">
        <f t="shared" si="61"/>
        <v>0.20750123930575562</v>
      </c>
      <c r="AC199" s="122">
        <f t="shared" si="61"/>
        <v>0.18863749027795962</v>
      </c>
      <c r="AD199" s="122">
        <f t="shared" si="61"/>
        <v>0.17148862752541782</v>
      </c>
      <c r="AE199" s="122">
        <f t="shared" si="61"/>
        <v>0.15589875229583436</v>
      </c>
      <c r="AF199" s="122">
        <f t="shared" si="61"/>
        <v>0.14172613845075852</v>
      </c>
      <c r="AG199" s="122">
        <f t="shared" si="61"/>
        <v>0.1288419440461441</v>
      </c>
      <c r="AH199" s="122">
        <f t="shared" si="61"/>
        <v>0.11712904004194918</v>
      </c>
      <c r="AI199" s="122">
        <f t="shared" si="61"/>
        <v>0.10648094549268106</v>
      </c>
      <c r="AJ199" s="122">
        <f t="shared" si="61"/>
        <v>9.6800859538800965E-2</v>
      </c>
      <c r="AK199" s="122">
        <f t="shared" si="61"/>
        <v>8.8000781398909919E-2</v>
      </c>
      <c r="AL199" s="122">
        <f t="shared" ref="AL199:AV199" si="62" xml:space="preserve"> IF( AL198 &gt; 0, 1 / ( 1 + $F194) ^ (AL198 - 0.5), 0)</f>
        <v>8.0000710362645402E-2</v>
      </c>
      <c r="AM199" s="122">
        <f t="shared" si="62"/>
        <v>7.272791851149582E-2</v>
      </c>
      <c r="AN199" s="122">
        <f t="shared" si="62"/>
        <v>6.6116289555905275E-2</v>
      </c>
      <c r="AO199" s="122">
        <f t="shared" si="62"/>
        <v>6.0105717778095702E-2</v>
      </c>
      <c r="AP199" s="122">
        <f t="shared" si="62"/>
        <v>5.4641561616450646E-2</v>
      </c>
      <c r="AQ199" s="122">
        <f t="shared" si="62"/>
        <v>4.967414692404603E-2</v>
      </c>
      <c r="AR199" s="122">
        <f t="shared" si="62"/>
        <v>4.5158315385496389E-2</v>
      </c>
      <c r="AS199" s="122">
        <f t="shared" si="62"/>
        <v>4.1053013986814886E-2</v>
      </c>
      <c r="AT199" s="122">
        <f t="shared" si="62"/>
        <v>3.7320921806195353E-2</v>
      </c>
      <c r="AU199" s="122">
        <f t="shared" si="62"/>
        <v>3.3928110732904866E-2</v>
      </c>
      <c r="AV199" s="122">
        <f t="shared" si="62"/>
        <v>3.0843737029913505E-2</v>
      </c>
    </row>
    <row r="200" spans="1:68" ht="15" customHeight="1">
      <c r="D200" s="121"/>
      <c r="E200" s="37" t="str">
        <f>"NPV" &amp; F194 * 100</f>
        <v>NPV10</v>
      </c>
      <c r="F200" s="120">
        <f xml:space="preserve"> SUMPRODUCT(L199:AV199, L192:AV192)</f>
        <v>3762.5883903158146</v>
      </c>
      <c r="G200" s="37" t="str">
        <f>"USD mn NPV" &amp; F194 * 100</f>
        <v>USD mn NPV10</v>
      </c>
      <c r="H200" s="37"/>
    </row>
    <row r="201" spans="1:68" ht="15" customHeight="1">
      <c r="E201" s="37" t="s">
        <v>213</v>
      </c>
    </row>
    <row r="202" spans="1:68" ht="15" customHeight="1">
      <c r="E202" s="113" t="s">
        <v>151</v>
      </c>
      <c r="I202" s="69" t="str">
        <f xml:space="preserve"> Sources!$I$59</f>
        <v>XLVII</v>
      </c>
    </row>
    <row r="203" spans="1:68" ht="15" customHeight="1">
      <c r="K203" s="114"/>
      <c r="L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114"/>
      <c r="AH203" s="114"/>
      <c r="AI203" s="114"/>
      <c r="AJ203" s="114"/>
      <c r="AK203" s="114"/>
      <c r="AL203" s="114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4"/>
    </row>
    <row r="204" spans="1:68" ht="15" customHeight="1">
      <c r="F204" s="117" t="s">
        <v>152</v>
      </c>
      <c r="G204" s="3">
        <f xml:space="preserve"> $F$200</f>
        <v>3762.5883903158146</v>
      </c>
      <c r="H204" s="118" t="s">
        <v>214</v>
      </c>
      <c r="I204" s="117" t="s">
        <v>26</v>
      </c>
    </row>
    <row r="205" spans="1:68" ht="15" customHeight="1">
      <c r="F205" s="137">
        <v>0.08</v>
      </c>
      <c r="G205" s="116">
        <f t="dataTable" ref="G205:G208" dt2D="0" dtr="0" r1="F194"/>
        <v>4699.2978309411574</v>
      </c>
      <c r="H205" s="115">
        <v>6860</v>
      </c>
      <c r="I205" s="114">
        <f>G205 / H205 - 1</f>
        <v>-0.31497116167038519</v>
      </c>
    </row>
    <row r="206" spans="1:68" ht="15" customHeight="1">
      <c r="F206" s="137">
        <v>0.1</v>
      </c>
      <c r="G206" s="116">
        <v>3762.5883903158146</v>
      </c>
      <c r="H206" s="115">
        <v>6008</v>
      </c>
      <c r="I206" s="114">
        <f>G206 / H206 - 1</f>
        <v>-0.37373695234423854</v>
      </c>
    </row>
    <row r="207" spans="1:68" ht="15" customHeight="1">
      <c r="F207" s="137">
        <v>0.12</v>
      </c>
      <c r="G207" s="116">
        <v>3047.8812609609595</v>
      </c>
      <c r="H207" s="115">
        <v>5315</v>
      </c>
      <c r="I207" s="114">
        <f>G207 / H207 - 1</f>
        <v>-0.4265510327448806</v>
      </c>
    </row>
    <row r="208" spans="1:68" ht="15" customHeight="1">
      <c r="F208" s="137">
        <v>0.14000000000000001</v>
      </c>
      <c r="G208" s="116">
        <v>2495.2456618584147</v>
      </c>
      <c r="H208" s="115">
        <v>4744</v>
      </c>
      <c r="I208" s="114">
        <f>G208 / H208 - 1</f>
        <v>-0.47402072895058711</v>
      </c>
    </row>
    <row r="211" spans="1:11" s="160" customFormat="1" ht="15" customHeight="1">
      <c r="A211" s="164" t="s">
        <v>153</v>
      </c>
      <c r="B211" s="162"/>
      <c r="C211" s="192"/>
      <c r="D211" s="163"/>
      <c r="E211" s="162"/>
      <c r="F211" s="162"/>
      <c r="G211" s="162"/>
      <c r="H211" s="162"/>
    </row>
    <row r="213" spans="1:11" ht="15" customHeight="1">
      <c r="E213" s="187" t="s">
        <v>154</v>
      </c>
    </row>
    <row r="214" spans="1:11" ht="15" customHeight="1">
      <c r="E214" s="187"/>
    </row>
    <row r="215" spans="1:11" ht="15" customHeight="1">
      <c r="E215" s="320" t="str">
        <f xml:space="preserve"> E$158</f>
        <v>Check: cashflows after tax</v>
      </c>
      <c r="F215" s="305">
        <f xml:space="preserve"> F$158</f>
        <v>0</v>
      </c>
      <c r="G215" s="110" t="s">
        <v>113</v>
      </c>
    </row>
    <row r="216" spans="1:11" ht="15" customHeight="1">
      <c r="E216" s="560" t="str">
        <f xml:space="preserve"> E$165</f>
        <v>Check: cashflows after dividends</v>
      </c>
      <c r="F216" s="305">
        <f xml:space="preserve"> F$165</f>
        <v>0</v>
      </c>
      <c r="G216" s="110" t="s">
        <v>113</v>
      </c>
    </row>
    <row r="217" spans="1:11" ht="15" customHeight="1">
      <c r="E217" s="393"/>
      <c r="F217" s="393"/>
      <c r="G217" s="393"/>
      <c r="H217" s="475"/>
      <c r="I217" s="476"/>
    </row>
    <row r="218" spans="1:11" s="187" customFormat="1" ht="15" customHeight="1">
      <c r="A218" s="473"/>
      <c r="B218" s="473"/>
      <c r="C218" s="474"/>
      <c r="E218" s="187" t="str">
        <f ca="1">"SheetChecks: " &amp; A1</f>
        <v>SheetChecks: Kamoto_2011TR</v>
      </c>
      <c r="F218" s="546">
        <f>SUM(F215:F216)</f>
        <v>0</v>
      </c>
      <c r="G218" s="187" t="s">
        <v>803</v>
      </c>
      <c r="I218" s="210"/>
      <c r="K218" s="136"/>
    </row>
    <row r="219" spans="1:11" ht="15" customHeight="1">
      <c r="E219" s="187"/>
    </row>
    <row r="220" spans="1:11" ht="15" customHeight="1">
      <c r="E220" s="230" t="s">
        <v>155</v>
      </c>
      <c r="G220" s="113" t="s">
        <v>156</v>
      </c>
      <c r="H220" s="113"/>
    </row>
    <row r="221" spans="1:11" ht="15" customHeight="1">
      <c r="E221" s="110" t="s">
        <v>215</v>
      </c>
      <c r="G221" s="112" t="str">
        <f xml:space="preserve"> E36</f>
        <v>Revenue 2011TR</v>
      </c>
      <c r="H221" s="112" t="str">
        <f xml:space="preserve"> Q35</f>
        <v>positive diff in early years: use of pre-existing stockpiles?</v>
      </c>
    </row>
    <row r="222" spans="1:11" ht="15" customHeight="1">
      <c r="E222" s="110" t="s">
        <v>216</v>
      </c>
      <c r="G222" s="112"/>
      <c r="H222" s="112"/>
    </row>
    <row r="223" spans="1:11" ht="15" customHeight="1">
      <c r="E223" s="110" t="s">
        <v>217</v>
      </c>
      <c r="G223" s="112" t="str">
        <f xml:space="preserve"> E141</f>
        <v>Difference to TR</v>
      </c>
      <c r="H223" s="112"/>
    </row>
    <row r="224" spans="1:11" ht="15" customHeight="1">
      <c r="E224" s="110" t="s">
        <v>218</v>
      </c>
      <c r="G224" s="112" t="str">
        <f xml:space="preserve"> E141</f>
        <v>Difference to TR</v>
      </c>
      <c r="H224" s="112"/>
    </row>
    <row r="225" spans="1:11" ht="15" customHeight="1">
      <c r="E225" s="110" t="s">
        <v>219</v>
      </c>
      <c r="G225" s="112" t="str">
        <f xml:space="preserve"> E174</f>
        <v>Gecamines dividends foregone: debt repayment?</v>
      </c>
      <c r="H225" s="112"/>
    </row>
    <row r="226" spans="1:11" ht="15" customHeight="1">
      <c r="E226" s="110" t="s">
        <v>161</v>
      </c>
    </row>
    <row r="228" spans="1:11" s="233" customFormat="1" ht="15" customHeight="1">
      <c r="A228" s="231" t="s">
        <v>163</v>
      </c>
      <c r="B228" s="231"/>
      <c r="C228" s="232"/>
      <c r="I228" s="234"/>
      <c r="K228" s="243"/>
    </row>
  </sheetData>
  <conditionalFormatting sqref="F2">
    <cfRule type="cellIs" dxfId="41" priority="19" stopIfTrue="1" operator="notEqual">
      <formula>0</formula>
    </cfRule>
    <cfRule type="cellIs" dxfId="40" priority="20" stopIfTrue="1" operator="equal">
      <formula>""</formula>
    </cfRule>
  </conditionalFormatting>
  <conditionalFormatting sqref="F3">
    <cfRule type="cellIs" dxfId="39" priority="23" stopIfTrue="1" operator="notEqual">
      <formula>0</formula>
    </cfRule>
    <cfRule type="cellIs" dxfId="38" priority="24" stopIfTrue="1" operator="equal">
      <formula>""</formula>
    </cfRule>
  </conditionalFormatting>
  <conditionalFormatting sqref="F158">
    <cfRule type="cellIs" dxfId="37" priority="1" stopIfTrue="1" operator="notEqual">
      <formula>0</formula>
    </cfRule>
    <cfRule type="cellIs" dxfId="36" priority="2" stopIfTrue="1" operator="equal">
      <formula>""</formula>
    </cfRule>
  </conditionalFormatting>
  <conditionalFormatting sqref="F165">
    <cfRule type="cellIs" dxfId="35" priority="3" stopIfTrue="1" operator="notEqual">
      <formula>0</formula>
    </cfRule>
    <cfRule type="cellIs" dxfId="34" priority="4" stopIfTrue="1" operator="equal">
      <formula>""</formula>
    </cfRule>
  </conditionalFormatting>
  <conditionalFormatting sqref="F215:F216">
    <cfRule type="cellIs" dxfId="33" priority="7" stopIfTrue="1" operator="notEqual">
      <formula>0</formula>
    </cfRule>
    <cfRule type="cellIs" dxfId="32" priority="8" stopIfTrue="1" operator="equal">
      <formula>""</formula>
    </cfRule>
  </conditionalFormatting>
  <conditionalFormatting sqref="F218">
    <cfRule type="cellIs" dxfId="31" priority="5" stopIfTrue="1" operator="notEqual">
      <formula>0</formula>
    </cfRule>
    <cfRule type="cellIs" dxfId="30" priority="6" stopIfTrue="1" operator="equal">
      <formula>""</formula>
    </cfRule>
  </conditionalFormatting>
  <conditionalFormatting sqref="L3:AV3">
    <cfRule type="cellIs" dxfId="29" priority="25" stopIfTrue="1" operator="equal">
      <formula>#REF!</formula>
    </cfRule>
    <cfRule type="cellIs" dxfId="28" priority="26" stopIfTrue="1" operator="equal">
      <formula>#REF!</formula>
    </cfRule>
    <cfRule type="cellIs" dxfId="27" priority="27" operator="equal">
      <formula>#REF!</formula>
    </cfRule>
    <cfRule type="cellIs" dxfId="26" priority="28" operator="equal">
      <formula>#REF!</formula>
    </cfRule>
  </conditionalFormatting>
  <conditionalFormatting sqref="L158:AV158">
    <cfRule type="cellIs" dxfId="25" priority="17" stopIfTrue="1" operator="notEqual">
      <formula>0</formula>
    </cfRule>
    <cfRule type="cellIs" dxfId="24" priority="18" stopIfTrue="1" operator="equal">
      <formula>""</formula>
    </cfRule>
  </conditionalFormatting>
  <conditionalFormatting sqref="L165:AV165">
    <cfRule type="cellIs" dxfId="23" priority="13" stopIfTrue="1" operator="notEqual">
      <formula>0</formula>
    </cfRule>
    <cfRule type="cellIs" dxfId="22" priority="14" stopIfTrue="1" operator="equal">
      <formula>""</formula>
    </cfRule>
  </conditionalFormatting>
  <conditionalFormatting sqref="M3:AV3">
    <cfRule type="cellIs" dxfId="21" priority="29" stopIfTrue="1" operator="equal">
      <formula>#REF!</formula>
    </cfRule>
    <cfRule type="cellIs" dxfId="20" priority="30" stopIfTrue="1" operator="equal">
      <formula>#REF!</formula>
    </cfRule>
  </conditionalFormatting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Kamoto_2011TR!L174:AV174</xm:f>
              <xm:sqref>H174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Kamoto_2011TR!L22:AV22</xm:f>
              <xm:sqref>H22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Kamoto_2011TR!L71:AV71</xm:f>
              <xm:sqref>H71</xm:sqref>
            </x14:sparkline>
            <x14:sparkline>
              <xm:f>Kamoto_2011TR!L72:AV72</xm:f>
              <xm:sqref>H72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Kamoto_2011TR!L85:AV85</xm:f>
              <xm:sqref>H85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Kamoto_2011TR!L57:AV57</xm:f>
              <xm:sqref>H57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Kamoto_2011TR!L51:AV51</xm:f>
              <xm:sqref>H51</xm:sqref>
            </x14:sparkline>
            <x14:sparkline>
              <xm:f>Kamoto_2011TR!L52:AV52</xm:f>
              <xm:sqref>H52</xm:sqref>
            </x14:sparkline>
            <x14:sparkline>
              <xm:f>Kamoto_2011TR!L53:AV53</xm:f>
              <xm:sqref>H53</xm:sqref>
            </x14:sparkline>
            <x14:sparkline>
              <xm:f>Kamoto_2011TR!L54:AV54</xm:f>
              <xm:sqref>H54</xm:sqref>
            </x14:sparkline>
            <x14:sparkline>
              <xm:f>Kamoto_2011TR!L55:AV55</xm:f>
              <xm:sqref>H55</xm:sqref>
            </x14:sparkline>
            <x14:sparkline>
              <xm:f>Kamoto_2011TR!L56:AV56</xm:f>
              <xm:sqref>H56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Kamoto_2011TR!L33:AV33</xm:f>
              <xm:sqref>H33</xm:sqref>
            </x14:sparkline>
          </x14:sparklines>
        </x14:sparklineGroup>
      </x14:sparklineGroup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7F"/>
  </sheetPr>
  <dimension ref="A1:T65"/>
  <sheetViews>
    <sheetView zoomScale="60" zoomScaleNormal="60" workbookViewId="0">
      <selection activeCell="Q5" sqref="Q5"/>
    </sheetView>
  </sheetViews>
  <sheetFormatPr baseColWidth="10" defaultColWidth="0" defaultRowHeight="14.4"/>
  <cols>
    <col min="1" max="2" width="1.296875" style="502" customWidth="1"/>
    <col min="3" max="3" width="1.296875" style="501" customWidth="1"/>
    <col min="4" max="4" width="1" style="3" customWidth="1"/>
    <col min="5" max="5" width="32.69921875" style="3" bestFit="1" customWidth="1"/>
    <col min="6" max="6" width="1" style="3" customWidth="1"/>
    <col min="7" max="7" width="12.09765625" style="3" customWidth="1"/>
    <col min="8" max="8" width="1" style="3" customWidth="1"/>
    <col min="9" max="9" width="20.59765625" style="3" customWidth="1"/>
    <col min="10" max="10" width="1" style="3" customWidth="1"/>
    <col min="11" max="11" width="39.296875" style="3" bestFit="1" customWidth="1"/>
    <col min="12" max="12" width="1" style="3" customWidth="1"/>
    <col min="13" max="13" width="9.09765625" style="3" customWidth="1"/>
    <col min="14" max="14" width="1" style="3" customWidth="1"/>
    <col min="15" max="15" width="59.59765625" style="3" customWidth="1"/>
    <col min="16" max="16" width="1" style="3" customWidth="1"/>
    <col min="17" max="17" width="67.8984375" style="3" bestFit="1" customWidth="1"/>
    <col min="18" max="18" width="1" style="3" customWidth="1"/>
    <col min="19" max="19" width="27.09765625" style="3" customWidth="1"/>
    <col min="20" max="20" width="1" style="3" customWidth="1"/>
    <col min="21" max="16384" width="9" style="3" hidden="1"/>
  </cols>
  <sheetData>
    <row r="1" spans="1:19" ht="25.8">
      <c r="A1" s="398" t="str">
        <f ca="1" xml:space="preserve"> RIGHT(CELL("filename", $A$1), LEN(CELL("filename", $A$1)) - SEARCH("]", CELL("filename", $A$1)))</f>
        <v>Sources</v>
      </c>
      <c r="B1" s="398"/>
    </row>
    <row r="3" spans="1:19" ht="15.6">
      <c r="D3" s="503"/>
      <c r="E3" s="10" t="s">
        <v>450</v>
      </c>
      <c r="F3" s="14"/>
      <c r="G3" s="10" t="s">
        <v>451</v>
      </c>
      <c r="H3" s="14"/>
      <c r="I3" s="10" t="s">
        <v>452</v>
      </c>
      <c r="J3" s="14"/>
      <c r="K3" s="10" t="s">
        <v>453</v>
      </c>
      <c r="L3" s="14"/>
      <c r="M3" s="10" t="s">
        <v>454</v>
      </c>
      <c r="N3" s="14"/>
      <c r="O3" s="10" t="s">
        <v>455</v>
      </c>
      <c r="P3" s="14"/>
      <c r="Q3" s="10" t="s">
        <v>456</v>
      </c>
      <c r="R3" s="14"/>
      <c r="S3" s="10" t="s">
        <v>457</v>
      </c>
    </row>
    <row r="4" spans="1:19">
      <c r="D4" s="504"/>
      <c r="E4" s="505"/>
      <c r="F4" s="504"/>
      <c r="G4" s="505"/>
      <c r="H4" s="504"/>
      <c r="I4" s="505"/>
      <c r="J4" s="504"/>
      <c r="K4" s="505"/>
      <c r="L4" s="504"/>
      <c r="M4" s="505"/>
      <c r="N4" s="504"/>
      <c r="O4" s="505"/>
      <c r="P4" s="504"/>
      <c r="Q4" s="505"/>
      <c r="R4" s="504"/>
      <c r="S4" s="505"/>
    </row>
    <row r="5" spans="1:19" s="8" customFormat="1">
      <c r="A5" s="506"/>
      <c r="B5" s="506"/>
      <c r="C5" s="506"/>
      <c r="D5" s="9"/>
      <c r="E5" s="12" t="s">
        <v>458</v>
      </c>
      <c r="F5" s="9"/>
      <c r="G5" s="8">
        <f xml:space="preserve"> MAX(G$4:G4) + 1</f>
        <v>1</v>
      </c>
      <c r="H5" s="9"/>
      <c r="I5" s="60" t="str">
        <f t="shared" ref="I5:I7" si="0" xml:space="preserve"> ROMAN(G5, 0)</f>
        <v>I</v>
      </c>
      <c r="J5" s="61"/>
      <c r="K5" s="62" t="s">
        <v>459</v>
      </c>
      <c r="L5" s="61"/>
      <c r="M5" s="62"/>
      <c r="N5" s="61"/>
      <c r="O5" s="62" t="s">
        <v>460</v>
      </c>
      <c r="P5" s="61"/>
      <c r="Q5" s="64" t="s">
        <v>461</v>
      </c>
      <c r="R5" s="9"/>
    </row>
    <row r="6" spans="1:19" s="8" customFormat="1">
      <c r="A6" s="506"/>
      <c r="B6" s="506"/>
      <c r="C6" s="506"/>
      <c r="D6" s="9"/>
      <c r="E6" s="12"/>
      <c r="F6" s="9"/>
      <c r="G6" s="8">
        <f xml:space="preserve"> MAX(G$4:G5) + 1</f>
        <v>2</v>
      </c>
      <c r="H6" s="9"/>
      <c r="I6" s="60" t="str">
        <f t="shared" si="0"/>
        <v>II</v>
      </c>
      <c r="J6" s="61"/>
      <c r="K6" s="62" t="s">
        <v>462</v>
      </c>
      <c r="L6" s="61"/>
      <c r="M6" s="62"/>
      <c r="N6" s="61"/>
      <c r="O6" s="62" t="s">
        <v>463</v>
      </c>
      <c r="P6" s="61"/>
      <c r="Q6" s="63" t="s">
        <v>464</v>
      </c>
      <c r="R6" s="9"/>
    </row>
    <row r="7" spans="1:19" s="8" customFormat="1">
      <c r="A7" s="506"/>
      <c r="B7" s="506"/>
      <c r="C7" s="506"/>
      <c r="D7" s="9"/>
      <c r="E7" s="12"/>
      <c r="F7" s="9"/>
      <c r="G7" s="8">
        <f xml:space="preserve"> MAX(G$4:G6) + 1</f>
        <v>3</v>
      </c>
      <c r="H7" s="9"/>
      <c r="I7" s="60" t="str">
        <f t="shared" si="0"/>
        <v>III</v>
      </c>
      <c r="J7" s="61"/>
      <c r="K7" s="62" t="s">
        <v>465</v>
      </c>
      <c r="L7" s="61"/>
      <c r="M7" s="62"/>
      <c r="N7" s="61"/>
      <c r="O7" s="62"/>
      <c r="P7" s="61"/>
      <c r="Q7" s="63"/>
      <c r="R7" s="9"/>
    </row>
    <row r="8" spans="1:19" s="8" customFormat="1">
      <c r="A8" s="506"/>
      <c r="B8" s="506"/>
      <c r="C8" s="506"/>
      <c r="D8" s="9"/>
      <c r="E8" s="12"/>
      <c r="F8" s="9"/>
      <c r="G8" s="8">
        <f xml:space="preserve"> MAX(G$4:G7) + 1</f>
        <v>4</v>
      </c>
      <c r="H8" s="9"/>
      <c r="I8" s="15" t="str">
        <f t="shared" ref="I8:I17" si="1" xml:space="preserve"> ROMAN(G8, 0)</f>
        <v>IV</v>
      </c>
      <c r="J8" s="9"/>
      <c r="K8" s="8" t="s">
        <v>521</v>
      </c>
      <c r="L8" s="9"/>
      <c r="N8" s="9"/>
      <c r="P8" s="9"/>
      <c r="Q8" s="260" t="s">
        <v>522</v>
      </c>
      <c r="R8" s="9"/>
    </row>
    <row r="9" spans="1:19" s="8" customFormat="1">
      <c r="A9" s="506"/>
      <c r="B9" s="506"/>
      <c r="C9" s="506"/>
      <c r="D9" s="9"/>
      <c r="E9" s="12"/>
      <c r="F9" s="9"/>
      <c r="G9" s="8">
        <f xml:space="preserve"> MAX(G$4:G8) + 1</f>
        <v>5</v>
      </c>
      <c r="H9" s="9"/>
      <c r="I9" s="60" t="str">
        <f t="shared" si="1"/>
        <v>V</v>
      </c>
      <c r="J9" s="61"/>
      <c r="K9" s="62" t="s">
        <v>466</v>
      </c>
      <c r="L9" s="61"/>
      <c r="M9" s="62"/>
      <c r="N9" s="61"/>
      <c r="O9" s="62" t="s">
        <v>467</v>
      </c>
      <c r="P9" s="61"/>
      <c r="Q9" s="64" t="s">
        <v>468</v>
      </c>
      <c r="R9" s="9"/>
    </row>
    <row r="10" spans="1:19" s="8" customFormat="1">
      <c r="A10" s="506"/>
      <c r="B10" s="506"/>
      <c r="C10" s="506"/>
      <c r="D10" s="9"/>
      <c r="E10" s="12"/>
      <c r="F10" s="9"/>
      <c r="G10" s="8">
        <f xml:space="preserve"> MAX(G$4:G9) + 1</f>
        <v>6</v>
      </c>
      <c r="H10" s="9"/>
      <c r="I10" s="60" t="str">
        <f t="shared" si="1"/>
        <v>VI</v>
      </c>
      <c r="J10" s="61"/>
      <c r="K10" s="62" t="s">
        <v>466</v>
      </c>
      <c r="L10" s="61"/>
      <c r="M10" s="62"/>
      <c r="N10" s="61"/>
      <c r="O10" s="62" t="s">
        <v>469</v>
      </c>
      <c r="P10" s="61"/>
      <c r="Q10" s="64" t="s">
        <v>468</v>
      </c>
      <c r="R10" s="9"/>
    </row>
    <row r="11" spans="1:19" s="8" customFormat="1">
      <c r="A11" s="506"/>
      <c r="B11" s="506"/>
      <c r="C11" s="506"/>
      <c r="D11" s="9"/>
      <c r="E11" s="12"/>
      <c r="F11" s="9"/>
      <c r="G11" s="8">
        <f xml:space="preserve"> MAX(G$4:G10) + 1</f>
        <v>7</v>
      </c>
      <c r="H11" s="9"/>
      <c r="I11" s="60" t="str">
        <f t="shared" si="1"/>
        <v>VII</v>
      </c>
      <c r="J11" s="61"/>
      <c r="K11" s="62" t="s">
        <v>466</v>
      </c>
      <c r="L11" s="61"/>
      <c r="M11" s="62"/>
      <c r="N11" s="61"/>
      <c r="O11" s="62" t="s">
        <v>470</v>
      </c>
      <c r="P11" s="61"/>
      <c r="Q11" s="64" t="s">
        <v>468</v>
      </c>
      <c r="R11" s="9"/>
    </row>
    <row r="12" spans="1:19" s="8" customFormat="1">
      <c r="A12" s="506"/>
      <c r="B12" s="506"/>
      <c r="C12" s="506"/>
      <c r="D12" s="9"/>
      <c r="E12" s="12"/>
      <c r="F12" s="9"/>
      <c r="G12" s="8">
        <f xml:space="preserve"> MAX(G$4:G11) + 1</f>
        <v>8</v>
      </c>
      <c r="H12" s="9"/>
      <c r="I12" s="60" t="str">
        <f t="shared" si="1"/>
        <v>VIII</v>
      </c>
      <c r="J12" s="61"/>
      <c r="K12" s="62" t="s">
        <v>466</v>
      </c>
      <c r="L12" s="61"/>
      <c r="M12" s="62"/>
      <c r="N12" s="61"/>
      <c r="O12" s="62" t="s">
        <v>471</v>
      </c>
      <c r="P12" s="61"/>
      <c r="Q12" s="64" t="s">
        <v>468</v>
      </c>
      <c r="R12" s="9"/>
    </row>
    <row r="13" spans="1:19" s="8" customFormat="1">
      <c r="A13" s="506"/>
      <c r="B13" s="506"/>
      <c r="C13" s="506"/>
      <c r="D13" s="9"/>
      <c r="E13" s="12"/>
      <c r="F13" s="9"/>
      <c r="G13" s="8">
        <f xml:space="preserve"> MAX(G$4:G12) + 1</f>
        <v>9</v>
      </c>
      <c r="H13" s="9"/>
      <c r="I13" s="60" t="str">
        <f t="shared" si="1"/>
        <v>IX</v>
      </c>
      <c r="J13" s="9"/>
      <c r="K13" s="8" t="s">
        <v>466</v>
      </c>
      <c r="L13" s="9"/>
      <c r="N13" s="9"/>
      <c r="O13" s="8" t="s">
        <v>472</v>
      </c>
      <c r="P13" s="9"/>
      <c r="Q13" s="83" t="s">
        <v>468</v>
      </c>
      <c r="R13" s="9"/>
    </row>
    <row r="14" spans="1:19" s="8" customFormat="1">
      <c r="A14" s="506"/>
      <c r="B14" s="506"/>
      <c r="C14" s="506"/>
      <c r="D14" s="9"/>
      <c r="E14" s="12"/>
      <c r="F14" s="9"/>
      <c r="G14" s="8">
        <f xml:space="preserve"> MAX(G$4:G13) + 1</f>
        <v>10</v>
      </c>
      <c r="H14" s="9"/>
      <c r="I14" s="60" t="str">
        <f t="shared" si="1"/>
        <v>X</v>
      </c>
      <c r="J14" s="9"/>
      <c r="K14" s="8" t="s">
        <v>473</v>
      </c>
      <c r="L14" s="9"/>
      <c r="M14" s="8">
        <v>3</v>
      </c>
      <c r="N14" s="9"/>
      <c r="O14" s="8" t="s">
        <v>474</v>
      </c>
      <c r="P14" s="9"/>
      <c r="Q14" s="11" t="s">
        <v>475</v>
      </c>
      <c r="R14" s="9"/>
    </row>
    <row r="15" spans="1:19" s="8" customFormat="1">
      <c r="A15" s="506"/>
      <c r="B15" s="506"/>
      <c r="C15" s="506"/>
      <c r="D15" s="9"/>
      <c r="E15" s="12"/>
      <c r="F15" s="9"/>
      <c r="G15" s="8">
        <f xml:space="preserve"> MAX(G$4:G14) + 1</f>
        <v>11</v>
      </c>
      <c r="H15" s="9"/>
      <c r="I15" s="60" t="str">
        <f t="shared" si="1"/>
        <v>XI</v>
      </c>
      <c r="J15" s="9"/>
      <c r="K15" s="8" t="s">
        <v>473</v>
      </c>
      <c r="L15" s="9"/>
      <c r="M15" s="8">
        <v>19</v>
      </c>
      <c r="N15" s="9"/>
      <c r="O15" s="8" t="s">
        <v>476</v>
      </c>
      <c r="P15" s="9"/>
      <c r="Q15" s="11" t="s">
        <v>475</v>
      </c>
      <c r="R15" s="9"/>
    </row>
    <row r="16" spans="1:19" s="8" customFormat="1">
      <c r="A16" s="506"/>
      <c r="B16" s="506"/>
      <c r="C16" s="506"/>
      <c r="D16" s="9"/>
      <c r="E16" s="12"/>
      <c r="F16" s="9"/>
      <c r="G16" s="8">
        <f xml:space="preserve"> MAX(G$4:G15) + 1</f>
        <v>12</v>
      </c>
      <c r="H16" s="9"/>
      <c r="I16" s="60" t="str">
        <f t="shared" si="1"/>
        <v>XII</v>
      </c>
      <c r="J16" s="9"/>
      <c r="K16" s="8" t="s">
        <v>473</v>
      </c>
      <c r="L16" s="9"/>
      <c r="M16" s="8">
        <v>44</v>
      </c>
      <c r="N16" s="9"/>
      <c r="O16" s="8" t="s">
        <v>477</v>
      </c>
      <c r="P16" s="9"/>
      <c r="Q16" s="11" t="s">
        <v>475</v>
      </c>
      <c r="R16" s="9"/>
    </row>
    <row r="17" spans="1:17" s="8" customFormat="1">
      <c r="G17" s="8">
        <f xml:space="preserve"> MAX(G$4:G16) + 1</f>
        <v>13</v>
      </c>
      <c r="H17" s="9"/>
      <c r="I17" s="60" t="str">
        <f t="shared" si="1"/>
        <v>XIII</v>
      </c>
      <c r="J17" s="7"/>
      <c r="K17" s="6"/>
      <c r="L17" s="7"/>
      <c r="M17" s="6"/>
      <c r="N17" s="7"/>
      <c r="O17" s="6"/>
      <c r="P17" s="9"/>
      <c r="Q17" s="11"/>
    </row>
    <row r="18" spans="1:17" ht="2.7" customHeight="1">
      <c r="G18" s="7"/>
      <c r="H18" s="7"/>
      <c r="I18" s="7"/>
      <c r="J18" s="7"/>
      <c r="K18" s="7"/>
      <c r="L18" s="7"/>
      <c r="M18" s="7"/>
      <c r="N18" s="7"/>
      <c r="O18" s="7"/>
      <c r="P18" s="4"/>
      <c r="Q18" s="4"/>
    </row>
    <row r="19" spans="1:17" s="8" customFormat="1">
      <c r="D19" s="9"/>
      <c r="E19" s="12" t="s">
        <v>228</v>
      </c>
      <c r="F19" s="9"/>
      <c r="G19" s="8">
        <f xml:space="preserve"> MAX(G$4:G18) + 1</f>
        <v>14</v>
      </c>
      <c r="H19" s="9"/>
      <c r="I19" s="15" t="str">
        <f t="shared" ref="I19:I20" si="2" xml:space="preserve"> ROMAN(G19, 0)</f>
        <v>XIV</v>
      </c>
      <c r="J19" s="9"/>
      <c r="K19" s="8" t="s">
        <v>478</v>
      </c>
      <c r="L19" s="9"/>
      <c r="M19" s="8">
        <v>15</v>
      </c>
      <c r="N19" s="9"/>
      <c r="O19" s="8" t="s">
        <v>479</v>
      </c>
      <c r="P19" s="9"/>
      <c r="Q19" s="11" t="s">
        <v>480</v>
      </c>
    </row>
    <row r="20" spans="1:17" s="8" customFormat="1">
      <c r="A20" s="506"/>
      <c r="B20" s="506"/>
      <c r="C20" s="507"/>
      <c r="D20" s="9"/>
      <c r="E20" s="12"/>
      <c r="F20" s="9"/>
      <c r="G20" s="8">
        <f xml:space="preserve"> MAX(G$4:G19) + 1</f>
        <v>15</v>
      </c>
      <c r="H20" s="9"/>
      <c r="I20" s="15" t="str">
        <f t="shared" si="2"/>
        <v>XV</v>
      </c>
      <c r="J20" s="9"/>
      <c r="K20" s="8" t="s">
        <v>478</v>
      </c>
      <c r="L20" s="9"/>
      <c r="M20" s="8">
        <v>25</v>
      </c>
      <c r="N20" s="9"/>
      <c r="O20" s="8" t="s">
        <v>481</v>
      </c>
      <c r="P20" s="9"/>
      <c r="Q20" s="11" t="s">
        <v>480</v>
      </c>
    </row>
    <row r="21" spans="1:17" s="8" customFormat="1">
      <c r="A21" s="506"/>
      <c r="B21" s="506"/>
      <c r="C21" s="507"/>
      <c r="D21" s="9"/>
      <c r="E21" s="12"/>
      <c r="F21" s="9"/>
      <c r="G21" s="8">
        <f xml:space="preserve"> MAX(G$4:G20) + 1</f>
        <v>16</v>
      </c>
      <c r="H21" s="9"/>
      <c r="I21" s="15" t="str">
        <f t="shared" ref="I21:I22" si="3" xml:space="preserve"> ROMAN(G21, 0)</f>
        <v>XVI</v>
      </c>
      <c r="J21" s="9"/>
      <c r="K21" s="8" t="s">
        <v>478</v>
      </c>
      <c r="L21" s="9"/>
      <c r="M21" s="8">
        <v>285</v>
      </c>
      <c r="N21" s="9"/>
      <c r="O21" s="8" t="s">
        <v>482</v>
      </c>
      <c r="P21" s="9"/>
      <c r="Q21" s="11" t="s">
        <v>480</v>
      </c>
    </row>
    <row r="22" spans="1:17" s="8" customFormat="1">
      <c r="A22" s="506"/>
      <c r="B22" s="506"/>
      <c r="C22" s="507"/>
      <c r="D22" s="9"/>
      <c r="E22" s="12"/>
      <c r="F22" s="9"/>
      <c r="G22" s="8">
        <f xml:space="preserve"> MAX(G$4:G21) + 1</f>
        <v>17</v>
      </c>
      <c r="H22" s="9"/>
      <c r="I22" s="15" t="str">
        <f t="shared" si="3"/>
        <v>XVII</v>
      </c>
      <c r="J22" s="9"/>
      <c r="K22" s="8" t="s">
        <v>478</v>
      </c>
      <c r="L22" s="9"/>
      <c r="M22" s="8">
        <v>133</v>
      </c>
      <c r="N22" s="9"/>
      <c r="O22" s="8" t="s">
        <v>483</v>
      </c>
      <c r="P22" s="9"/>
      <c r="Q22" s="11" t="s">
        <v>480</v>
      </c>
    </row>
    <row r="23" spans="1:17" s="8" customFormat="1">
      <c r="A23" s="506"/>
      <c r="B23" s="506"/>
      <c r="C23" s="507"/>
      <c r="D23" s="9"/>
      <c r="E23" s="12"/>
      <c r="F23" s="9"/>
      <c r="G23" s="8">
        <f xml:space="preserve"> MAX(G$4:G22) + 1</f>
        <v>18</v>
      </c>
      <c r="H23" s="9"/>
      <c r="I23" s="15" t="str">
        <f t="shared" ref="I23" si="4" xml:space="preserve"> ROMAN(G23, 0)</f>
        <v>XVIII</v>
      </c>
      <c r="J23" s="9"/>
      <c r="K23" s="8" t="s">
        <v>478</v>
      </c>
      <c r="L23" s="9"/>
      <c r="M23" s="8">
        <v>58</v>
      </c>
      <c r="N23" s="9"/>
      <c r="O23" s="8" t="s">
        <v>484</v>
      </c>
      <c r="P23" s="9"/>
      <c r="Q23" s="11" t="s">
        <v>480</v>
      </c>
    </row>
    <row r="24" spans="1:17" s="8" customFormat="1">
      <c r="A24" s="506"/>
      <c r="B24" s="506"/>
      <c r="C24" s="507"/>
      <c r="D24" s="9"/>
      <c r="E24" s="12"/>
      <c r="F24" s="9"/>
      <c r="G24" s="8">
        <f xml:space="preserve"> MAX(G$4:G23) + 1</f>
        <v>19</v>
      </c>
      <c r="H24" s="9"/>
      <c r="I24" s="15" t="str">
        <f t="shared" ref="I24:I30" si="5" xml:space="preserve"> ROMAN(G24, 0)</f>
        <v>XIX</v>
      </c>
      <c r="J24" s="9"/>
      <c r="K24" s="8" t="s">
        <v>485</v>
      </c>
      <c r="L24" s="9"/>
      <c r="N24" s="9"/>
      <c r="P24" s="9"/>
      <c r="Q24" s="11" t="s">
        <v>486</v>
      </c>
    </row>
    <row r="25" spans="1:17" s="8" customFormat="1">
      <c r="A25" s="506"/>
      <c r="B25" s="506"/>
      <c r="C25" s="507"/>
      <c r="D25" s="9"/>
      <c r="E25" s="12"/>
      <c r="F25" s="9"/>
      <c r="G25" s="8">
        <f xml:space="preserve"> MAX(G$4:G24) + 1</f>
        <v>20</v>
      </c>
      <c r="H25" s="9"/>
      <c r="I25" s="15" t="str">
        <f t="shared" si="5"/>
        <v>XX</v>
      </c>
      <c r="J25" s="9"/>
      <c r="K25" s="8" t="s">
        <v>485</v>
      </c>
      <c r="L25" s="9"/>
      <c r="N25" s="9"/>
      <c r="P25" s="9"/>
      <c r="Q25" s="11" t="s">
        <v>486</v>
      </c>
    </row>
    <row r="26" spans="1:17" s="8" customFormat="1">
      <c r="A26" s="506"/>
      <c r="B26" s="506"/>
      <c r="C26" s="507"/>
      <c r="D26" s="9"/>
      <c r="E26" s="12"/>
      <c r="F26" s="9"/>
      <c r="G26" s="8">
        <f xml:space="preserve"> MAX(G$4:G25) + 1</f>
        <v>21</v>
      </c>
      <c r="H26" s="9"/>
      <c r="I26" s="15" t="str">
        <f t="shared" si="5"/>
        <v>XXI</v>
      </c>
      <c r="J26" s="9"/>
      <c r="K26" s="8" t="s">
        <v>487</v>
      </c>
      <c r="L26" s="9"/>
      <c r="M26" s="8">
        <v>31</v>
      </c>
      <c r="N26" s="9"/>
      <c r="O26" s="8" t="s">
        <v>488</v>
      </c>
      <c r="P26" s="9"/>
      <c r="Q26" s="13" t="s">
        <v>489</v>
      </c>
    </row>
    <row r="27" spans="1:17" s="8" customFormat="1">
      <c r="A27" s="506"/>
      <c r="B27" s="506"/>
      <c r="C27" s="507"/>
      <c r="D27" s="9"/>
      <c r="E27" s="12"/>
      <c r="F27" s="9"/>
      <c r="G27" s="8">
        <f xml:space="preserve"> MAX(G$4:G26) + 1</f>
        <v>22</v>
      </c>
      <c r="H27" s="9"/>
      <c r="I27" s="15" t="str">
        <f t="shared" si="5"/>
        <v>XXII</v>
      </c>
      <c r="J27" s="9"/>
      <c r="K27" s="8" t="s">
        <v>487</v>
      </c>
      <c r="L27" s="9"/>
      <c r="M27" s="8">
        <v>290</v>
      </c>
      <c r="N27" s="9"/>
      <c r="O27" s="8" t="s">
        <v>490</v>
      </c>
      <c r="P27" s="9"/>
      <c r="Q27" s="11" t="s">
        <v>489</v>
      </c>
    </row>
    <row r="28" spans="1:17" s="8" customFormat="1">
      <c r="A28" s="506"/>
      <c r="B28" s="506"/>
      <c r="C28" s="507"/>
      <c r="D28" s="9"/>
      <c r="E28" s="12"/>
      <c r="F28" s="9"/>
      <c r="G28" s="8">
        <f xml:space="preserve"> MAX(G$4:G27) + 1</f>
        <v>23</v>
      </c>
      <c r="H28" s="9"/>
      <c r="I28" s="15" t="str">
        <f t="shared" si="5"/>
        <v>XXIII</v>
      </c>
      <c r="J28" s="9"/>
      <c r="K28" s="8" t="s">
        <v>487</v>
      </c>
      <c r="L28" s="9"/>
      <c r="M28" s="8">
        <v>276</v>
      </c>
      <c r="N28" s="9"/>
      <c r="O28" s="8" t="s">
        <v>491</v>
      </c>
      <c r="P28" s="9"/>
      <c r="Q28" s="11" t="s">
        <v>489</v>
      </c>
    </row>
    <row r="29" spans="1:17">
      <c r="D29" s="9"/>
      <c r="E29" s="12"/>
      <c r="F29" s="9"/>
      <c r="G29" s="8">
        <f xml:space="preserve"> MAX(G$4:G28) + 1</f>
        <v>24</v>
      </c>
      <c r="H29" s="9"/>
      <c r="I29" s="15" t="str">
        <f t="shared" si="5"/>
        <v>XXIV</v>
      </c>
      <c r="J29" s="4"/>
      <c r="K29" s="8" t="s">
        <v>487</v>
      </c>
      <c r="L29" s="9"/>
      <c r="M29" s="8">
        <v>292</v>
      </c>
      <c r="N29" s="9"/>
      <c r="O29" s="8" t="s">
        <v>492</v>
      </c>
      <c r="P29" s="9"/>
      <c r="Q29" s="11" t="s">
        <v>489</v>
      </c>
    </row>
    <row r="30" spans="1:17" s="8" customFormat="1">
      <c r="A30" s="506"/>
      <c r="B30" s="506"/>
      <c r="C30" s="507"/>
      <c r="D30" s="9"/>
      <c r="E30" s="12"/>
      <c r="F30" s="9"/>
      <c r="G30" s="8">
        <f xml:space="preserve"> MAX(G$4:G29) + 1</f>
        <v>25</v>
      </c>
      <c r="H30" s="9"/>
      <c r="I30" s="15" t="str">
        <f t="shared" si="5"/>
        <v>XXV</v>
      </c>
      <c r="J30" s="9"/>
      <c r="K30" s="8" t="s">
        <v>493</v>
      </c>
      <c r="L30" s="9"/>
      <c r="M30" s="8">
        <v>269</v>
      </c>
      <c r="N30" s="9"/>
      <c r="O30" s="8" t="s">
        <v>491</v>
      </c>
      <c r="P30" s="9"/>
      <c r="Q30" s="11" t="s">
        <v>494</v>
      </c>
    </row>
    <row r="31" spans="1:17" s="8" customFormat="1">
      <c r="A31" s="506"/>
      <c r="B31" s="506"/>
      <c r="C31" s="507"/>
      <c r="D31" s="9"/>
      <c r="E31" s="12"/>
      <c r="F31" s="9"/>
      <c r="G31" s="8">
        <f xml:space="preserve"> MAX(G$4:G30) + 1</f>
        <v>26</v>
      </c>
      <c r="H31" s="9"/>
      <c r="I31" s="15" t="str">
        <f t="shared" ref="I31" si="6" xml:space="preserve"> ROMAN(G31, 0)</f>
        <v>XXVI</v>
      </c>
      <c r="J31" s="9"/>
      <c r="K31" s="8" t="s">
        <v>495</v>
      </c>
      <c r="L31" s="9"/>
      <c r="N31" s="9"/>
      <c r="P31" s="9"/>
      <c r="Q31" s="11" t="s">
        <v>496</v>
      </c>
    </row>
    <row r="32" spans="1:17" ht="2.7" customHeight="1">
      <c r="D32" s="9"/>
      <c r="E32" s="12"/>
      <c r="F32" s="9"/>
      <c r="G32" s="7"/>
      <c r="H32" s="7"/>
      <c r="I32" s="7"/>
      <c r="J32" s="4"/>
      <c r="K32" s="4"/>
      <c r="L32" s="4"/>
      <c r="M32" s="4"/>
      <c r="N32" s="4"/>
      <c r="O32" s="4"/>
      <c r="P32" s="4"/>
      <c r="Q32" s="4"/>
    </row>
    <row r="33" spans="1:20" s="8" customFormat="1">
      <c r="A33" s="506"/>
      <c r="B33" s="506"/>
      <c r="C33" s="507"/>
      <c r="D33" s="9"/>
      <c r="E33" s="12"/>
      <c r="F33" s="9"/>
      <c r="G33" s="8">
        <f xml:space="preserve"> MAX(G$4:G32) + 1</f>
        <v>27</v>
      </c>
      <c r="H33" s="9"/>
      <c r="I33" s="15" t="str">
        <f xml:space="preserve"> ROMAN(G33, 0)</f>
        <v>XXVII</v>
      </c>
      <c r="J33" s="9"/>
      <c r="K33" s="8" t="s">
        <v>493</v>
      </c>
      <c r="L33" s="9"/>
      <c r="M33" s="8">
        <v>285</v>
      </c>
      <c r="N33" s="9"/>
      <c r="O33" s="8" t="s">
        <v>497</v>
      </c>
      <c r="P33" s="9"/>
      <c r="Q33" s="11" t="s">
        <v>494</v>
      </c>
    </row>
    <row r="34" spans="1:20">
      <c r="G34" s="6">
        <f xml:space="preserve"> MAX(G$4:G33) + 1</f>
        <v>28</v>
      </c>
      <c r="H34" s="7"/>
      <c r="I34" s="2" t="str">
        <f xml:space="preserve"> ROMAN(G34, 0)</f>
        <v>XXVIII</v>
      </c>
      <c r="J34" s="4"/>
      <c r="L34" s="4"/>
      <c r="N34" s="4"/>
      <c r="P34" s="4"/>
      <c r="Q34" s="13"/>
    </row>
    <row r="35" spans="1:20">
      <c r="H35" s="296"/>
      <c r="J35" s="296"/>
    </row>
    <row r="36" spans="1:20" s="8" customFormat="1">
      <c r="A36" s="506"/>
      <c r="B36" s="506"/>
      <c r="C36" s="507"/>
      <c r="G36" s="8">
        <f xml:space="preserve"> MAX(G$4:G35) + 1</f>
        <v>29</v>
      </c>
      <c r="H36" s="9"/>
      <c r="I36" s="15" t="str">
        <f xml:space="preserve"> ROMAN(G36, 0)</f>
        <v>XXIX</v>
      </c>
      <c r="J36" s="508"/>
      <c r="K36" s="8" t="s">
        <v>532</v>
      </c>
      <c r="Q36" s="8" t="s">
        <v>531</v>
      </c>
    </row>
    <row r="37" spans="1:20" ht="2.7" customHeight="1">
      <c r="G37" s="7"/>
      <c r="H37" s="7"/>
      <c r="I37" s="7"/>
      <c r="J37" s="296"/>
      <c r="K37" s="296"/>
      <c r="L37" s="296"/>
      <c r="M37" s="296"/>
      <c r="N37" s="296"/>
      <c r="O37" s="296"/>
      <c r="P37" s="296"/>
      <c r="Q37" s="296"/>
      <c r="R37" s="296"/>
      <c r="S37" s="296"/>
      <c r="T37" s="296"/>
    </row>
    <row r="38" spans="1:20">
      <c r="G38" s="6">
        <f xml:space="preserve"> MAX(G$4:G37) + 1</f>
        <v>30</v>
      </c>
      <c r="H38" s="7"/>
      <c r="I38" s="2" t="str">
        <f xml:space="preserve"> ROMAN(G38, 0)</f>
        <v>XXX</v>
      </c>
      <c r="J38" s="296"/>
    </row>
    <row r="39" spans="1:20" ht="2.7" customHeight="1">
      <c r="G39" s="7"/>
      <c r="H39" s="7"/>
      <c r="I39" s="7"/>
      <c r="J39" s="296"/>
    </row>
    <row r="40" spans="1:20">
      <c r="G40" s="6">
        <f xml:space="preserve"> MAX(G$4:G39) + 1</f>
        <v>31</v>
      </c>
      <c r="H40" s="7"/>
      <c r="I40" s="2" t="str">
        <f t="shared" ref="I40:I54" si="7" xml:space="preserve"> ROMAN(G40, 0)</f>
        <v>XXXI</v>
      </c>
      <c r="J40" s="296"/>
      <c r="K40" s="5"/>
    </row>
    <row r="41" spans="1:20">
      <c r="G41" s="6">
        <f xml:space="preserve"> MAX(G$4:G40) + 1</f>
        <v>32</v>
      </c>
      <c r="H41" s="7"/>
      <c r="I41" s="2" t="str">
        <f t="shared" si="7"/>
        <v>XXXII</v>
      </c>
      <c r="J41" s="296"/>
      <c r="K41" s="53"/>
    </row>
    <row r="42" spans="1:20">
      <c r="G42" s="6">
        <f xml:space="preserve"> MAX(G$4:G41) + 1</f>
        <v>33</v>
      </c>
      <c r="H42" s="7"/>
      <c r="I42" s="2" t="str">
        <f t="shared" si="7"/>
        <v>XXXIII</v>
      </c>
      <c r="J42" s="296"/>
    </row>
    <row r="43" spans="1:20">
      <c r="G43" s="6">
        <f xml:space="preserve"> MAX(G$4:G42) + 1</f>
        <v>34</v>
      </c>
      <c r="H43" s="7"/>
      <c r="I43" s="2" t="str">
        <f t="shared" si="7"/>
        <v>XXXIV</v>
      </c>
      <c r="J43" s="296"/>
    </row>
    <row r="44" spans="1:20">
      <c r="G44" s="6">
        <f xml:space="preserve"> MAX(G$4:G43) + 1</f>
        <v>35</v>
      </c>
      <c r="H44" s="7"/>
      <c r="I44" s="2" t="str">
        <f t="shared" si="7"/>
        <v>XXXV</v>
      </c>
      <c r="J44" s="296"/>
    </row>
    <row r="45" spans="1:20">
      <c r="G45" s="6">
        <f xml:space="preserve"> MAX(G$4:G44) + 1</f>
        <v>36</v>
      </c>
      <c r="H45" s="7"/>
      <c r="I45" s="2" t="str">
        <f t="shared" si="7"/>
        <v>XXXVI</v>
      </c>
    </row>
    <row r="46" spans="1:20">
      <c r="G46" s="6">
        <f xml:space="preserve"> MAX(G$4:G45) + 1</f>
        <v>37</v>
      </c>
      <c r="H46" s="7"/>
      <c r="I46" s="2" t="str">
        <f t="shared" si="7"/>
        <v>XXXVII</v>
      </c>
    </row>
    <row r="47" spans="1:20">
      <c r="G47" s="6">
        <f xml:space="preserve"> MAX(G$4:G46) + 1</f>
        <v>38</v>
      </c>
      <c r="H47" s="7"/>
      <c r="I47" s="2" t="str">
        <f t="shared" si="7"/>
        <v>XXXVIII</v>
      </c>
    </row>
    <row r="48" spans="1:20">
      <c r="G48" s="6">
        <f xml:space="preserve"> MAX(G$4:G47) + 1</f>
        <v>39</v>
      </c>
      <c r="H48" s="7"/>
      <c r="I48" s="2" t="str">
        <f t="shared" si="7"/>
        <v>XXXIX</v>
      </c>
    </row>
    <row r="49" spans="5:18">
      <c r="G49" s="6">
        <f xml:space="preserve"> MAX(G$4:G48) + 1</f>
        <v>40</v>
      </c>
      <c r="H49" s="7"/>
      <c r="I49" s="2" t="str">
        <f t="shared" si="7"/>
        <v>XL</v>
      </c>
    </row>
    <row r="50" spans="5:18">
      <c r="G50" s="6">
        <f xml:space="preserve"> MAX(G$4:G49) + 1</f>
        <v>41</v>
      </c>
      <c r="H50" s="7"/>
      <c r="I50" s="2" t="str">
        <f t="shared" si="7"/>
        <v>XLI</v>
      </c>
    </row>
    <row r="51" spans="5:18">
      <c r="G51" s="6">
        <f xml:space="preserve"> MAX(G$4:G50) + 1</f>
        <v>42</v>
      </c>
      <c r="H51" s="7"/>
      <c r="I51" s="2" t="str">
        <f t="shared" si="7"/>
        <v>XLII</v>
      </c>
    </row>
    <row r="52" spans="5:18">
      <c r="G52" s="6">
        <f xml:space="preserve"> MAX(G$4:G51) + 1</f>
        <v>43</v>
      </c>
      <c r="H52" s="7"/>
      <c r="I52" s="2" t="str">
        <f t="shared" si="7"/>
        <v>XLIII</v>
      </c>
    </row>
    <row r="53" spans="5:18">
      <c r="G53" s="6">
        <f xml:space="preserve"> MAX(G$4:G52) + 1</f>
        <v>44</v>
      </c>
      <c r="H53" s="7"/>
      <c r="I53" s="2" t="str">
        <f t="shared" si="7"/>
        <v>XLIV</v>
      </c>
    </row>
    <row r="54" spans="5:18">
      <c r="G54" s="6">
        <f xml:space="preserve"> MAX(G$4:G53) + 1</f>
        <v>45</v>
      </c>
      <c r="H54" s="7"/>
      <c r="I54" s="2" t="str">
        <f t="shared" si="7"/>
        <v>XLV</v>
      </c>
    </row>
    <row r="56" spans="5:18">
      <c r="E56" s="509" t="s">
        <v>498</v>
      </c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</row>
    <row r="57" spans="5:18">
      <c r="E57" s="3" t="s">
        <v>499</v>
      </c>
      <c r="G57" s="6">
        <f xml:space="preserve"> MAX(G$4:G56) + 1</f>
        <v>46</v>
      </c>
      <c r="I57" s="2" t="str">
        <f t="shared" ref="I57" si="8" xml:space="preserve"> ROMAN(G57, 0)</f>
        <v>XLVI</v>
      </c>
      <c r="K57" s="3" t="s">
        <v>500</v>
      </c>
      <c r="O57" s="510" t="s">
        <v>501</v>
      </c>
      <c r="Q57" s="3" t="s">
        <v>502</v>
      </c>
    </row>
    <row r="58" spans="5:18">
      <c r="O58" s="3" t="s">
        <v>502</v>
      </c>
      <c r="Q58" s="511" t="s">
        <v>503</v>
      </c>
    </row>
    <row r="59" spans="5:18">
      <c r="E59" s="3" t="s">
        <v>504</v>
      </c>
      <c r="G59" s="6">
        <f xml:space="preserve"> MAX(G$4:G58) + 1</f>
        <v>47</v>
      </c>
      <c r="I59" s="2" t="str">
        <f t="shared" ref="I59:I62" si="9" xml:space="preserve"> ROMAN(G59, 0)</f>
        <v>XLVII</v>
      </c>
      <c r="K59" s="3" t="s">
        <v>505</v>
      </c>
      <c r="O59" s="3" t="s">
        <v>506</v>
      </c>
      <c r="Q59" s="511" t="s">
        <v>503</v>
      </c>
    </row>
    <row r="60" spans="5:18">
      <c r="E60" s="3" t="s">
        <v>507</v>
      </c>
      <c r="G60" s="6">
        <f xml:space="preserve"> MAX(G$4:G59) + 1</f>
        <v>48</v>
      </c>
      <c r="I60" s="2" t="str">
        <f t="shared" si="9"/>
        <v>XLVIII</v>
      </c>
      <c r="K60" s="62" t="s">
        <v>478</v>
      </c>
      <c r="M60" s="3">
        <v>131</v>
      </c>
      <c r="O60" s="3" t="s">
        <v>508</v>
      </c>
      <c r="Q60" s="511" t="s">
        <v>480</v>
      </c>
    </row>
    <row r="61" spans="5:18">
      <c r="E61" s="3" t="s">
        <v>509</v>
      </c>
      <c r="G61" s="6">
        <f xml:space="preserve"> MAX(G$4:G60) + 1</f>
        <v>49</v>
      </c>
      <c r="I61" s="2" t="str">
        <f t="shared" si="9"/>
        <v>XLIX</v>
      </c>
      <c r="K61" s="62" t="s">
        <v>478</v>
      </c>
      <c r="M61" s="3">
        <v>131</v>
      </c>
      <c r="O61" s="3" t="s">
        <v>510</v>
      </c>
      <c r="Q61" s="511" t="s">
        <v>480</v>
      </c>
    </row>
    <row r="62" spans="5:18">
      <c r="E62" s="3" t="s">
        <v>511</v>
      </c>
      <c r="G62" s="6">
        <f xml:space="preserve"> MAX(G$4:G61) + 1</f>
        <v>50</v>
      </c>
      <c r="I62" s="2" t="str">
        <f t="shared" si="9"/>
        <v>L</v>
      </c>
      <c r="K62" s="62" t="s">
        <v>487</v>
      </c>
      <c r="M62" s="3">
        <v>220</v>
      </c>
      <c r="O62" s="3" t="s">
        <v>512</v>
      </c>
      <c r="Q62" s="13" t="s">
        <v>513</v>
      </c>
    </row>
    <row r="63" spans="5:18">
      <c r="E63" s="3" t="s">
        <v>514</v>
      </c>
      <c r="G63" s="6">
        <f xml:space="preserve"> MAX(G$4:G62) + 1</f>
        <v>51</v>
      </c>
      <c r="I63" s="2" t="str">
        <f t="shared" ref="I63" si="10" xml:space="preserve"> ROMAN(G63, 0)</f>
        <v>LI</v>
      </c>
      <c r="K63" s="62" t="s">
        <v>478</v>
      </c>
      <c r="M63" s="3">
        <v>130</v>
      </c>
      <c r="O63" s="3" t="s">
        <v>515</v>
      </c>
      <c r="Q63" s="511" t="s">
        <v>480</v>
      </c>
    </row>
    <row r="64" spans="5:18">
      <c r="E64" s="3" t="s">
        <v>516</v>
      </c>
      <c r="G64" s="6">
        <f xml:space="preserve"> MAX(G$4:G63) + 1</f>
        <v>52</v>
      </c>
      <c r="I64" s="2" t="str">
        <f t="shared" ref="I64" si="11" xml:space="preserve"> ROMAN(G64, 0)</f>
        <v>LII</v>
      </c>
      <c r="K64" s="62" t="s">
        <v>517</v>
      </c>
    </row>
    <row r="65" spans="5:15" ht="43.2">
      <c r="E65" s="3" t="s">
        <v>538</v>
      </c>
      <c r="G65" s="6">
        <f xml:space="preserve"> MAX(G$4:G64) + 1</f>
        <v>53</v>
      </c>
      <c r="I65" s="2" t="str">
        <f t="shared" ref="I65" si="12" xml:space="preserve"> ROMAN(G65, 0)</f>
        <v>LIII</v>
      </c>
      <c r="K65" s="62" t="str">
        <f>"See FN: " &amp; I6</f>
        <v>See FN: II</v>
      </c>
      <c r="O65" s="512" t="s">
        <v>539</v>
      </c>
    </row>
  </sheetData>
  <hyperlinks>
    <hyperlink ref="Q26" r:id="rId1"/>
    <hyperlink ref="Q58" r:id="rId2"/>
    <hyperlink ref="Q59" r:id="rId3"/>
    <hyperlink ref="Q60" r:id="rId4"/>
    <hyperlink ref="Q61" r:id="rId5"/>
    <hyperlink ref="Q62" r:id="rId6"/>
    <hyperlink ref="Q63" r:id="rId7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7F"/>
  </sheetPr>
  <dimension ref="A1:BG164"/>
  <sheetViews>
    <sheetView zoomScaleNormal="100" workbookViewId="0">
      <pane xSplit="11" ySplit="4" topLeftCell="L5" activePane="bottomRight" state="frozen"/>
      <selection activeCell="L1" sqref="L1:L1048576"/>
      <selection pane="topRight" activeCell="L1" sqref="L1:L1048576"/>
      <selection pane="bottomLeft" activeCell="L1" sqref="L1:L1048576"/>
      <selection pane="bottomRight" activeCell="L1" sqref="L1:L1048576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18" customWidth="1"/>
    <col min="6" max="6" width="12.69921875" style="18" customWidth="1"/>
    <col min="7" max="8" width="20.69921875" style="18" customWidth="1"/>
    <col min="9" max="9" width="25.09765625" style="20" customWidth="1"/>
    <col min="10" max="10" width="12.69921875" style="18" customWidth="1" collapsed="1"/>
    <col min="11" max="11" width="1.59765625" style="46" customWidth="1"/>
    <col min="12" max="48" width="10.69921875" style="18" customWidth="1"/>
    <col min="49" max="57" width="11.69921875" style="18" hidden="1" customWidth="1"/>
    <col min="58" max="59" width="0" style="18" hidden="1" customWidth="1"/>
    <col min="60" max="16384" width="14.59765625" style="18" hidden="1"/>
  </cols>
  <sheetData>
    <row r="1" spans="1:48" ht="26.25" customHeight="1">
      <c r="A1" s="101" t="str">
        <f ca="1" xml:space="preserve"> RIGHT(CELL("filename", $A$3), LEN(CELL("filename", $A$3)) - SEARCH("]", CELL("filename", $A$3)))</f>
        <v>Inp_2019TR</v>
      </c>
      <c r="F1" s="19"/>
      <c r="K1" s="33"/>
    </row>
    <row r="2" spans="1:48" ht="15" customHeight="1">
      <c r="F2" s="482">
        <f xml:space="preserve"> Track!$F$85</f>
        <v>0</v>
      </c>
      <c r="G2" s="22" t="s">
        <v>1</v>
      </c>
      <c r="H2" s="22"/>
      <c r="K2" s="33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23" t="s">
        <v>2</v>
      </c>
      <c r="H3" s="23"/>
      <c r="K3" s="33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25" t="s">
        <v>5</v>
      </c>
      <c r="G4" s="16" t="s">
        <v>6</v>
      </c>
      <c r="H4" s="16"/>
      <c r="I4" s="26" t="s">
        <v>8</v>
      </c>
      <c r="J4" s="27"/>
      <c r="K4" s="33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25"/>
      <c r="G5" s="16"/>
      <c r="H5" s="16"/>
      <c r="I5" s="26"/>
      <c r="J5" s="27"/>
      <c r="K5" s="33"/>
    </row>
    <row r="6" spans="1:48" s="31" customFormat="1" ht="15" customHeight="1" collapsed="1">
      <c r="A6" s="34" t="s">
        <v>377</v>
      </c>
      <c r="B6" s="28"/>
      <c r="C6" s="29"/>
      <c r="D6" s="30"/>
      <c r="E6" s="28"/>
      <c r="F6" s="28"/>
      <c r="G6" s="28"/>
      <c r="H6" s="28"/>
      <c r="I6" s="28"/>
      <c r="J6" s="28"/>
      <c r="K6" s="33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 ht="15" customHeight="1">
      <c r="D7" s="38"/>
      <c r="I7" s="18"/>
      <c r="K7" s="33"/>
    </row>
    <row r="8" spans="1:48" ht="15" customHeight="1">
      <c r="B8" s="16" t="s">
        <v>378</v>
      </c>
      <c r="D8" s="38"/>
      <c r="I8" s="18"/>
      <c r="K8" s="33"/>
    </row>
    <row r="9" spans="1:48" ht="15" customHeight="1">
      <c r="C9" s="17" t="s">
        <v>379</v>
      </c>
      <c r="D9" s="38"/>
      <c r="I9" s="18"/>
      <c r="K9" s="33"/>
      <c r="M9" s="3"/>
    </row>
    <row r="10" spans="1:48" ht="15" customHeight="1">
      <c r="D10" s="38"/>
      <c r="E10" s="18" t="s">
        <v>252</v>
      </c>
      <c r="G10" s="18" t="s">
        <v>237</v>
      </c>
      <c r="I10" s="70" t="str">
        <f xml:space="preserve"> Sources!I$27</f>
        <v>XXII</v>
      </c>
      <c r="J10" s="18">
        <f xml:space="preserve"> SUM(L10:AV10)</f>
        <v>3.3239999999999998</v>
      </c>
      <c r="K10" s="33"/>
      <c r="L10" s="85"/>
      <c r="M10" s="85"/>
      <c r="N10" s="199"/>
      <c r="O10" s="199"/>
      <c r="P10" s="199"/>
      <c r="Q10" s="199"/>
      <c r="R10" s="199"/>
      <c r="S10" s="199"/>
      <c r="T10" s="199"/>
      <c r="U10" s="199">
        <v>4.0000000000000001E-3</v>
      </c>
      <c r="V10" s="199"/>
      <c r="W10" s="199"/>
      <c r="X10" s="199">
        <v>3.32</v>
      </c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199"/>
      <c r="AS10" s="199"/>
      <c r="AT10" s="199"/>
      <c r="AU10" s="199"/>
      <c r="AV10" s="85"/>
    </row>
    <row r="11" spans="1:48" ht="15" customHeight="1">
      <c r="D11" s="38"/>
      <c r="E11" s="89" t="s">
        <v>380</v>
      </c>
      <c r="G11" s="18" t="s">
        <v>26</v>
      </c>
      <c r="I11" s="70" t="str">
        <f xml:space="preserve"> Sources!I$27</f>
        <v>XXII</v>
      </c>
      <c r="K11" s="33"/>
      <c r="L11" s="84">
        <v>0</v>
      </c>
      <c r="M11" s="84">
        <v>0</v>
      </c>
      <c r="N11" s="84">
        <v>0</v>
      </c>
      <c r="O11" s="84">
        <v>0</v>
      </c>
      <c r="P11" s="84">
        <v>0</v>
      </c>
      <c r="Q11" s="84">
        <v>0</v>
      </c>
      <c r="R11" s="84">
        <v>0</v>
      </c>
      <c r="S11" s="84">
        <v>0</v>
      </c>
      <c r="T11" s="84">
        <v>0</v>
      </c>
      <c r="U11" s="84">
        <v>3.4200000000000001E-2</v>
      </c>
      <c r="V11" s="84">
        <v>0</v>
      </c>
      <c r="W11" s="84">
        <v>0</v>
      </c>
      <c r="X11" s="84">
        <v>1.55E-2</v>
      </c>
      <c r="Y11" s="84">
        <v>0</v>
      </c>
      <c r="Z11" s="84">
        <v>0</v>
      </c>
      <c r="AA11" s="84">
        <v>0</v>
      </c>
      <c r="AB11" s="84">
        <v>0</v>
      </c>
      <c r="AC11" s="84">
        <v>0</v>
      </c>
      <c r="AD11" s="84">
        <v>0</v>
      </c>
      <c r="AE11" s="84">
        <v>0</v>
      </c>
      <c r="AF11" s="84">
        <v>0</v>
      </c>
      <c r="AG11" s="84">
        <v>0</v>
      </c>
      <c r="AH11" s="84">
        <v>0</v>
      </c>
      <c r="AI11" s="84">
        <v>0</v>
      </c>
      <c r="AJ11" s="84">
        <v>0</v>
      </c>
      <c r="AK11" s="84">
        <v>0</v>
      </c>
      <c r="AL11" s="84">
        <v>0</v>
      </c>
      <c r="AM11" s="84">
        <v>0</v>
      </c>
      <c r="AN11" s="84">
        <v>0</v>
      </c>
      <c r="AO11" s="84">
        <v>0</v>
      </c>
      <c r="AP11" s="84">
        <v>0</v>
      </c>
      <c r="AQ11" s="84">
        <v>0</v>
      </c>
      <c r="AR11" s="84">
        <v>0</v>
      </c>
      <c r="AS11" s="84">
        <v>0</v>
      </c>
      <c r="AT11" s="84">
        <v>0</v>
      </c>
      <c r="AU11" s="84">
        <v>0</v>
      </c>
      <c r="AV11" s="84">
        <v>0</v>
      </c>
    </row>
    <row r="12" spans="1:48" ht="15" customHeight="1">
      <c r="D12" s="38"/>
      <c r="E12" s="89" t="s">
        <v>381</v>
      </c>
      <c r="G12" s="18" t="s">
        <v>26</v>
      </c>
      <c r="I12" s="70" t="str">
        <f xml:space="preserve"> Sources!I$27</f>
        <v>XXII</v>
      </c>
      <c r="K12" s="33"/>
      <c r="L12" s="84">
        <v>0</v>
      </c>
      <c r="M12" s="84">
        <v>0</v>
      </c>
      <c r="N12" s="84">
        <v>0</v>
      </c>
      <c r="O12" s="84">
        <v>0</v>
      </c>
      <c r="P12" s="84">
        <v>0</v>
      </c>
      <c r="Q12" s="84">
        <v>0</v>
      </c>
      <c r="R12" s="84">
        <v>0</v>
      </c>
      <c r="S12" s="84">
        <v>0</v>
      </c>
      <c r="T12" s="84">
        <v>0</v>
      </c>
      <c r="U12" s="84">
        <v>4.1999999999999997E-3</v>
      </c>
      <c r="V12" s="84">
        <v>0</v>
      </c>
      <c r="W12" s="84">
        <v>0</v>
      </c>
      <c r="X12" s="84">
        <v>3.3E-3</v>
      </c>
      <c r="Y12" s="84">
        <v>0</v>
      </c>
      <c r="Z12" s="84">
        <v>0</v>
      </c>
      <c r="AA12" s="84">
        <v>0</v>
      </c>
      <c r="AB12" s="84">
        <v>0</v>
      </c>
      <c r="AC12" s="84">
        <v>0</v>
      </c>
      <c r="AD12" s="84">
        <v>0</v>
      </c>
      <c r="AE12" s="84">
        <v>0</v>
      </c>
      <c r="AF12" s="84">
        <v>0</v>
      </c>
      <c r="AG12" s="84">
        <v>0</v>
      </c>
      <c r="AH12" s="84">
        <v>0</v>
      </c>
      <c r="AI12" s="84">
        <v>0</v>
      </c>
      <c r="AJ12" s="84">
        <v>0</v>
      </c>
      <c r="AK12" s="84">
        <v>0</v>
      </c>
      <c r="AL12" s="84">
        <v>0</v>
      </c>
      <c r="AM12" s="84">
        <v>0</v>
      </c>
      <c r="AN12" s="84">
        <v>0</v>
      </c>
      <c r="AO12" s="84">
        <v>0</v>
      </c>
      <c r="AP12" s="84">
        <v>0</v>
      </c>
      <c r="AQ12" s="84">
        <v>0</v>
      </c>
      <c r="AR12" s="84">
        <v>0</v>
      </c>
      <c r="AS12" s="84">
        <v>0</v>
      </c>
      <c r="AT12" s="84">
        <v>0</v>
      </c>
      <c r="AU12" s="84">
        <v>0</v>
      </c>
      <c r="AV12" s="84">
        <v>0</v>
      </c>
    </row>
    <row r="13" spans="1:48" ht="15" customHeight="1">
      <c r="C13" s="17" t="s">
        <v>382</v>
      </c>
      <c r="D13" s="38"/>
      <c r="I13" s="18"/>
      <c r="K13" s="33"/>
    </row>
    <row r="14" spans="1:48" ht="15" customHeight="1">
      <c r="D14" s="38"/>
      <c r="E14" s="18" t="s">
        <v>252</v>
      </c>
      <c r="G14" s="18" t="s">
        <v>237</v>
      </c>
      <c r="I14" s="70" t="str">
        <f xml:space="preserve"> Sources!I$27</f>
        <v>XXII</v>
      </c>
      <c r="J14" s="18">
        <f xml:space="preserve"> SUM(L14:AV14)</f>
        <v>11.94</v>
      </c>
      <c r="K14" s="33"/>
      <c r="L14" s="85"/>
      <c r="M14" s="85"/>
      <c r="N14" s="85">
        <v>0.55000000000000004</v>
      </c>
      <c r="O14" s="85">
        <v>1.1000000000000001</v>
      </c>
      <c r="P14" s="85">
        <v>1.31</v>
      </c>
      <c r="Q14" s="85">
        <v>1.61</v>
      </c>
      <c r="R14" s="85">
        <v>1.84</v>
      </c>
      <c r="S14" s="85">
        <v>1.74</v>
      </c>
      <c r="T14" s="85">
        <v>1.94</v>
      </c>
      <c r="U14" s="85">
        <v>1.48</v>
      </c>
      <c r="V14" s="85"/>
      <c r="W14" s="85"/>
      <c r="X14" s="85">
        <v>0.37</v>
      </c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</row>
    <row r="15" spans="1:48" ht="15" customHeight="1">
      <c r="D15" s="38"/>
      <c r="E15" s="89" t="s">
        <v>380</v>
      </c>
      <c r="G15" s="18" t="s">
        <v>26</v>
      </c>
      <c r="I15" s="70" t="str">
        <f xml:space="preserve"> Sources!I$27</f>
        <v>XXII</v>
      </c>
      <c r="K15" s="33"/>
      <c r="L15" s="84">
        <v>0</v>
      </c>
      <c r="M15" s="84">
        <v>0</v>
      </c>
      <c r="N15" s="84">
        <v>3.9199999999999999E-2</v>
      </c>
      <c r="O15" s="84">
        <v>3.85E-2</v>
      </c>
      <c r="P15" s="84">
        <v>3.8199999999999998E-2</v>
      </c>
      <c r="Q15" s="84">
        <v>3.7100000000000001E-2</v>
      </c>
      <c r="R15" s="84">
        <v>3.6000000000000004E-2</v>
      </c>
      <c r="S15" s="84">
        <v>3.3500000000000002E-2</v>
      </c>
      <c r="T15" s="84">
        <v>3.4200000000000001E-2</v>
      </c>
      <c r="U15" s="84">
        <v>3.2199999999999999E-2</v>
      </c>
      <c r="V15" s="84"/>
      <c r="W15" s="84"/>
      <c r="X15" s="84">
        <v>3.3500000000000002E-2</v>
      </c>
      <c r="Y15" s="84">
        <v>0</v>
      </c>
      <c r="Z15" s="84">
        <v>0</v>
      </c>
      <c r="AA15" s="84">
        <v>0</v>
      </c>
      <c r="AB15" s="84">
        <v>0</v>
      </c>
      <c r="AC15" s="84">
        <v>0</v>
      </c>
      <c r="AD15" s="84">
        <v>0</v>
      </c>
      <c r="AE15" s="84">
        <v>0</v>
      </c>
      <c r="AF15" s="84">
        <v>0</v>
      </c>
      <c r="AG15" s="84">
        <v>0</v>
      </c>
      <c r="AH15" s="84">
        <v>0</v>
      </c>
      <c r="AI15" s="84">
        <v>0</v>
      </c>
      <c r="AJ15" s="84">
        <v>0</v>
      </c>
      <c r="AK15" s="84">
        <v>0</v>
      </c>
      <c r="AL15" s="84">
        <v>0</v>
      </c>
      <c r="AM15" s="84">
        <v>0</v>
      </c>
      <c r="AN15" s="84">
        <v>0</v>
      </c>
      <c r="AO15" s="84">
        <v>0</v>
      </c>
      <c r="AP15" s="84">
        <v>0</v>
      </c>
      <c r="AQ15" s="84">
        <v>0</v>
      </c>
      <c r="AR15" s="84">
        <v>0</v>
      </c>
      <c r="AS15" s="84">
        <v>0</v>
      </c>
      <c r="AT15" s="84">
        <v>0</v>
      </c>
      <c r="AU15" s="84">
        <v>0</v>
      </c>
      <c r="AV15" s="84">
        <v>0</v>
      </c>
    </row>
    <row r="16" spans="1:48" ht="15" customHeight="1">
      <c r="D16" s="38"/>
      <c r="E16" s="89" t="s">
        <v>381</v>
      </c>
      <c r="G16" s="18" t="s">
        <v>26</v>
      </c>
      <c r="I16" s="70" t="str">
        <f xml:space="preserve"> Sources!I$27</f>
        <v>XXII</v>
      </c>
      <c r="K16" s="33"/>
      <c r="L16" s="84">
        <v>0</v>
      </c>
      <c r="M16" s="84">
        <v>0</v>
      </c>
      <c r="N16" s="84">
        <v>4.3E-3</v>
      </c>
      <c r="O16" s="84">
        <v>4.8999999999999998E-3</v>
      </c>
      <c r="P16" s="84">
        <v>5.6000000000000008E-3</v>
      </c>
      <c r="Q16" s="84">
        <v>5.3E-3</v>
      </c>
      <c r="R16" s="84">
        <v>5.6999999999999993E-3</v>
      </c>
      <c r="S16" s="84">
        <v>5.0000000000000001E-3</v>
      </c>
      <c r="T16" s="84">
        <v>4.5999999999999999E-3</v>
      </c>
      <c r="U16" s="84">
        <v>3.5999999999999999E-3</v>
      </c>
      <c r="V16" s="84"/>
      <c r="W16" s="84"/>
      <c r="X16" s="84">
        <v>6.0000000000000001E-3</v>
      </c>
      <c r="Y16" s="84">
        <v>0</v>
      </c>
      <c r="Z16" s="84">
        <v>0</v>
      </c>
      <c r="AA16" s="84">
        <v>0</v>
      </c>
      <c r="AB16" s="84">
        <v>0</v>
      </c>
      <c r="AC16" s="84">
        <v>0</v>
      </c>
      <c r="AD16" s="84">
        <v>0</v>
      </c>
      <c r="AE16" s="84">
        <v>0</v>
      </c>
      <c r="AF16" s="84">
        <v>0</v>
      </c>
      <c r="AG16" s="84">
        <v>0</v>
      </c>
      <c r="AH16" s="84">
        <v>0</v>
      </c>
      <c r="AI16" s="84">
        <v>0</v>
      </c>
      <c r="AJ16" s="84">
        <v>0</v>
      </c>
      <c r="AK16" s="84">
        <v>0</v>
      </c>
      <c r="AL16" s="84">
        <v>0</v>
      </c>
      <c r="AM16" s="84">
        <v>0</v>
      </c>
      <c r="AN16" s="84">
        <v>0</v>
      </c>
      <c r="AO16" s="84">
        <v>0</v>
      </c>
      <c r="AP16" s="84">
        <v>0</v>
      </c>
      <c r="AQ16" s="84">
        <v>0</v>
      </c>
      <c r="AR16" s="84">
        <v>0</v>
      </c>
      <c r="AS16" s="84">
        <v>0</v>
      </c>
      <c r="AT16" s="84">
        <v>0</v>
      </c>
      <c r="AU16" s="84">
        <v>0</v>
      </c>
      <c r="AV16" s="84">
        <v>0</v>
      </c>
    </row>
    <row r="17" spans="1:48" ht="15" customHeight="1">
      <c r="C17" s="90" t="s">
        <v>383</v>
      </c>
      <c r="D17" s="38"/>
      <c r="I17" s="18"/>
      <c r="K17" s="33"/>
    </row>
    <row r="18" spans="1:48" ht="15" customHeight="1">
      <c r="D18" s="38"/>
      <c r="E18" s="18" t="s">
        <v>252</v>
      </c>
      <c r="G18" s="18" t="s">
        <v>237</v>
      </c>
      <c r="I18" s="70" t="str">
        <f xml:space="preserve"> Sources!I$27</f>
        <v>XXII</v>
      </c>
      <c r="J18" s="18">
        <f xml:space="preserve"> SUM(L18:AV18)</f>
        <v>28.18</v>
      </c>
      <c r="K18" s="33"/>
      <c r="L18" s="85"/>
      <c r="M18" s="85"/>
      <c r="N18" s="85"/>
      <c r="O18" s="85"/>
      <c r="P18" s="85">
        <v>0.72</v>
      </c>
      <c r="Q18" s="85">
        <v>2.52</v>
      </c>
      <c r="R18" s="85">
        <v>3.71</v>
      </c>
      <c r="S18" s="85">
        <v>4.3899999999999997</v>
      </c>
      <c r="T18" s="85">
        <v>5.38</v>
      </c>
      <c r="U18" s="85">
        <v>4.55</v>
      </c>
      <c r="V18" s="85"/>
      <c r="W18" s="85">
        <v>0.43</v>
      </c>
      <c r="X18" s="85">
        <v>6.48</v>
      </c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</row>
    <row r="19" spans="1:48" ht="15" customHeight="1">
      <c r="D19" s="38"/>
      <c r="E19" s="89" t="s">
        <v>380</v>
      </c>
      <c r="G19" s="18" t="s">
        <v>26</v>
      </c>
      <c r="I19" s="70" t="str">
        <f xml:space="preserve"> Sources!I$27</f>
        <v>XXII</v>
      </c>
      <c r="K19" s="33"/>
      <c r="L19" s="84">
        <v>0</v>
      </c>
      <c r="M19" s="84">
        <v>0</v>
      </c>
      <c r="N19" s="84">
        <v>0</v>
      </c>
      <c r="O19" s="84">
        <v>0</v>
      </c>
      <c r="P19" s="84">
        <v>4.4299999999999999E-2</v>
      </c>
      <c r="Q19" s="84">
        <v>4.9800000000000004E-2</v>
      </c>
      <c r="R19" s="84">
        <v>4.3799999999999999E-2</v>
      </c>
      <c r="S19" s="84">
        <v>4.3499999999999997E-2</v>
      </c>
      <c r="T19" s="84">
        <v>4.0999999999999995E-2</v>
      </c>
      <c r="U19" s="84">
        <v>3.9300000000000002E-2</v>
      </c>
      <c r="V19" s="84">
        <v>0</v>
      </c>
      <c r="W19" s="84">
        <v>2.18E-2</v>
      </c>
      <c r="X19" s="84">
        <v>2.3799999999999998E-2</v>
      </c>
      <c r="Y19" s="84">
        <v>0</v>
      </c>
      <c r="Z19" s="84">
        <v>0</v>
      </c>
      <c r="AA19" s="84">
        <v>0</v>
      </c>
      <c r="AB19" s="84">
        <v>0</v>
      </c>
      <c r="AC19" s="84">
        <v>0</v>
      </c>
      <c r="AD19" s="84">
        <v>0</v>
      </c>
      <c r="AE19" s="84">
        <v>0</v>
      </c>
      <c r="AF19" s="84">
        <v>0</v>
      </c>
      <c r="AG19" s="84">
        <v>0</v>
      </c>
      <c r="AH19" s="84">
        <v>0</v>
      </c>
      <c r="AI19" s="84">
        <v>0</v>
      </c>
      <c r="AJ19" s="84">
        <v>0</v>
      </c>
      <c r="AK19" s="84">
        <v>0</v>
      </c>
      <c r="AL19" s="84">
        <v>0</v>
      </c>
      <c r="AM19" s="84">
        <v>0</v>
      </c>
      <c r="AN19" s="84">
        <v>0</v>
      </c>
      <c r="AO19" s="84">
        <v>0</v>
      </c>
      <c r="AP19" s="84">
        <v>0</v>
      </c>
      <c r="AQ19" s="84">
        <v>0</v>
      </c>
      <c r="AR19" s="84">
        <v>0</v>
      </c>
      <c r="AS19" s="84">
        <v>0</v>
      </c>
      <c r="AT19" s="84">
        <v>0</v>
      </c>
      <c r="AU19" s="84">
        <v>0</v>
      </c>
      <c r="AV19" s="84">
        <v>0</v>
      </c>
    </row>
    <row r="20" spans="1:48" ht="15" customHeight="1">
      <c r="D20" s="38"/>
      <c r="E20" s="89" t="s">
        <v>381</v>
      </c>
      <c r="G20" s="18" t="s">
        <v>26</v>
      </c>
      <c r="I20" s="70" t="str">
        <f xml:space="preserve"> Sources!I$27</f>
        <v>XXII</v>
      </c>
      <c r="K20" s="33"/>
      <c r="L20" s="84">
        <v>0</v>
      </c>
      <c r="M20" s="84">
        <v>0</v>
      </c>
      <c r="N20" s="84">
        <v>0</v>
      </c>
      <c r="O20" s="84">
        <v>0</v>
      </c>
      <c r="P20" s="84">
        <v>3.0000000000000001E-3</v>
      </c>
      <c r="Q20" s="84">
        <v>3.7000000000000002E-3</v>
      </c>
      <c r="R20" s="84">
        <v>3.8E-3</v>
      </c>
      <c r="S20" s="84">
        <v>3.7000000000000002E-3</v>
      </c>
      <c r="T20" s="84">
        <v>4.0999999999999995E-3</v>
      </c>
      <c r="U20" s="84">
        <v>4.6999999999999993E-3</v>
      </c>
      <c r="V20" s="84">
        <v>0</v>
      </c>
      <c r="W20" s="84">
        <v>4.7999999999999996E-3</v>
      </c>
      <c r="X20" s="84">
        <v>4.7999999999999996E-3</v>
      </c>
      <c r="Y20" s="84">
        <v>0</v>
      </c>
      <c r="Z20" s="84">
        <v>0</v>
      </c>
      <c r="AA20" s="84">
        <v>0</v>
      </c>
      <c r="AB20" s="84">
        <v>0</v>
      </c>
      <c r="AC20" s="84">
        <v>0</v>
      </c>
      <c r="AD20" s="84">
        <v>0</v>
      </c>
      <c r="AE20" s="84">
        <v>0</v>
      </c>
      <c r="AF20" s="84">
        <v>0</v>
      </c>
      <c r="AG20" s="84">
        <v>0</v>
      </c>
      <c r="AH20" s="84">
        <v>0</v>
      </c>
      <c r="AI20" s="84">
        <v>0</v>
      </c>
      <c r="AJ20" s="84">
        <v>0</v>
      </c>
      <c r="AK20" s="84">
        <v>0</v>
      </c>
      <c r="AL20" s="84">
        <v>0</v>
      </c>
      <c r="AM20" s="84">
        <v>0</v>
      </c>
      <c r="AN20" s="84">
        <v>0</v>
      </c>
      <c r="AO20" s="84">
        <v>0</v>
      </c>
      <c r="AP20" s="84">
        <v>0</v>
      </c>
      <c r="AQ20" s="84">
        <v>0</v>
      </c>
      <c r="AR20" s="84">
        <v>0</v>
      </c>
      <c r="AS20" s="84">
        <v>0</v>
      </c>
      <c r="AT20" s="84">
        <v>0</v>
      </c>
      <c r="AU20" s="84">
        <v>0</v>
      </c>
      <c r="AV20" s="84">
        <v>0</v>
      </c>
    </row>
    <row r="21" spans="1:48" s="45" customFormat="1" ht="15" customHeight="1">
      <c r="A21" s="42"/>
      <c r="B21" s="42"/>
      <c r="C21" s="90" t="s">
        <v>384</v>
      </c>
      <c r="D21" s="44"/>
      <c r="E21" s="91"/>
      <c r="I21" s="20"/>
      <c r="K21" s="33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</row>
    <row r="22" spans="1:48" s="199" customFormat="1" ht="15" customHeight="1">
      <c r="A22" s="16"/>
      <c r="B22" s="16"/>
      <c r="C22" s="17"/>
      <c r="D22" s="38"/>
      <c r="E22" s="18" t="s">
        <v>252</v>
      </c>
      <c r="F22" s="18"/>
      <c r="G22" s="18" t="s">
        <v>237</v>
      </c>
      <c r="H22" s="18"/>
      <c r="I22" s="70" t="str">
        <f xml:space="preserve"> Sources!I$27</f>
        <v>XXII</v>
      </c>
      <c r="J22" s="18">
        <f xml:space="preserve"> SUM(L22:AV22)</f>
        <v>4.5200000000000005</v>
      </c>
      <c r="K22" s="33"/>
      <c r="N22" s="199">
        <v>0.4</v>
      </c>
      <c r="O22" s="199">
        <v>1.6</v>
      </c>
      <c r="P22" s="199">
        <v>1.9</v>
      </c>
      <c r="Q22" s="199">
        <v>0.4</v>
      </c>
      <c r="S22" s="199">
        <v>0.11</v>
      </c>
      <c r="T22" s="199">
        <v>0.11</v>
      </c>
    </row>
    <row r="23" spans="1:48" ht="15" customHeight="1">
      <c r="D23" s="38"/>
      <c r="E23" s="89" t="s">
        <v>380</v>
      </c>
      <c r="G23" s="18" t="s">
        <v>26</v>
      </c>
      <c r="I23" s="70" t="str">
        <f xml:space="preserve"> Sources!I$27</f>
        <v>XXII</v>
      </c>
      <c r="K23" s="33"/>
      <c r="L23" s="84">
        <v>0</v>
      </c>
      <c r="M23" s="84">
        <v>0</v>
      </c>
      <c r="N23" s="84">
        <v>1.72E-2</v>
      </c>
      <c r="O23" s="84">
        <v>1.3000000000000001E-2</v>
      </c>
      <c r="P23" s="84">
        <v>2.35E-2</v>
      </c>
      <c r="Q23" s="84">
        <v>3.32E-2</v>
      </c>
      <c r="R23" s="84">
        <v>0</v>
      </c>
      <c r="S23" s="84">
        <v>3.4799999999999998E-2</v>
      </c>
      <c r="T23" s="84">
        <v>3.3000000000000002E-2</v>
      </c>
      <c r="U23" s="84">
        <v>0</v>
      </c>
      <c r="V23" s="84">
        <v>0</v>
      </c>
      <c r="W23" s="84">
        <v>0</v>
      </c>
      <c r="X23" s="84">
        <v>0</v>
      </c>
      <c r="Y23" s="84">
        <v>0</v>
      </c>
      <c r="Z23" s="84">
        <v>0</v>
      </c>
      <c r="AA23" s="84">
        <v>0</v>
      </c>
      <c r="AB23" s="84">
        <v>0</v>
      </c>
      <c r="AC23" s="84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0</v>
      </c>
      <c r="AJ23" s="84">
        <v>0</v>
      </c>
      <c r="AK23" s="84">
        <v>0</v>
      </c>
      <c r="AL23" s="84">
        <v>0</v>
      </c>
      <c r="AM23" s="84">
        <v>0</v>
      </c>
      <c r="AN23" s="84">
        <v>0</v>
      </c>
      <c r="AO23" s="84">
        <v>0</v>
      </c>
      <c r="AP23" s="84">
        <v>0</v>
      </c>
      <c r="AQ23" s="84">
        <v>0</v>
      </c>
      <c r="AR23" s="84">
        <v>0</v>
      </c>
      <c r="AS23" s="84">
        <v>0</v>
      </c>
      <c r="AT23" s="84">
        <v>0</v>
      </c>
      <c r="AU23" s="84">
        <v>0</v>
      </c>
      <c r="AV23" s="84">
        <v>0</v>
      </c>
    </row>
    <row r="24" spans="1:48" ht="15" customHeight="1">
      <c r="D24" s="38"/>
      <c r="E24" s="89" t="s">
        <v>381</v>
      </c>
      <c r="G24" s="18" t="s">
        <v>26</v>
      </c>
      <c r="I24" s="70" t="str">
        <f xml:space="preserve"> Sources!I$27</f>
        <v>XXII</v>
      </c>
      <c r="K24" s="33"/>
      <c r="L24" s="84">
        <v>0</v>
      </c>
      <c r="M24" s="84">
        <v>0</v>
      </c>
      <c r="N24" s="84">
        <v>8.8999999999999999E-3</v>
      </c>
      <c r="O24" s="84">
        <v>8.5000000000000006E-3</v>
      </c>
      <c r="P24" s="84">
        <v>9.300000000000001E-3</v>
      </c>
      <c r="Q24" s="84">
        <v>1.01E-2</v>
      </c>
      <c r="R24" s="84">
        <v>0</v>
      </c>
      <c r="S24" s="84">
        <v>7.1999999999999998E-3</v>
      </c>
      <c r="T24" s="84">
        <v>8.8000000000000005E-3</v>
      </c>
      <c r="U24" s="84">
        <v>0</v>
      </c>
      <c r="V24" s="84">
        <v>0</v>
      </c>
      <c r="W24" s="84">
        <v>0</v>
      </c>
      <c r="X24" s="84">
        <v>0</v>
      </c>
      <c r="Y24" s="84">
        <v>0</v>
      </c>
      <c r="Z24" s="84">
        <v>0</v>
      </c>
      <c r="AA24" s="84">
        <v>0</v>
      </c>
      <c r="AB24" s="84">
        <v>0</v>
      </c>
      <c r="AC24" s="84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0</v>
      </c>
      <c r="AJ24" s="84">
        <v>0</v>
      </c>
      <c r="AK24" s="84">
        <v>0</v>
      </c>
      <c r="AL24" s="84">
        <v>0</v>
      </c>
      <c r="AM24" s="84">
        <v>0</v>
      </c>
      <c r="AN24" s="84">
        <v>0</v>
      </c>
      <c r="AO24" s="84">
        <v>0</v>
      </c>
      <c r="AP24" s="84">
        <v>0</v>
      </c>
      <c r="AQ24" s="84">
        <v>0</v>
      </c>
      <c r="AR24" s="84">
        <v>0</v>
      </c>
      <c r="AS24" s="84">
        <v>0</v>
      </c>
      <c r="AT24" s="84">
        <v>0</v>
      </c>
      <c r="AU24" s="84">
        <v>0</v>
      </c>
      <c r="AV24" s="84">
        <v>0</v>
      </c>
    </row>
    <row r="25" spans="1:48" s="45" customFormat="1" ht="15" customHeight="1">
      <c r="A25" s="42"/>
      <c r="B25" s="42"/>
      <c r="C25" s="90" t="s">
        <v>385</v>
      </c>
      <c r="D25" s="44"/>
      <c r="E25" s="91"/>
      <c r="I25" s="20"/>
      <c r="K25" s="33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</row>
    <row r="26" spans="1:48" s="93" customFormat="1" ht="15" customHeight="1">
      <c r="A26" s="92"/>
      <c r="B26" s="92"/>
      <c r="C26" s="197"/>
      <c r="D26" s="183"/>
      <c r="E26" s="93" t="s">
        <v>252</v>
      </c>
      <c r="G26" s="93" t="s">
        <v>237</v>
      </c>
      <c r="I26" s="108" t="str">
        <f xml:space="preserve"> Sources!I$27</f>
        <v>XXII</v>
      </c>
      <c r="J26" s="93">
        <f xml:space="preserve"> SUM(L26:AV26)</f>
        <v>0.6</v>
      </c>
      <c r="K26" s="198"/>
      <c r="L26" s="199"/>
      <c r="M26" s="199"/>
      <c r="N26" s="199">
        <v>0.6</v>
      </c>
      <c r="O26" s="199">
        <v>0</v>
      </c>
      <c r="P26" s="199">
        <v>0</v>
      </c>
      <c r="Q26" s="199">
        <v>0</v>
      </c>
      <c r="R26" s="199">
        <v>0</v>
      </c>
      <c r="S26" s="199">
        <v>0</v>
      </c>
      <c r="T26" s="199">
        <v>0</v>
      </c>
      <c r="U26" s="199">
        <v>0</v>
      </c>
      <c r="V26" s="199">
        <v>0</v>
      </c>
      <c r="W26" s="199">
        <v>0</v>
      </c>
      <c r="X26" s="199">
        <v>0</v>
      </c>
      <c r="Y26" s="199">
        <v>0</v>
      </c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</row>
    <row r="27" spans="1:48" ht="15" customHeight="1">
      <c r="D27" s="38"/>
      <c r="E27" s="89" t="s">
        <v>380</v>
      </c>
      <c r="G27" s="18" t="s">
        <v>26</v>
      </c>
      <c r="I27" s="70" t="str">
        <f xml:space="preserve"> Sources!I$27</f>
        <v>XXII</v>
      </c>
      <c r="K27" s="33"/>
      <c r="L27" s="84">
        <v>0</v>
      </c>
      <c r="M27" s="84">
        <v>0</v>
      </c>
      <c r="N27" s="84">
        <v>1.3899999999999999E-2</v>
      </c>
      <c r="O27" s="84">
        <v>0</v>
      </c>
      <c r="P27" s="84">
        <v>0</v>
      </c>
      <c r="Q27" s="84">
        <v>0</v>
      </c>
      <c r="R27" s="84">
        <v>0</v>
      </c>
      <c r="S27" s="84">
        <v>0</v>
      </c>
      <c r="T27" s="84">
        <v>0</v>
      </c>
      <c r="U27" s="84">
        <v>0</v>
      </c>
      <c r="V27" s="84">
        <v>0</v>
      </c>
      <c r="W27" s="84">
        <v>0</v>
      </c>
      <c r="X27" s="84">
        <v>0</v>
      </c>
      <c r="Y27" s="84">
        <v>0</v>
      </c>
      <c r="Z27" s="84">
        <v>0</v>
      </c>
      <c r="AA27" s="84">
        <v>0</v>
      </c>
      <c r="AB27" s="84">
        <v>0</v>
      </c>
      <c r="AC27" s="84">
        <v>0</v>
      </c>
      <c r="AD27" s="84">
        <v>0</v>
      </c>
      <c r="AE27" s="84">
        <v>0</v>
      </c>
      <c r="AF27" s="84">
        <v>0</v>
      </c>
      <c r="AG27" s="84">
        <v>0</v>
      </c>
      <c r="AH27" s="84">
        <v>0</v>
      </c>
      <c r="AI27" s="84">
        <v>0</v>
      </c>
      <c r="AJ27" s="84">
        <v>0</v>
      </c>
      <c r="AK27" s="84">
        <v>0</v>
      </c>
      <c r="AL27" s="84">
        <v>0</v>
      </c>
      <c r="AM27" s="84">
        <v>0</v>
      </c>
      <c r="AN27" s="84">
        <v>0</v>
      </c>
      <c r="AO27" s="84">
        <v>0</v>
      </c>
      <c r="AP27" s="84">
        <v>0</v>
      </c>
      <c r="AQ27" s="84">
        <v>0</v>
      </c>
      <c r="AR27" s="84">
        <v>0</v>
      </c>
      <c r="AS27" s="84">
        <v>0</v>
      </c>
      <c r="AT27" s="84">
        <v>0</v>
      </c>
      <c r="AU27" s="84">
        <v>0</v>
      </c>
      <c r="AV27" s="84">
        <v>0</v>
      </c>
    </row>
    <row r="28" spans="1:48" ht="15" customHeight="1">
      <c r="D28" s="38"/>
      <c r="E28" s="89" t="s">
        <v>381</v>
      </c>
      <c r="G28" s="18" t="s">
        <v>26</v>
      </c>
      <c r="I28" s="70" t="str">
        <f xml:space="preserve"> Sources!I$27</f>
        <v>XXII</v>
      </c>
      <c r="K28" s="33"/>
      <c r="L28" s="84">
        <v>0</v>
      </c>
      <c r="M28" s="84">
        <v>0</v>
      </c>
      <c r="N28" s="84">
        <v>1.1699999999999999E-2</v>
      </c>
      <c r="O28" s="84">
        <v>0</v>
      </c>
      <c r="P28" s="84">
        <v>0</v>
      </c>
      <c r="Q28" s="84">
        <v>0</v>
      </c>
      <c r="R28" s="84">
        <v>0</v>
      </c>
      <c r="S28" s="84">
        <v>0</v>
      </c>
      <c r="T28" s="84">
        <v>0</v>
      </c>
      <c r="U28" s="84">
        <v>0</v>
      </c>
      <c r="V28" s="84">
        <v>0</v>
      </c>
      <c r="W28" s="84">
        <v>0</v>
      </c>
      <c r="X28" s="84">
        <v>0</v>
      </c>
      <c r="Y28" s="84">
        <v>0</v>
      </c>
      <c r="Z28" s="84">
        <v>0</v>
      </c>
      <c r="AA28" s="84">
        <v>0</v>
      </c>
      <c r="AB28" s="84">
        <v>0</v>
      </c>
      <c r="AC28" s="84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0</v>
      </c>
      <c r="AJ28" s="84">
        <v>0</v>
      </c>
      <c r="AK28" s="84">
        <v>0</v>
      </c>
      <c r="AL28" s="84">
        <v>0</v>
      </c>
      <c r="AM28" s="84">
        <v>0</v>
      </c>
      <c r="AN28" s="84">
        <v>0</v>
      </c>
      <c r="AO28" s="84">
        <v>0</v>
      </c>
      <c r="AP28" s="84">
        <v>0</v>
      </c>
      <c r="AQ28" s="84">
        <v>0</v>
      </c>
      <c r="AR28" s="84">
        <v>0</v>
      </c>
      <c r="AS28" s="84">
        <v>0</v>
      </c>
      <c r="AT28" s="84">
        <v>0</v>
      </c>
      <c r="AU28" s="84">
        <v>0</v>
      </c>
      <c r="AV28" s="84">
        <v>0</v>
      </c>
    </row>
    <row r="29" spans="1:48" ht="15" customHeight="1">
      <c r="C29" s="90" t="s">
        <v>386</v>
      </c>
      <c r="D29" s="38"/>
      <c r="I29" s="18"/>
      <c r="K29" s="33"/>
    </row>
    <row r="30" spans="1:48" s="432" customFormat="1" ht="15" customHeight="1">
      <c r="A30" s="16"/>
      <c r="B30" s="16"/>
      <c r="C30" s="17"/>
      <c r="D30" s="38"/>
      <c r="E30" s="89" t="s">
        <v>387</v>
      </c>
      <c r="F30" s="18"/>
      <c r="G30" s="18" t="s">
        <v>237</v>
      </c>
      <c r="H30" s="18"/>
      <c r="I30" s="70" t="str">
        <f xml:space="preserve"> Sources!I$27</f>
        <v>XXII</v>
      </c>
      <c r="J30" s="18">
        <f xml:space="preserve"> SUM(L30:AV30)</f>
        <v>41.449999999999996</v>
      </c>
      <c r="K30" s="33"/>
      <c r="N30" s="432">
        <v>1</v>
      </c>
      <c r="O30" s="432">
        <v>1.99</v>
      </c>
      <c r="P30" s="432">
        <v>2.93</v>
      </c>
      <c r="Q30" s="432">
        <v>4.0999999999999996</v>
      </c>
      <c r="R30" s="432">
        <v>4.6100000000000003</v>
      </c>
      <c r="S30" s="432">
        <v>5.6</v>
      </c>
      <c r="T30" s="432">
        <v>6.31</v>
      </c>
      <c r="U30" s="432">
        <v>5.46</v>
      </c>
      <c r="V30" s="432">
        <v>0</v>
      </c>
      <c r="W30" s="432">
        <v>1.92</v>
      </c>
      <c r="X30" s="432">
        <v>7.53</v>
      </c>
    </row>
    <row r="31" spans="1:48" s="432" customFormat="1" ht="15" customHeight="1">
      <c r="A31" s="16"/>
      <c r="B31" s="16"/>
      <c r="C31" s="17"/>
      <c r="D31" s="38"/>
      <c r="E31" s="89" t="s">
        <v>388</v>
      </c>
      <c r="F31" s="18"/>
      <c r="G31" s="18" t="s">
        <v>231</v>
      </c>
      <c r="H31" s="18"/>
      <c r="I31" s="70" t="str">
        <f xml:space="preserve"> Sources!I$27</f>
        <v>XXII</v>
      </c>
      <c r="J31" s="18">
        <f xml:space="preserve"> SUM(L31:AV31)</f>
        <v>4351.4100000000008</v>
      </c>
      <c r="K31" s="33"/>
      <c r="N31" s="432">
        <v>100</v>
      </c>
      <c r="O31" s="432">
        <v>190</v>
      </c>
      <c r="P31" s="432">
        <v>300</v>
      </c>
      <c r="Q31" s="432">
        <v>480</v>
      </c>
      <c r="R31" s="432">
        <v>500</v>
      </c>
      <c r="S31" s="432">
        <v>710</v>
      </c>
      <c r="T31" s="432">
        <v>910</v>
      </c>
      <c r="U31" s="432">
        <v>860</v>
      </c>
      <c r="V31" s="432">
        <v>0</v>
      </c>
      <c r="W31" s="432">
        <v>95.81</v>
      </c>
      <c r="X31" s="432">
        <v>205.6</v>
      </c>
    </row>
    <row r="32" spans="1:48" ht="15" customHeight="1">
      <c r="C32" s="17" t="s">
        <v>389</v>
      </c>
      <c r="D32" s="38"/>
      <c r="E32" s="89"/>
      <c r="I32" s="70"/>
      <c r="K32" s="33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</row>
    <row r="33" spans="2:54" ht="15" customHeight="1">
      <c r="D33" s="38"/>
      <c r="E33" s="89" t="s">
        <v>390</v>
      </c>
      <c r="G33" s="18" t="s">
        <v>231</v>
      </c>
      <c r="I33" s="70" t="str">
        <f xml:space="preserve"> Sources!I$27</f>
        <v>XXII</v>
      </c>
      <c r="J33" s="18">
        <f t="shared" ref="J33:J36" si="0" xml:space="preserve"> SUM(L33:AV33)</f>
        <v>4722.0600000000004</v>
      </c>
      <c r="K33" s="33"/>
      <c r="L33" s="432"/>
      <c r="M33" s="432"/>
      <c r="N33" s="432">
        <v>970</v>
      </c>
      <c r="O33" s="432">
        <v>180</v>
      </c>
      <c r="P33" s="432">
        <v>260</v>
      </c>
      <c r="Q33" s="432">
        <v>300</v>
      </c>
      <c r="R33" s="432">
        <v>360</v>
      </c>
      <c r="S33" s="432">
        <v>490</v>
      </c>
      <c r="T33" s="432">
        <v>1110</v>
      </c>
      <c r="U33" s="432">
        <v>840</v>
      </c>
      <c r="V33" s="432">
        <v>0</v>
      </c>
      <c r="W33" s="432">
        <v>13.76</v>
      </c>
      <c r="X33" s="432">
        <v>198.3</v>
      </c>
      <c r="Y33" s="432"/>
      <c r="Z33" s="432"/>
      <c r="AA33" s="432"/>
      <c r="AB33" s="432"/>
      <c r="AC33" s="432"/>
      <c r="AD33" s="432"/>
      <c r="AE33" s="432"/>
      <c r="AF33" s="432"/>
      <c r="AG33" s="432"/>
      <c r="AH33" s="432"/>
      <c r="AI33" s="432"/>
      <c r="AJ33" s="432"/>
      <c r="AK33" s="432"/>
      <c r="AL33" s="432"/>
      <c r="AM33" s="432"/>
      <c r="AN33" s="432"/>
      <c r="AO33" s="432"/>
      <c r="AP33" s="432"/>
      <c r="AQ33" s="432"/>
      <c r="AR33" s="432"/>
      <c r="AS33" s="432"/>
      <c r="AT33" s="432"/>
      <c r="AU33" s="432"/>
      <c r="AV33" s="432"/>
    </row>
    <row r="34" spans="2:54" ht="15" customHeight="1">
      <c r="D34" s="38"/>
      <c r="E34" s="89" t="s">
        <v>391</v>
      </c>
      <c r="G34" s="18" t="s">
        <v>231</v>
      </c>
      <c r="I34" s="70" t="str">
        <f xml:space="preserve"> Sources!I$27</f>
        <v>XXII</v>
      </c>
      <c r="J34" s="18">
        <f t="shared" si="0"/>
        <v>593.16999999999996</v>
      </c>
      <c r="K34" s="33"/>
      <c r="L34" s="432"/>
      <c r="M34" s="432"/>
      <c r="N34" s="432">
        <v>0</v>
      </c>
      <c r="O34" s="432">
        <v>0</v>
      </c>
      <c r="P34" s="432">
        <v>0</v>
      </c>
      <c r="Q34" s="432">
        <v>0</v>
      </c>
      <c r="R34" s="432">
        <v>0</v>
      </c>
      <c r="S34" s="432">
        <v>0</v>
      </c>
      <c r="T34" s="432">
        <v>0</v>
      </c>
      <c r="U34" s="432">
        <v>0</v>
      </c>
      <c r="V34" s="432">
        <v>126.47</v>
      </c>
      <c r="W34" s="432">
        <v>466.7</v>
      </c>
      <c r="X34" s="432"/>
      <c r="Y34" s="432"/>
      <c r="Z34" s="432"/>
      <c r="AA34" s="432"/>
      <c r="AB34" s="432"/>
      <c r="AC34" s="432"/>
      <c r="AD34" s="432"/>
      <c r="AE34" s="432"/>
      <c r="AF34" s="432"/>
      <c r="AG34" s="432"/>
      <c r="AH34" s="432"/>
      <c r="AI34" s="432"/>
      <c r="AJ34" s="432"/>
      <c r="AK34" s="432"/>
      <c r="AL34" s="432"/>
      <c r="AM34" s="432"/>
      <c r="AN34" s="432"/>
      <c r="AO34" s="432"/>
      <c r="AP34" s="432"/>
      <c r="AQ34" s="432"/>
      <c r="AR34" s="432"/>
      <c r="AS34" s="432"/>
      <c r="AT34" s="432"/>
      <c r="AU34" s="432"/>
      <c r="AV34" s="432"/>
    </row>
    <row r="35" spans="2:54" ht="15" customHeight="1">
      <c r="D35" s="38"/>
      <c r="E35" s="89" t="s">
        <v>392</v>
      </c>
      <c r="G35" s="18" t="s">
        <v>21</v>
      </c>
      <c r="I35" s="70" t="str">
        <f xml:space="preserve"> Sources!I$27</f>
        <v>XXII</v>
      </c>
      <c r="J35" s="18">
        <f t="shared" si="0"/>
        <v>741.21</v>
      </c>
      <c r="K35" s="33"/>
      <c r="L35" s="432"/>
      <c r="M35" s="432"/>
      <c r="N35" s="432">
        <v>22.12</v>
      </c>
      <c r="O35" s="432">
        <v>41.96</v>
      </c>
      <c r="P35" s="432">
        <v>52.18</v>
      </c>
      <c r="Q35" s="432">
        <v>57.61</v>
      </c>
      <c r="R35" s="432">
        <v>61.44</v>
      </c>
      <c r="S35" s="432">
        <v>87.48</v>
      </c>
      <c r="T35" s="432">
        <v>157.02000000000001</v>
      </c>
      <c r="U35" s="432">
        <v>106.8</v>
      </c>
      <c r="V35" s="432">
        <v>0</v>
      </c>
      <c r="W35" s="432">
        <v>2.2000000000000002</v>
      </c>
      <c r="X35" s="432">
        <v>152.4</v>
      </c>
      <c r="Y35" s="432"/>
      <c r="Z35" s="432"/>
      <c r="AA35" s="432"/>
      <c r="AB35" s="432"/>
      <c r="AC35" s="432"/>
      <c r="AD35" s="432"/>
      <c r="AE35" s="432"/>
      <c r="AF35" s="432"/>
      <c r="AG35" s="432"/>
      <c r="AH35" s="432"/>
      <c r="AI35" s="432"/>
      <c r="AJ35" s="432"/>
      <c r="AK35" s="432"/>
      <c r="AL35" s="432"/>
      <c r="AM35" s="432"/>
      <c r="AN35" s="432"/>
      <c r="AO35" s="432"/>
      <c r="AP35" s="432"/>
      <c r="AQ35" s="432"/>
      <c r="AR35" s="432"/>
      <c r="AS35" s="432"/>
      <c r="AT35" s="432"/>
      <c r="AU35" s="432"/>
      <c r="AV35" s="432"/>
    </row>
    <row r="36" spans="2:54" ht="15" customHeight="1">
      <c r="D36" s="38"/>
      <c r="E36" s="89" t="s">
        <v>393</v>
      </c>
      <c r="G36" s="18" t="s">
        <v>394</v>
      </c>
      <c r="I36" s="70" t="str">
        <f xml:space="preserve"> Sources!I$27</f>
        <v>XXII</v>
      </c>
      <c r="J36" s="18">
        <f t="shared" si="0"/>
        <v>30.37</v>
      </c>
      <c r="K36" s="33"/>
      <c r="L36" s="432"/>
      <c r="M36" s="432"/>
      <c r="N36" s="432">
        <v>0.75</v>
      </c>
      <c r="O36" s="432">
        <v>2.5299999999999998</v>
      </c>
      <c r="P36" s="432">
        <v>3.44</v>
      </c>
      <c r="Q36" s="432">
        <v>2.4300000000000002</v>
      </c>
      <c r="R36" s="432">
        <v>2.13</v>
      </c>
      <c r="S36" s="432">
        <v>2.2999999999999998</v>
      </c>
      <c r="T36" s="432">
        <v>2.78</v>
      </c>
      <c r="U36" s="432">
        <v>2.9</v>
      </c>
      <c r="V36" s="432">
        <v>0</v>
      </c>
      <c r="W36" s="432">
        <v>0</v>
      </c>
      <c r="X36" s="432">
        <v>11.11</v>
      </c>
      <c r="Y36" s="432"/>
      <c r="Z36" s="432"/>
      <c r="AA36" s="432"/>
      <c r="AB36" s="432"/>
      <c r="AC36" s="432"/>
      <c r="AD36" s="432"/>
      <c r="AE36" s="432"/>
      <c r="AF36" s="432"/>
      <c r="AG36" s="432"/>
      <c r="AH36" s="432"/>
      <c r="AI36" s="432"/>
      <c r="AJ36" s="432"/>
      <c r="AK36" s="432"/>
      <c r="AL36" s="432"/>
      <c r="AM36" s="432"/>
      <c r="AN36" s="432"/>
      <c r="AO36" s="432"/>
      <c r="AP36" s="432"/>
      <c r="AQ36" s="432"/>
      <c r="AR36" s="432"/>
      <c r="AS36" s="432"/>
      <c r="AT36" s="432"/>
      <c r="AU36" s="432"/>
      <c r="AV36" s="432"/>
    </row>
    <row r="37" spans="2:54" ht="15" customHeight="1">
      <c r="D37" s="38"/>
      <c r="I37" s="18"/>
      <c r="K37" s="33"/>
      <c r="N37" s="78">
        <f xml:space="preserve"> N35 / N33</f>
        <v>2.2804123711340208E-2</v>
      </c>
      <c r="O37" s="78">
        <f t="shared" ref="O37:U37" si="1" xml:space="preserve"> O35 / O33</f>
        <v>0.2331111111111111</v>
      </c>
      <c r="P37" s="78">
        <f t="shared" si="1"/>
        <v>0.2006923076923077</v>
      </c>
      <c r="Q37" s="78">
        <f t="shared" si="1"/>
        <v>0.19203333333333333</v>
      </c>
      <c r="R37" s="78">
        <f t="shared" si="1"/>
        <v>0.17066666666666666</v>
      </c>
      <c r="S37" s="78">
        <f t="shared" si="1"/>
        <v>0.17853061224489797</v>
      </c>
      <c r="T37" s="78">
        <f t="shared" si="1"/>
        <v>0.14145945945945948</v>
      </c>
      <c r="U37" s="78">
        <f t="shared" si="1"/>
        <v>0.12714285714285714</v>
      </c>
      <c r="V37" s="78"/>
      <c r="W37" s="78"/>
      <c r="X37" s="78"/>
    </row>
    <row r="38" spans="2:54" ht="15" customHeight="1">
      <c r="B38" s="16" t="s">
        <v>395</v>
      </c>
      <c r="D38" s="38"/>
      <c r="I38" s="18"/>
      <c r="K38" s="33"/>
    </row>
    <row r="39" spans="2:54" ht="15" customHeight="1">
      <c r="D39" s="38"/>
      <c r="E39" s="89" t="s">
        <v>396</v>
      </c>
      <c r="G39" s="18" t="s">
        <v>237</v>
      </c>
      <c r="I39" s="70" t="str">
        <f xml:space="preserve"> Sources!I$27</f>
        <v>XXII</v>
      </c>
      <c r="J39" s="18">
        <f xml:space="preserve"> SUM(L39:AV39)</f>
        <v>8.6</v>
      </c>
      <c r="K39" s="33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>
        <v>0.1</v>
      </c>
      <c r="Z39" s="432">
        <v>0.1</v>
      </c>
      <c r="AA39" s="432">
        <v>0.3</v>
      </c>
      <c r="AB39" s="432">
        <v>0.6</v>
      </c>
      <c r="AC39" s="432">
        <v>0.5</v>
      </c>
      <c r="AD39" s="432">
        <v>0.3</v>
      </c>
      <c r="AE39" s="432">
        <v>0.5</v>
      </c>
      <c r="AF39" s="432">
        <v>0.4</v>
      </c>
      <c r="AG39" s="432">
        <v>0.4</v>
      </c>
      <c r="AH39" s="432">
        <v>0.6</v>
      </c>
      <c r="AI39" s="432">
        <v>0.8</v>
      </c>
      <c r="AJ39" s="432">
        <v>0.6</v>
      </c>
      <c r="AK39" s="432">
        <v>0.8</v>
      </c>
      <c r="AL39" s="432">
        <v>1.2</v>
      </c>
      <c r="AM39" s="432">
        <v>0.9</v>
      </c>
      <c r="AN39" s="432">
        <v>0.5</v>
      </c>
      <c r="AO39" s="432">
        <v>0</v>
      </c>
      <c r="AP39" s="432"/>
      <c r="AQ39" s="432"/>
      <c r="AR39" s="432"/>
      <c r="AS39" s="432"/>
      <c r="AT39" s="432"/>
      <c r="AU39" s="432"/>
      <c r="AV39" s="432"/>
    </row>
    <row r="40" spans="2:54" ht="15" customHeight="1">
      <c r="D40" s="38"/>
      <c r="E40" s="89" t="s">
        <v>397</v>
      </c>
      <c r="G40" s="18" t="s">
        <v>237</v>
      </c>
      <c r="I40" s="70" t="str">
        <f xml:space="preserve"> Sources!I$27</f>
        <v>XXII</v>
      </c>
      <c r="J40" s="18">
        <f t="shared" ref="J40:J41" si="2" xml:space="preserve"> SUM(L40:AV40)</f>
        <v>124.10000000000001</v>
      </c>
      <c r="K40" s="33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>
        <v>10.1</v>
      </c>
      <c r="Z40" s="432">
        <v>11.4</v>
      </c>
      <c r="AA40" s="432">
        <v>10.199999999999999</v>
      </c>
      <c r="AB40" s="432">
        <v>10.4</v>
      </c>
      <c r="AC40" s="432">
        <v>10.7</v>
      </c>
      <c r="AD40" s="432">
        <v>10.7</v>
      </c>
      <c r="AE40" s="432">
        <v>10.6</v>
      </c>
      <c r="AF40" s="432">
        <v>11</v>
      </c>
      <c r="AG40" s="432">
        <v>11</v>
      </c>
      <c r="AH40" s="432">
        <v>10.4</v>
      </c>
      <c r="AI40" s="432">
        <v>7.8</v>
      </c>
      <c r="AJ40" s="432">
        <v>2.9</v>
      </c>
      <c r="AK40" s="432">
        <v>2.8</v>
      </c>
      <c r="AL40" s="432">
        <v>2.2999999999999998</v>
      </c>
      <c r="AM40" s="432">
        <v>1.4</v>
      </c>
      <c r="AN40" s="432">
        <v>0.4</v>
      </c>
      <c r="AO40" s="432">
        <v>0</v>
      </c>
      <c r="AP40" s="432"/>
      <c r="AQ40" s="432"/>
      <c r="AR40" s="432"/>
      <c r="AS40" s="432"/>
      <c r="AT40" s="432"/>
      <c r="AU40" s="432"/>
      <c r="AV40" s="432"/>
    </row>
    <row r="41" spans="2:54" ht="15" customHeight="1">
      <c r="D41" s="38"/>
      <c r="E41" s="89" t="s">
        <v>398</v>
      </c>
      <c r="G41" s="18" t="s">
        <v>237</v>
      </c>
      <c r="I41" s="70" t="str">
        <f xml:space="preserve"> Sources!I$27</f>
        <v>XXII</v>
      </c>
      <c r="J41" s="18">
        <f t="shared" si="2"/>
        <v>132.50000000000003</v>
      </c>
      <c r="K41" s="33"/>
      <c r="L41" s="432"/>
      <c r="M41" s="432"/>
      <c r="N41" s="432"/>
      <c r="O41" s="432"/>
      <c r="P41" s="432"/>
      <c r="Q41" s="432"/>
      <c r="R41" s="432"/>
      <c r="S41" s="432"/>
      <c r="T41" s="432"/>
      <c r="U41" s="432"/>
      <c r="V41" s="432"/>
      <c r="W41" s="432"/>
      <c r="X41" s="432"/>
      <c r="Y41" s="432">
        <v>10.199999999999999</v>
      </c>
      <c r="Z41" s="432">
        <v>11.5</v>
      </c>
      <c r="AA41" s="432">
        <v>10.5</v>
      </c>
      <c r="AB41" s="432">
        <v>10.9</v>
      </c>
      <c r="AC41" s="432">
        <v>11.1</v>
      </c>
      <c r="AD41" s="432">
        <v>11</v>
      </c>
      <c r="AE41" s="432">
        <v>11.2</v>
      </c>
      <c r="AF41" s="432">
        <v>11.4</v>
      </c>
      <c r="AG41" s="432">
        <v>11.4</v>
      </c>
      <c r="AH41" s="432">
        <v>11</v>
      </c>
      <c r="AI41" s="432">
        <v>8.6</v>
      </c>
      <c r="AJ41" s="432">
        <v>3.5</v>
      </c>
      <c r="AK41" s="432">
        <v>3.5</v>
      </c>
      <c r="AL41" s="432">
        <v>3.5</v>
      </c>
      <c r="AM41" s="432">
        <v>2.4</v>
      </c>
      <c r="AN41" s="432">
        <v>0.8</v>
      </c>
      <c r="AO41" s="432">
        <v>0</v>
      </c>
      <c r="AP41" s="432"/>
      <c r="AQ41" s="432"/>
      <c r="AR41" s="432"/>
      <c r="AS41" s="432"/>
      <c r="AT41" s="432"/>
      <c r="AU41" s="432"/>
      <c r="AV41" s="432"/>
    </row>
    <row r="42" spans="2:54" ht="15" customHeight="1">
      <c r="D42" s="38"/>
      <c r="E42" s="89" t="s">
        <v>399</v>
      </c>
      <c r="G42" s="18" t="s">
        <v>26</v>
      </c>
      <c r="I42" s="70" t="str">
        <f xml:space="preserve"> Sources!I$27</f>
        <v>XXII</v>
      </c>
      <c r="K42" s="33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>
        <v>2.86E-2</v>
      </c>
      <c r="Z42" s="84">
        <v>2.9100000000000001E-2</v>
      </c>
      <c r="AA42" s="84">
        <v>3.4099999999999998E-2</v>
      </c>
      <c r="AB42" s="84">
        <v>3.2799999999999996E-2</v>
      </c>
      <c r="AC42" s="84">
        <v>3.2300000000000002E-2</v>
      </c>
      <c r="AD42" s="84">
        <v>3.27E-2</v>
      </c>
      <c r="AE42" s="84">
        <v>3.2400000000000005E-2</v>
      </c>
      <c r="AF42" s="84">
        <v>3.1600000000000003E-2</v>
      </c>
      <c r="AG42" s="84">
        <v>3.1600000000000003E-2</v>
      </c>
      <c r="AH42" s="84">
        <v>3.2899999999999999E-2</v>
      </c>
      <c r="AI42" s="84">
        <v>2.5499999999999998E-2</v>
      </c>
      <c r="AJ42" s="84">
        <v>3.4599999999999999E-2</v>
      </c>
      <c r="AK42" s="84">
        <v>3.5200000000000002E-2</v>
      </c>
      <c r="AL42" s="84">
        <v>3.6900000000000002E-2</v>
      </c>
      <c r="AM42" s="84">
        <v>3.6000000000000004E-2</v>
      </c>
      <c r="AN42" s="84">
        <v>3.7100000000000001E-2</v>
      </c>
      <c r="AO42" s="84">
        <v>3.5200000000000002E-2</v>
      </c>
      <c r="AP42" s="84"/>
      <c r="AQ42" s="84"/>
      <c r="AR42" s="84"/>
      <c r="AS42" s="84"/>
      <c r="AT42" s="84"/>
      <c r="AU42" s="84"/>
      <c r="AV42" s="84"/>
    </row>
    <row r="43" spans="2:54" ht="15" customHeight="1">
      <c r="D43" s="38"/>
      <c r="E43" s="89" t="s">
        <v>400</v>
      </c>
      <c r="G43" s="18" t="s">
        <v>26</v>
      </c>
      <c r="I43" s="70" t="str">
        <f xml:space="preserve"> Sources!I$27</f>
        <v>XXII</v>
      </c>
      <c r="K43" s="33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>
        <v>4.1999999999999997E-3</v>
      </c>
      <c r="Z43" s="71">
        <v>4.3E-3</v>
      </c>
      <c r="AA43" s="71">
        <v>5.7999999999999996E-3</v>
      </c>
      <c r="AB43" s="71">
        <v>5.6999999999999993E-3</v>
      </c>
      <c r="AC43" s="71">
        <v>5.7999999999999996E-3</v>
      </c>
      <c r="AD43" s="71">
        <v>6.3E-3</v>
      </c>
      <c r="AE43" s="71">
        <v>5.7999999999999996E-3</v>
      </c>
      <c r="AF43" s="71">
        <v>5.1000000000000004E-3</v>
      </c>
      <c r="AG43" s="71">
        <v>4.8999999999999998E-3</v>
      </c>
      <c r="AH43" s="71">
        <v>4.1999999999999997E-3</v>
      </c>
      <c r="AI43" s="71">
        <v>3.4000000000000002E-3</v>
      </c>
      <c r="AJ43" s="71">
        <v>5.6000000000000008E-3</v>
      </c>
      <c r="AK43" s="71">
        <v>6.7000000000000002E-3</v>
      </c>
      <c r="AL43" s="71">
        <v>6.5000000000000006E-3</v>
      </c>
      <c r="AM43" s="71">
        <v>5.1000000000000004E-3</v>
      </c>
      <c r="AN43" s="71">
        <v>4.7999999999999996E-3</v>
      </c>
      <c r="AO43" s="71">
        <v>4.1999999999999997E-3</v>
      </c>
      <c r="AP43" s="86"/>
      <c r="AQ43" s="84"/>
      <c r="AR43" s="84"/>
      <c r="AS43" s="84"/>
      <c r="AT43" s="84"/>
      <c r="AU43" s="84"/>
      <c r="AV43" s="84"/>
    </row>
    <row r="44" spans="2:54" ht="15" customHeight="1">
      <c r="D44" s="38"/>
      <c r="I44" s="18"/>
      <c r="K44" s="33"/>
    </row>
    <row r="45" spans="2:54" ht="15" customHeight="1">
      <c r="B45" s="16" t="s">
        <v>401</v>
      </c>
      <c r="D45" s="38"/>
      <c r="I45" s="18"/>
      <c r="K45" s="33"/>
    </row>
    <row r="46" spans="2:54" ht="15" customHeight="1">
      <c r="D46" s="38"/>
      <c r="E46" s="89" t="s">
        <v>402</v>
      </c>
      <c r="G46" s="18" t="s">
        <v>237</v>
      </c>
      <c r="I46" s="70" t="str">
        <f xml:space="preserve"> Sources!I$27</f>
        <v>XXII</v>
      </c>
      <c r="J46" s="18">
        <f t="shared" ref="J46" si="3" xml:space="preserve"> SUM(L46:AV46)</f>
        <v>26.500000000000004</v>
      </c>
      <c r="K46" s="33"/>
      <c r="L46" s="88"/>
      <c r="M46" s="88"/>
      <c r="N46" s="88"/>
      <c r="O46" s="88"/>
      <c r="P46" s="88"/>
      <c r="Q46" s="88"/>
      <c r="R46" s="432"/>
      <c r="S46" s="432"/>
      <c r="T46" s="432"/>
      <c r="U46" s="432"/>
      <c r="V46" s="432"/>
      <c r="W46" s="432"/>
      <c r="X46" s="432"/>
      <c r="Y46" s="432">
        <v>0.5</v>
      </c>
      <c r="Z46" s="432">
        <v>0.5</v>
      </c>
      <c r="AA46" s="432">
        <v>1.1000000000000001</v>
      </c>
      <c r="AB46" s="432">
        <v>2.1</v>
      </c>
      <c r="AC46" s="432">
        <v>2.1</v>
      </c>
      <c r="AD46" s="432">
        <v>1.9</v>
      </c>
      <c r="AE46" s="432">
        <v>2.2999999999999998</v>
      </c>
      <c r="AF46" s="432">
        <v>2.2000000000000002</v>
      </c>
      <c r="AG46" s="432">
        <v>2</v>
      </c>
      <c r="AH46" s="432">
        <v>2</v>
      </c>
      <c r="AI46" s="432">
        <v>2.1</v>
      </c>
      <c r="AJ46" s="432">
        <v>2</v>
      </c>
      <c r="AK46" s="432">
        <v>2</v>
      </c>
      <c r="AL46" s="432">
        <v>2.1</v>
      </c>
      <c r="AM46" s="432">
        <v>1.3</v>
      </c>
      <c r="AN46" s="432">
        <v>0.3</v>
      </c>
      <c r="AO46" s="432">
        <v>0</v>
      </c>
      <c r="AP46" s="432"/>
      <c r="AQ46" s="432"/>
      <c r="AR46" s="432"/>
      <c r="AS46" s="432"/>
      <c r="AT46" s="432"/>
      <c r="AU46" s="432"/>
      <c r="AV46" s="432"/>
      <c r="AW46" s="432"/>
      <c r="AX46" s="432"/>
      <c r="AY46" s="432"/>
      <c r="AZ46" s="432"/>
      <c r="BA46" s="432"/>
      <c r="BB46" s="432"/>
    </row>
    <row r="47" spans="2:54" ht="15" customHeight="1">
      <c r="D47" s="38"/>
      <c r="E47" s="89" t="s">
        <v>403</v>
      </c>
      <c r="G47" s="18" t="s">
        <v>26</v>
      </c>
      <c r="I47" s="70" t="str">
        <f xml:space="preserve"> Sources!I$27</f>
        <v>XXII</v>
      </c>
      <c r="K47" s="33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>
        <v>3.0299999999999997E-2</v>
      </c>
      <c r="Z47" s="71">
        <v>3.4799999999999998E-2</v>
      </c>
      <c r="AA47" s="71">
        <v>3.0699999999999998E-2</v>
      </c>
      <c r="AB47" s="71">
        <v>3.1899999999999998E-2</v>
      </c>
      <c r="AC47" s="71">
        <v>3.1600000000000003E-2</v>
      </c>
      <c r="AD47" s="71">
        <v>3.5799999999999998E-2</v>
      </c>
      <c r="AE47" s="71">
        <v>3.4700000000000002E-2</v>
      </c>
      <c r="AF47" s="71">
        <v>3.1200000000000002E-2</v>
      </c>
      <c r="AG47" s="71">
        <v>3.2799999999999996E-2</v>
      </c>
      <c r="AH47" s="71">
        <v>3.56E-2</v>
      </c>
      <c r="AI47" s="71">
        <v>3.4500000000000003E-2</v>
      </c>
      <c r="AJ47" s="71">
        <v>3.39E-2</v>
      </c>
      <c r="AK47" s="71">
        <v>3.49E-2</v>
      </c>
      <c r="AL47" s="71">
        <v>3.7100000000000001E-2</v>
      </c>
      <c r="AM47" s="71">
        <v>3.6699999999999997E-2</v>
      </c>
      <c r="AN47" s="71">
        <v>4.2000000000000003E-2</v>
      </c>
      <c r="AO47" s="71">
        <v>3.5200000000000002E-2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</row>
    <row r="48" spans="2:54" ht="15" customHeight="1">
      <c r="D48" s="38"/>
      <c r="E48" s="89" t="s">
        <v>404</v>
      </c>
      <c r="G48" s="18" t="s">
        <v>26</v>
      </c>
      <c r="I48" s="70" t="str">
        <f xml:space="preserve"> Sources!I$27</f>
        <v>XXII</v>
      </c>
      <c r="K48" s="33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>
        <v>3.7000000000000002E-3</v>
      </c>
      <c r="Z48" s="71">
        <v>3.4999999999999996E-3</v>
      </c>
      <c r="AA48" s="71">
        <v>4.0000000000000001E-3</v>
      </c>
      <c r="AB48" s="71">
        <v>4.4000000000000003E-3</v>
      </c>
      <c r="AC48" s="71">
        <v>5.1000000000000004E-3</v>
      </c>
      <c r="AD48" s="71">
        <v>5.5000000000000005E-3</v>
      </c>
      <c r="AE48" s="71">
        <v>4.8999999999999998E-3</v>
      </c>
      <c r="AF48" s="71">
        <v>5.1999999999999998E-3</v>
      </c>
      <c r="AG48" s="71">
        <v>5.5000000000000005E-3</v>
      </c>
      <c r="AH48" s="71">
        <v>5.6000000000000008E-3</v>
      </c>
      <c r="AI48" s="71">
        <v>6.5000000000000006E-3</v>
      </c>
      <c r="AJ48" s="71">
        <v>6.0000000000000001E-3</v>
      </c>
      <c r="AK48" s="71">
        <v>7.0999999999999995E-3</v>
      </c>
      <c r="AL48" s="71">
        <v>6.3E-3</v>
      </c>
      <c r="AM48" s="71">
        <v>4.0999999999999995E-3</v>
      </c>
      <c r="AN48" s="71">
        <v>3.9000000000000003E-3</v>
      </c>
      <c r="AO48" s="71">
        <v>4.1999999999999997E-3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</row>
    <row r="49" spans="2:48" ht="15" customHeight="1">
      <c r="D49" s="38"/>
      <c r="E49" s="89" t="s">
        <v>405</v>
      </c>
      <c r="G49" s="18" t="s">
        <v>406</v>
      </c>
      <c r="I49" s="70" t="str">
        <f xml:space="preserve"> Sources!I$27</f>
        <v>XXII</v>
      </c>
      <c r="K49" s="33"/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>
        <v>4.5</v>
      </c>
      <c r="Z49" s="432">
        <v>5.3</v>
      </c>
      <c r="AA49" s="432">
        <v>7</v>
      </c>
      <c r="AB49" s="432">
        <v>8</v>
      </c>
      <c r="AC49" s="432">
        <v>8</v>
      </c>
      <c r="AD49" s="432">
        <v>8</v>
      </c>
      <c r="AE49" s="432">
        <v>7</v>
      </c>
      <c r="AF49" s="432">
        <v>7</v>
      </c>
      <c r="AG49" s="432">
        <v>3.2</v>
      </c>
      <c r="AH49" s="432">
        <v>1</v>
      </c>
      <c r="AI49" s="432">
        <v>0.8</v>
      </c>
      <c r="AJ49" s="432">
        <v>0.1</v>
      </c>
      <c r="AK49" s="432">
        <v>0</v>
      </c>
      <c r="AL49" s="432">
        <v>0.2</v>
      </c>
      <c r="AM49" s="432">
        <v>0</v>
      </c>
      <c r="AN49" s="432">
        <v>0</v>
      </c>
      <c r="AO49" s="432">
        <v>0</v>
      </c>
      <c r="AP49" s="432"/>
      <c r="AQ49" s="432"/>
      <c r="AR49" s="432"/>
      <c r="AS49" s="432"/>
      <c r="AT49" s="432"/>
      <c r="AU49" s="432"/>
      <c r="AV49" s="432"/>
    </row>
    <row r="50" spans="2:48" ht="15" customHeight="1">
      <c r="D50" s="38"/>
      <c r="E50" s="89" t="s">
        <v>407</v>
      </c>
      <c r="G50" s="18" t="s">
        <v>406</v>
      </c>
      <c r="I50" s="70" t="str">
        <f xml:space="preserve"> Sources!I$27</f>
        <v>XXII</v>
      </c>
      <c r="K50" s="33"/>
      <c r="L50" s="432"/>
      <c r="M50" s="432"/>
      <c r="N50" s="432"/>
      <c r="O50" s="432"/>
      <c r="P50" s="432"/>
      <c r="Q50" s="432"/>
      <c r="R50" s="432"/>
      <c r="S50" s="432"/>
      <c r="T50" s="432"/>
      <c r="U50" s="432"/>
      <c r="V50" s="432"/>
      <c r="W50" s="432"/>
      <c r="X50" s="432"/>
      <c r="Y50" s="432">
        <v>3.6</v>
      </c>
      <c r="Z50" s="432">
        <v>5.9</v>
      </c>
      <c r="AA50" s="432">
        <v>7.3</v>
      </c>
      <c r="AB50" s="432">
        <v>7.4</v>
      </c>
      <c r="AC50" s="432">
        <v>7.6</v>
      </c>
      <c r="AD50" s="432">
        <v>7.2</v>
      </c>
      <c r="AE50" s="432">
        <v>7.6</v>
      </c>
      <c r="AF50" s="432">
        <v>6.4</v>
      </c>
      <c r="AG50" s="432">
        <v>1.2</v>
      </c>
      <c r="AH50" s="432">
        <v>0.2</v>
      </c>
      <c r="AI50" s="432">
        <v>0.4</v>
      </c>
      <c r="AJ50" s="432">
        <v>0</v>
      </c>
      <c r="AK50" s="432">
        <v>0</v>
      </c>
      <c r="AL50" s="432">
        <v>0</v>
      </c>
      <c r="AM50" s="432">
        <v>0</v>
      </c>
      <c r="AN50" s="432">
        <v>0</v>
      </c>
      <c r="AO50" s="432">
        <v>0</v>
      </c>
      <c r="AP50" s="432"/>
      <c r="AQ50" s="432"/>
      <c r="AR50" s="432"/>
      <c r="AS50" s="432"/>
      <c r="AT50" s="432"/>
      <c r="AU50" s="432"/>
      <c r="AV50" s="432"/>
    </row>
    <row r="51" spans="2:48" ht="15" customHeight="1">
      <c r="D51" s="38"/>
      <c r="E51" s="89" t="s">
        <v>408</v>
      </c>
      <c r="G51" s="18" t="s">
        <v>21</v>
      </c>
      <c r="I51" s="70" t="str">
        <f xml:space="preserve"> Sources!I$27</f>
        <v>XXII</v>
      </c>
      <c r="J51" s="18">
        <f t="shared" ref="J51:J52" si="4" xml:space="preserve"> SUM(L51:AV51)</f>
        <v>688.9</v>
      </c>
      <c r="K51" s="33"/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2"/>
      <c r="X51" s="432"/>
      <c r="Y51" s="432">
        <v>11.3</v>
      </c>
      <c r="Z51" s="432">
        <v>13.3</v>
      </c>
      <c r="AA51" s="432">
        <v>25.5</v>
      </c>
      <c r="AB51" s="432">
        <v>50.1</v>
      </c>
      <c r="AC51" s="432">
        <v>50.3</v>
      </c>
      <c r="AD51" s="432">
        <v>53</v>
      </c>
      <c r="AE51" s="432">
        <v>59.9</v>
      </c>
      <c r="AF51" s="432">
        <v>52.3</v>
      </c>
      <c r="AG51" s="432">
        <v>50.1</v>
      </c>
      <c r="AH51" s="432">
        <v>54.4</v>
      </c>
      <c r="AI51" s="432">
        <v>55.5</v>
      </c>
      <c r="AJ51" s="432">
        <v>52.2</v>
      </c>
      <c r="AK51" s="432">
        <v>54.5</v>
      </c>
      <c r="AL51" s="432">
        <v>58.3</v>
      </c>
      <c r="AM51" s="432">
        <v>37.6</v>
      </c>
      <c r="AN51" s="432">
        <v>9.4</v>
      </c>
      <c r="AO51" s="432">
        <v>1.2</v>
      </c>
      <c r="AP51" s="432"/>
      <c r="AQ51" s="432"/>
      <c r="AR51" s="432"/>
      <c r="AS51" s="432"/>
      <c r="AT51" s="432"/>
      <c r="AU51" s="432"/>
      <c r="AV51" s="432"/>
    </row>
    <row r="52" spans="2:48" ht="15" customHeight="1">
      <c r="D52" s="38"/>
      <c r="E52" s="89" t="s">
        <v>409</v>
      </c>
      <c r="G52" s="18" t="s">
        <v>394</v>
      </c>
      <c r="I52" s="70" t="str">
        <f xml:space="preserve"> Sources!I$27</f>
        <v>XXII</v>
      </c>
      <c r="J52" s="18">
        <f t="shared" si="4"/>
        <v>93.3</v>
      </c>
      <c r="K52" s="33"/>
      <c r="L52" s="432"/>
      <c r="M52" s="432"/>
      <c r="N52" s="432"/>
      <c r="O52" s="432"/>
      <c r="P52" s="432"/>
      <c r="Q52" s="432"/>
      <c r="R52" s="432"/>
      <c r="S52" s="432"/>
      <c r="T52" s="432"/>
      <c r="U52" s="432"/>
      <c r="V52" s="432"/>
      <c r="W52" s="432"/>
      <c r="X52" s="432"/>
      <c r="Y52" s="432">
        <v>1.2</v>
      </c>
      <c r="Z52" s="432">
        <v>1.1000000000000001</v>
      </c>
      <c r="AA52" s="432">
        <v>2.8</v>
      </c>
      <c r="AB52" s="432">
        <v>5.9</v>
      </c>
      <c r="AC52" s="432">
        <v>7</v>
      </c>
      <c r="AD52" s="432">
        <v>7</v>
      </c>
      <c r="AE52" s="432">
        <v>7.3</v>
      </c>
      <c r="AF52" s="432">
        <v>7.4</v>
      </c>
      <c r="AG52" s="432">
        <v>7.1</v>
      </c>
      <c r="AH52" s="432">
        <v>7.4</v>
      </c>
      <c r="AI52" s="432">
        <v>9</v>
      </c>
      <c r="AJ52" s="432">
        <v>7.9</v>
      </c>
      <c r="AK52" s="432">
        <v>9.4</v>
      </c>
      <c r="AL52" s="432">
        <v>8.4</v>
      </c>
      <c r="AM52" s="432">
        <v>3.6</v>
      </c>
      <c r="AN52" s="432">
        <v>0.7</v>
      </c>
      <c r="AO52" s="432">
        <v>0.1</v>
      </c>
      <c r="AP52" s="432"/>
      <c r="AQ52" s="432"/>
      <c r="AR52" s="432"/>
      <c r="AS52" s="432"/>
      <c r="AT52" s="432"/>
      <c r="AU52" s="432"/>
      <c r="AV52" s="432"/>
    </row>
    <row r="53" spans="2:48" ht="15" customHeight="1">
      <c r="D53" s="38"/>
      <c r="I53" s="18"/>
      <c r="K53" s="33"/>
    </row>
    <row r="54" spans="2:48" ht="15" customHeight="1">
      <c r="D54" s="38"/>
      <c r="E54" s="18" t="s">
        <v>410</v>
      </c>
      <c r="G54" s="18" t="s">
        <v>26</v>
      </c>
      <c r="I54" s="18"/>
      <c r="K54" s="33"/>
      <c r="L54" s="78">
        <f t="shared" ref="L54:AV54" si="5" xml:space="preserve"> IFERROR(L51 / (L46 * L47 * 10^3), 0)</f>
        <v>0</v>
      </c>
      <c r="M54" s="78">
        <f t="shared" si="5"/>
        <v>0</v>
      </c>
      <c r="N54" s="78">
        <f t="shared" si="5"/>
        <v>0</v>
      </c>
      <c r="O54" s="78">
        <f t="shared" si="5"/>
        <v>0</v>
      </c>
      <c r="P54" s="78">
        <f t="shared" si="5"/>
        <v>0</v>
      </c>
      <c r="Q54" s="78">
        <f t="shared" si="5"/>
        <v>0</v>
      </c>
      <c r="R54" s="78">
        <f t="shared" si="5"/>
        <v>0</v>
      </c>
      <c r="S54" s="78">
        <f t="shared" si="5"/>
        <v>0</v>
      </c>
      <c r="T54" s="78">
        <f t="shared" si="5"/>
        <v>0</v>
      </c>
      <c r="U54" s="78">
        <f t="shared" si="5"/>
        <v>0</v>
      </c>
      <c r="V54" s="78">
        <f t="shared" si="5"/>
        <v>0</v>
      </c>
      <c r="W54" s="78">
        <f t="shared" si="5"/>
        <v>0</v>
      </c>
      <c r="X54" s="78">
        <f t="shared" si="5"/>
        <v>0</v>
      </c>
      <c r="Y54" s="78">
        <f t="shared" si="5"/>
        <v>0.74587458745874602</v>
      </c>
      <c r="Z54" s="78">
        <f t="shared" si="5"/>
        <v>0.76436781609195414</v>
      </c>
      <c r="AA54" s="78">
        <f t="shared" si="5"/>
        <v>0.75510808409831209</v>
      </c>
      <c r="AB54" s="78">
        <f t="shared" si="5"/>
        <v>0.74787281683833418</v>
      </c>
      <c r="AC54" s="78">
        <f t="shared" si="5"/>
        <v>0.75798673899939706</v>
      </c>
      <c r="AD54" s="78">
        <f t="shared" si="5"/>
        <v>0.7791825933548957</v>
      </c>
      <c r="AE54" s="78">
        <f t="shared" si="5"/>
        <v>0.75053251472246596</v>
      </c>
      <c r="AF54" s="78">
        <f t="shared" si="5"/>
        <v>0.76194638694638694</v>
      </c>
      <c r="AG54" s="78">
        <f t="shared" si="5"/>
        <v>0.76371951219512202</v>
      </c>
      <c r="AH54" s="78">
        <f t="shared" si="5"/>
        <v>0.7640449438202247</v>
      </c>
      <c r="AI54" s="78">
        <f t="shared" si="5"/>
        <v>0.76604554865424412</v>
      </c>
      <c r="AJ54" s="78">
        <f t="shared" si="5"/>
        <v>0.76991150442477885</v>
      </c>
      <c r="AK54" s="78">
        <f t="shared" si="5"/>
        <v>0.78080229226361031</v>
      </c>
      <c r="AL54" s="78">
        <f t="shared" si="5"/>
        <v>0.74829931972789099</v>
      </c>
      <c r="AM54" s="78">
        <f t="shared" si="5"/>
        <v>0.78809473904841765</v>
      </c>
      <c r="AN54" s="78">
        <f t="shared" si="5"/>
        <v>0.74603174603174605</v>
      </c>
      <c r="AO54" s="78">
        <f t="shared" si="5"/>
        <v>0</v>
      </c>
      <c r="AP54" s="78">
        <f t="shared" si="5"/>
        <v>0</v>
      </c>
      <c r="AQ54" s="78">
        <f t="shared" si="5"/>
        <v>0</v>
      </c>
      <c r="AR54" s="78">
        <f t="shared" si="5"/>
        <v>0</v>
      </c>
      <c r="AS54" s="78">
        <f t="shared" si="5"/>
        <v>0</v>
      </c>
      <c r="AT54" s="78">
        <f t="shared" si="5"/>
        <v>0</v>
      </c>
      <c r="AU54" s="78">
        <f t="shared" si="5"/>
        <v>0</v>
      </c>
      <c r="AV54" s="78">
        <f t="shared" si="5"/>
        <v>0</v>
      </c>
    </row>
    <row r="55" spans="2:48" ht="15" customHeight="1">
      <c r="D55" s="38"/>
      <c r="E55" s="18" t="s">
        <v>411</v>
      </c>
      <c r="G55" s="18" t="s">
        <v>26</v>
      </c>
      <c r="I55" s="18"/>
      <c r="K55" s="33"/>
      <c r="L55" s="78">
        <f t="shared" ref="L55:AV55" si="6" xml:space="preserve"> IFERROR(L52 / (L46 * L48 * 10^3), 0)</f>
        <v>0</v>
      </c>
      <c r="M55" s="78">
        <f t="shared" si="6"/>
        <v>0</v>
      </c>
      <c r="N55" s="78">
        <f t="shared" si="6"/>
        <v>0</v>
      </c>
      <c r="O55" s="78">
        <f t="shared" si="6"/>
        <v>0</v>
      </c>
      <c r="P55" s="78">
        <f t="shared" si="6"/>
        <v>0</v>
      </c>
      <c r="Q55" s="78">
        <f t="shared" si="6"/>
        <v>0</v>
      </c>
      <c r="R55" s="78">
        <f t="shared" si="6"/>
        <v>0</v>
      </c>
      <c r="S55" s="78">
        <f t="shared" si="6"/>
        <v>0</v>
      </c>
      <c r="T55" s="78">
        <f t="shared" si="6"/>
        <v>0</v>
      </c>
      <c r="U55" s="78">
        <f t="shared" si="6"/>
        <v>0</v>
      </c>
      <c r="V55" s="78">
        <f t="shared" si="6"/>
        <v>0</v>
      </c>
      <c r="W55" s="78">
        <f t="shared" si="6"/>
        <v>0</v>
      </c>
      <c r="X55" s="78">
        <f t="shared" si="6"/>
        <v>0</v>
      </c>
      <c r="Y55" s="78">
        <f t="shared" si="6"/>
        <v>0.64864864864864857</v>
      </c>
      <c r="Z55" s="78">
        <f t="shared" si="6"/>
        <v>0.62857142857142867</v>
      </c>
      <c r="AA55" s="78">
        <f t="shared" si="6"/>
        <v>0.63636363636363624</v>
      </c>
      <c r="AB55" s="78">
        <f t="shared" si="6"/>
        <v>0.63852813852813839</v>
      </c>
      <c r="AC55" s="78">
        <f t="shared" si="6"/>
        <v>0.65359477124182996</v>
      </c>
      <c r="AD55" s="78">
        <f t="shared" si="6"/>
        <v>0.66985645933014348</v>
      </c>
      <c r="AE55" s="78">
        <f t="shared" si="6"/>
        <v>0.64773735581188996</v>
      </c>
      <c r="AF55" s="78">
        <f t="shared" si="6"/>
        <v>0.64685314685314677</v>
      </c>
      <c r="AG55" s="78">
        <f t="shared" si="6"/>
        <v>0.64545454545454528</v>
      </c>
      <c r="AH55" s="78">
        <f t="shared" si="6"/>
        <v>0.6607142857142857</v>
      </c>
      <c r="AI55" s="78">
        <f t="shared" si="6"/>
        <v>0.65934065934065922</v>
      </c>
      <c r="AJ55" s="78">
        <f t="shared" si="6"/>
        <v>0.65833333333333333</v>
      </c>
      <c r="AK55" s="78">
        <f t="shared" si="6"/>
        <v>0.6619718309859155</v>
      </c>
      <c r="AL55" s="78">
        <f t="shared" si="6"/>
        <v>0.63492063492063489</v>
      </c>
      <c r="AM55" s="78">
        <f t="shared" si="6"/>
        <v>0.67542213883677304</v>
      </c>
      <c r="AN55" s="78">
        <f t="shared" si="6"/>
        <v>0.59829059829059827</v>
      </c>
      <c r="AO55" s="78">
        <f t="shared" si="6"/>
        <v>0</v>
      </c>
      <c r="AP55" s="78">
        <f t="shared" si="6"/>
        <v>0</v>
      </c>
      <c r="AQ55" s="78">
        <f t="shared" si="6"/>
        <v>0</v>
      </c>
      <c r="AR55" s="78">
        <f t="shared" si="6"/>
        <v>0</v>
      </c>
      <c r="AS55" s="78">
        <f t="shared" si="6"/>
        <v>0</v>
      </c>
      <c r="AT55" s="78">
        <f t="shared" si="6"/>
        <v>0</v>
      </c>
      <c r="AU55" s="78">
        <f t="shared" si="6"/>
        <v>0</v>
      </c>
      <c r="AV55" s="78">
        <f t="shared" si="6"/>
        <v>0</v>
      </c>
    </row>
    <row r="56" spans="2:48" ht="15" customHeight="1">
      <c r="D56" s="38"/>
      <c r="I56" s="18"/>
      <c r="K56" s="33"/>
    </row>
    <row r="57" spans="2:48" ht="15" customHeight="1">
      <c r="B57" s="16" t="s">
        <v>412</v>
      </c>
      <c r="D57" s="38"/>
      <c r="I57" s="18"/>
      <c r="K57" s="33"/>
    </row>
    <row r="58" spans="2:48" ht="15" customHeight="1">
      <c r="D58" s="38"/>
      <c r="E58" s="89" t="s">
        <v>402</v>
      </c>
      <c r="G58" s="18" t="s">
        <v>237</v>
      </c>
      <c r="I58" s="70" t="str">
        <f xml:space="preserve"> Sources!I$27</f>
        <v>XXII</v>
      </c>
      <c r="J58" s="18">
        <f t="shared" ref="J58" si="7" xml:space="preserve"> SUM(L58:AV58)</f>
        <v>11.3</v>
      </c>
      <c r="K58" s="33"/>
      <c r="L58" s="432"/>
      <c r="M58" s="432"/>
      <c r="N58" s="432"/>
      <c r="O58" s="432"/>
      <c r="P58" s="432"/>
      <c r="Q58" s="432"/>
      <c r="R58" s="432"/>
      <c r="S58" s="432"/>
      <c r="T58" s="432"/>
      <c r="U58" s="432"/>
      <c r="V58" s="432"/>
      <c r="W58" s="432"/>
      <c r="X58" s="432"/>
      <c r="Y58" s="432">
        <v>0</v>
      </c>
      <c r="Z58" s="432">
        <v>0</v>
      </c>
      <c r="AA58" s="432">
        <v>0</v>
      </c>
      <c r="AB58" s="432">
        <v>0</v>
      </c>
      <c r="AC58" s="432">
        <v>0</v>
      </c>
      <c r="AD58" s="432">
        <v>0</v>
      </c>
      <c r="AE58" s="432">
        <v>0.2</v>
      </c>
      <c r="AF58" s="432">
        <v>0.8</v>
      </c>
      <c r="AG58" s="432">
        <v>1.3</v>
      </c>
      <c r="AH58" s="432">
        <v>1.5</v>
      </c>
      <c r="AI58" s="432">
        <v>1.5</v>
      </c>
      <c r="AJ58" s="432">
        <v>1.5</v>
      </c>
      <c r="AK58" s="432">
        <v>1.5</v>
      </c>
      <c r="AL58" s="432">
        <v>1.4</v>
      </c>
      <c r="AM58" s="432">
        <v>1</v>
      </c>
      <c r="AN58" s="432">
        <v>0.6</v>
      </c>
      <c r="AO58" s="432">
        <v>0</v>
      </c>
      <c r="AP58" s="88"/>
      <c r="AQ58" s="88"/>
      <c r="AR58" s="88"/>
      <c r="AS58" s="88"/>
      <c r="AT58" s="88"/>
      <c r="AU58" s="88"/>
      <c r="AV58" s="88"/>
    </row>
    <row r="59" spans="2:48" ht="15" customHeight="1">
      <c r="D59" s="38"/>
      <c r="E59" s="89" t="s">
        <v>403</v>
      </c>
      <c r="G59" s="18" t="s">
        <v>26</v>
      </c>
      <c r="I59" s="70" t="str">
        <f xml:space="preserve"> Sources!I$27</f>
        <v>XXII</v>
      </c>
      <c r="K59" s="33"/>
      <c r="L59" s="564"/>
      <c r="M59" s="564"/>
      <c r="N59" s="564"/>
      <c r="O59" s="564"/>
      <c r="P59" s="564"/>
      <c r="Q59" s="564"/>
      <c r="R59" s="564"/>
      <c r="S59" s="564"/>
      <c r="T59" s="564"/>
      <c r="U59" s="564"/>
      <c r="V59" s="564"/>
      <c r="W59" s="564"/>
      <c r="X59" s="564"/>
      <c r="Y59" s="564">
        <v>0</v>
      </c>
      <c r="Z59" s="564">
        <v>0</v>
      </c>
      <c r="AA59" s="564">
        <v>0</v>
      </c>
      <c r="AB59" s="564">
        <v>0</v>
      </c>
      <c r="AC59" s="564">
        <v>0</v>
      </c>
      <c r="AD59" s="564">
        <v>0</v>
      </c>
      <c r="AE59" s="564">
        <v>4.4800000000000006E-2</v>
      </c>
      <c r="AF59" s="71">
        <v>4.1399999999999999E-2</v>
      </c>
      <c r="AG59" s="71">
        <v>3.8699999999999998E-2</v>
      </c>
      <c r="AH59" s="71">
        <v>3.6699999999999997E-2</v>
      </c>
      <c r="AI59" s="71">
        <v>3.39E-2</v>
      </c>
      <c r="AJ59" s="71">
        <v>3.56E-2</v>
      </c>
      <c r="AK59" s="71">
        <v>3.5699999999999996E-2</v>
      </c>
      <c r="AL59" s="71">
        <v>3.6600000000000001E-2</v>
      </c>
      <c r="AM59" s="71">
        <v>3.5099999999999999E-2</v>
      </c>
      <c r="AN59" s="71">
        <v>3.4599999999999999E-2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</row>
    <row r="60" spans="2:48" ht="15" customHeight="1">
      <c r="D60" s="38"/>
      <c r="E60" s="89" t="s">
        <v>404</v>
      </c>
      <c r="G60" s="18" t="s">
        <v>26</v>
      </c>
      <c r="I60" s="70" t="str">
        <f xml:space="preserve"> Sources!I$27</f>
        <v>XXII</v>
      </c>
      <c r="K60" s="33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5.0000000000000001E-3</v>
      </c>
      <c r="AF60" s="71">
        <v>6.6E-3</v>
      </c>
      <c r="AG60" s="71">
        <v>8.6E-3</v>
      </c>
      <c r="AH60" s="71">
        <v>6.6E-3</v>
      </c>
      <c r="AI60" s="71">
        <v>4.7999999999999996E-3</v>
      </c>
      <c r="AJ60" s="71">
        <v>5.1000000000000004E-3</v>
      </c>
      <c r="AK60" s="71">
        <v>6.1999999999999998E-3</v>
      </c>
      <c r="AL60" s="71">
        <v>6.8000000000000005E-3</v>
      </c>
      <c r="AM60" s="71">
        <v>6.4000000000000003E-3</v>
      </c>
      <c r="AN60" s="71">
        <v>5.3E-3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</row>
    <row r="61" spans="2:48" ht="15" customHeight="1">
      <c r="D61" s="38"/>
      <c r="E61" s="89" t="s">
        <v>405</v>
      </c>
      <c r="G61" s="18" t="s">
        <v>406</v>
      </c>
      <c r="I61" s="70" t="str">
        <f xml:space="preserve"> Sources!I$27</f>
        <v>XXII</v>
      </c>
      <c r="K61" s="33"/>
      <c r="L61" s="432"/>
      <c r="M61" s="432"/>
      <c r="N61" s="432"/>
      <c r="O61" s="432"/>
      <c r="P61" s="432"/>
      <c r="Q61" s="432"/>
      <c r="R61" s="432"/>
      <c r="S61" s="432"/>
      <c r="T61" s="432"/>
      <c r="U61" s="432"/>
      <c r="V61" s="432"/>
      <c r="W61" s="432"/>
      <c r="X61" s="432"/>
      <c r="Y61" s="432">
        <v>0</v>
      </c>
      <c r="Z61" s="432">
        <v>0</v>
      </c>
      <c r="AA61" s="432">
        <v>0</v>
      </c>
      <c r="AB61" s="432">
        <v>0</v>
      </c>
      <c r="AC61" s="432">
        <v>0</v>
      </c>
      <c r="AD61" s="432">
        <v>0</v>
      </c>
      <c r="AE61" s="432">
        <v>1.4</v>
      </c>
      <c r="AF61" s="432">
        <v>2.9</v>
      </c>
      <c r="AG61" s="432">
        <v>4</v>
      </c>
      <c r="AH61" s="432">
        <v>4.2</v>
      </c>
      <c r="AI61" s="432">
        <v>3</v>
      </c>
      <c r="AJ61" s="432">
        <v>3</v>
      </c>
      <c r="AK61" s="432">
        <v>3</v>
      </c>
      <c r="AL61" s="432">
        <v>2.5</v>
      </c>
      <c r="AM61" s="432">
        <v>0.5</v>
      </c>
      <c r="AN61" s="432">
        <v>0</v>
      </c>
      <c r="AO61" s="432">
        <v>0</v>
      </c>
      <c r="AP61" s="432"/>
      <c r="AQ61" s="432"/>
      <c r="AR61" s="432"/>
      <c r="AS61" s="432"/>
      <c r="AT61" s="432"/>
      <c r="AU61" s="432"/>
      <c r="AV61" s="432"/>
    </row>
    <row r="62" spans="2:48" ht="15" customHeight="1">
      <c r="D62" s="38"/>
      <c r="E62" s="89" t="s">
        <v>407</v>
      </c>
      <c r="G62" s="18" t="s">
        <v>406</v>
      </c>
      <c r="I62" s="70" t="str">
        <f xml:space="preserve"> Sources!I$27</f>
        <v>XXII</v>
      </c>
      <c r="K62" s="33"/>
      <c r="L62" s="432"/>
      <c r="M62" s="432"/>
      <c r="N62" s="432"/>
      <c r="O62" s="432"/>
      <c r="P62" s="432"/>
      <c r="Q62" s="432"/>
      <c r="R62" s="432"/>
      <c r="S62" s="432"/>
      <c r="T62" s="432"/>
      <c r="U62" s="432"/>
      <c r="V62" s="432"/>
      <c r="W62" s="432"/>
      <c r="X62" s="432"/>
      <c r="Y62" s="432">
        <v>0</v>
      </c>
      <c r="Z62" s="432">
        <v>0</v>
      </c>
      <c r="AA62" s="432">
        <v>0</v>
      </c>
      <c r="AB62" s="432">
        <v>0</v>
      </c>
      <c r="AC62" s="432">
        <v>0</v>
      </c>
      <c r="AD62" s="432">
        <v>0.9</v>
      </c>
      <c r="AE62" s="432">
        <v>3.4</v>
      </c>
      <c r="AF62" s="432">
        <v>5.9</v>
      </c>
      <c r="AG62" s="432">
        <v>6.6</v>
      </c>
      <c r="AH62" s="432">
        <v>5</v>
      </c>
      <c r="AI62" s="432">
        <v>2.6</v>
      </c>
      <c r="AJ62" s="432">
        <v>0</v>
      </c>
      <c r="AK62" s="432">
        <v>0</v>
      </c>
      <c r="AL62" s="432">
        <v>0</v>
      </c>
      <c r="AM62" s="432">
        <v>0</v>
      </c>
      <c r="AN62" s="432">
        <v>0</v>
      </c>
      <c r="AO62" s="432">
        <v>0</v>
      </c>
      <c r="AP62" s="432"/>
      <c r="AQ62" s="432"/>
      <c r="AR62" s="432"/>
      <c r="AS62" s="432"/>
      <c r="AT62" s="432"/>
      <c r="AU62" s="432"/>
      <c r="AV62" s="432"/>
    </row>
    <row r="63" spans="2:48" ht="15" customHeight="1">
      <c r="D63" s="38"/>
      <c r="E63" s="89" t="s">
        <v>408</v>
      </c>
      <c r="G63" s="18" t="s">
        <v>21</v>
      </c>
      <c r="I63" s="70" t="str">
        <f xml:space="preserve"> Sources!I$27</f>
        <v>XXII</v>
      </c>
      <c r="J63" s="18">
        <f t="shared" ref="J63:J64" si="8" xml:space="preserve"> SUM(L63:AV63)</f>
        <v>349.49999999999994</v>
      </c>
      <c r="K63" s="33"/>
      <c r="L63" s="432"/>
      <c r="M63" s="432"/>
      <c r="N63" s="432"/>
      <c r="O63" s="432"/>
      <c r="P63" s="432"/>
      <c r="Q63" s="432"/>
      <c r="R63" s="432"/>
      <c r="S63" s="432"/>
      <c r="T63" s="432"/>
      <c r="U63" s="432"/>
      <c r="V63" s="432"/>
      <c r="W63" s="432"/>
      <c r="X63" s="432"/>
      <c r="Y63" s="432">
        <v>0</v>
      </c>
      <c r="Z63" s="432">
        <v>0</v>
      </c>
      <c r="AA63" s="432">
        <v>0</v>
      </c>
      <c r="AB63" s="432">
        <v>0</v>
      </c>
      <c r="AC63" s="432">
        <v>0</v>
      </c>
      <c r="AD63" s="432">
        <v>0</v>
      </c>
      <c r="AE63" s="432">
        <v>7.5</v>
      </c>
      <c r="AF63" s="432">
        <v>29</v>
      </c>
      <c r="AG63" s="432">
        <v>42.4</v>
      </c>
      <c r="AH63" s="432">
        <v>46.1</v>
      </c>
      <c r="AI63" s="432">
        <v>43</v>
      </c>
      <c r="AJ63" s="432">
        <v>45.2</v>
      </c>
      <c r="AK63" s="432">
        <v>45.2</v>
      </c>
      <c r="AL63" s="432">
        <v>44.9</v>
      </c>
      <c r="AM63" s="432">
        <v>29.9</v>
      </c>
      <c r="AN63" s="432">
        <v>16.3</v>
      </c>
      <c r="AO63" s="432">
        <v>0</v>
      </c>
      <c r="AP63" s="432"/>
      <c r="AQ63" s="432"/>
      <c r="AR63" s="432"/>
      <c r="AS63" s="432"/>
      <c r="AT63" s="432"/>
      <c r="AU63" s="432"/>
      <c r="AV63" s="432"/>
    </row>
    <row r="64" spans="2:48" ht="15" customHeight="1">
      <c r="D64" s="38"/>
      <c r="E64" s="89" t="s">
        <v>409</v>
      </c>
      <c r="G64" s="18" t="s">
        <v>394</v>
      </c>
      <c r="I64" s="70" t="str">
        <f xml:space="preserve"> Sources!I$27</f>
        <v>XXII</v>
      </c>
      <c r="J64" s="18">
        <f t="shared" si="8"/>
        <v>45.4</v>
      </c>
      <c r="K64" s="33"/>
      <c r="L64" s="432"/>
      <c r="M64" s="432"/>
      <c r="N64" s="432"/>
      <c r="O64" s="432"/>
      <c r="P64" s="432"/>
      <c r="Q64" s="432"/>
      <c r="R64" s="432"/>
      <c r="S64" s="432"/>
      <c r="T64" s="432"/>
      <c r="U64" s="432"/>
      <c r="V64" s="432"/>
      <c r="W64" s="432"/>
      <c r="X64" s="432"/>
      <c r="Y64" s="432">
        <v>0</v>
      </c>
      <c r="Z64" s="432">
        <v>0</v>
      </c>
      <c r="AA64" s="432">
        <v>0</v>
      </c>
      <c r="AB64" s="432">
        <v>0</v>
      </c>
      <c r="AC64" s="432">
        <v>0</v>
      </c>
      <c r="AD64" s="432">
        <v>0</v>
      </c>
      <c r="AE64" s="432">
        <v>0.6</v>
      </c>
      <c r="AF64" s="432">
        <v>3.5</v>
      </c>
      <c r="AG64" s="432">
        <v>7.2</v>
      </c>
      <c r="AH64" s="432">
        <v>6.3</v>
      </c>
      <c r="AI64" s="432">
        <v>4.5999999999999996</v>
      </c>
      <c r="AJ64" s="432">
        <v>4.9000000000000004</v>
      </c>
      <c r="AK64" s="432">
        <v>6</v>
      </c>
      <c r="AL64" s="432">
        <v>6.3</v>
      </c>
      <c r="AM64" s="432">
        <v>4.0999999999999996</v>
      </c>
      <c r="AN64" s="432">
        <v>1.9</v>
      </c>
      <c r="AO64" s="432">
        <v>0</v>
      </c>
      <c r="AP64" s="432"/>
      <c r="AQ64" s="432"/>
      <c r="AR64" s="432"/>
      <c r="AS64" s="432"/>
      <c r="AT64" s="432"/>
      <c r="AU64" s="432"/>
      <c r="AV64" s="432"/>
    </row>
    <row r="65" spans="2:48" ht="15" customHeight="1">
      <c r="D65" s="38"/>
      <c r="I65" s="18"/>
      <c r="K65" s="33"/>
    </row>
    <row r="66" spans="2:48" ht="15" customHeight="1">
      <c r="D66" s="38"/>
      <c r="E66" s="18" t="s">
        <v>410</v>
      </c>
      <c r="G66" s="18" t="s">
        <v>26</v>
      </c>
      <c r="I66" s="18"/>
      <c r="K66" s="33"/>
      <c r="L66" s="78">
        <f t="shared" ref="L66:AV66" si="9" xml:space="preserve"> IFERROR(L63 / (L58 * L59 * 10^3), 0)</f>
        <v>0</v>
      </c>
      <c r="M66" s="78">
        <f t="shared" si="9"/>
        <v>0</v>
      </c>
      <c r="N66" s="78">
        <f t="shared" si="9"/>
        <v>0</v>
      </c>
      <c r="O66" s="78">
        <f t="shared" si="9"/>
        <v>0</v>
      </c>
      <c r="P66" s="78">
        <f t="shared" si="9"/>
        <v>0</v>
      </c>
      <c r="Q66" s="78">
        <f t="shared" si="9"/>
        <v>0</v>
      </c>
      <c r="R66" s="78">
        <f t="shared" si="9"/>
        <v>0</v>
      </c>
      <c r="S66" s="78">
        <f t="shared" si="9"/>
        <v>0</v>
      </c>
      <c r="T66" s="78">
        <f t="shared" si="9"/>
        <v>0</v>
      </c>
      <c r="U66" s="78">
        <f t="shared" si="9"/>
        <v>0</v>
      </c>
      <c r="V66" s="78">
        <f t="shared" si="9"/>
        <v>0</v>
      </c>
      <c r="W66" s="78">
        <f t="shared" si="9"/>
        <v>0</v>
      </c>
      <c r="X66" s="78">
        <f t="shared" si="9"/>
        <v>0</v>
      </c>
      <c r="Y66" s="78">
        <f t="shared" si="9"/>
        <v>0</v>
      </c>
      <c r="Z66" s="78">
        <f t="shared" si="9"/>
        <v>0</v>
      </c>
      <c r="AA66" s="78">
        <f t="shared" si="9"/>
        <v>0</v>
      </c>
      <c r="AB66" s="78">
        <f t="shared" si="9"/>
        <v>0</v>
      </c>
      <c r="AC66" s="78">
        <f t="shared" si="9"/>
        <v>0</v>
      </c>
      <c r="AD66" s="78">
        <f t="shared" si="9"/>
        <v>0</v>
      </c>
      <c r="AE66" s="78">
        <f t="shared" si="9"/>
        <v>0.8370535714285714</v>
      </c>
      <c r="AF66" s="78">
        <f t="shared" si="9"/>
        <v>0.87560386473429941</v>
      </c>
      <c r="AG66" s="78">
        <f t="shared" si="9"/>
        <v>0.84277479626316831</v>
      </c>
      <c r="AH66" s="78">
        <f t="shared" si="9"/>
        <v>0.83742052679382384</v>
      </c>
      <c r="AI66" s="78">
        <f t="shared" si="9"/>
        <v>0.84562438544739427</v>
      </c>
      <c r="AJ66" s="78">
        <f t="shared" si="9"/>
        <v>0.84644194756554303</v>
      </c>
      <c r="AK66" s="78">
        <f t="shared" si="9"/>
        <v>0.84407096171802076</v>
      </c>
      <c r="AL66" s="78">
        <f t="shared" si="9"/>
        <v>0.87626854020296641</v>
      </c>
      <c r="AM66" s="78">
        <f t="shared" si="9"/>
        <v>0.85185185185185175</v>
      </c>
      <c r="AN66" s="78">
        <f t="shared" si="9"/>
        <v>0.78516377649325642</v>
      </c>
      <c r="AO66" s="78">
        <f t="shared" si="9"/>
        <v>0</v>
      </c>
      <c r="AP66" s="78">
        <f t="shared" si="9"/>
        <v>0</v>
      </c>
      <c r="AQ66" s="78">
        <f t="shared" si="9"/>
        <v>0</v>
      </c>
      <c r="AR66" s="78">
        <f t="shared" si="9"/>
        <v>0</v>
      </c>
      <c r="AS66" s="78">
        <f t="shared" si="9"/>
        <v>0</v>
      </c>
      <c r="AT66" s="78">
        <f t="shared" si="9"/>
        <v>0</v>
      </c>
      <c r="AU66" s="78">
        <f t="shared" si="9"/>
        <v>0</v>
      </c>
      <c r="AV66" s="78">
        <f t="shared" si="9"/>
        <v>0</v>
      </c>
    </row>
    <row r="67" spans="2:48" ht="15" customHeight="1">
      <c r="D67" s="38"/>
      <c r="E67" s="18" t="s">
        <v>411</v>
      </c>
      <c r="G67" s="18" t="s">
        <v>26</v>
      </c>
      <c r="I67" s="18"/>
      <c r="K67" s="33"/>
      <c r="L67" s="78">
        <f t="shared" ref="L67:AV67" si="10" xml:space="preserve"> IFERROR(L64 / (L58 * L60 * 10^3), 0)</f>
        <v>0</v>
      </c>
      <c r="M67" s="78">
        <f t="shared" si="10"/>
        <v>0</v>
      </c>
      <c r="N67" s="78">
        <f t="shared" si="10"/>
        <v>0</v>
      </c>
      <c r="O67" s="78">
        <f t="shared" si="10"/>
        <v>0</v>
      </c>
      <c r="P67" s="78">
        <f t="shared" si="10"/>
        <v>0</v>
      </c>
      <c r="Q67" s="78">
        <f t="shared" si="10"/>
        <v>0</v>
      </c>
      <c r="R67" s="78">
        <f t="shared" si="10"/>
        <v>0</v>
      </c>
      <c r="S67" s="78">
        <f t="shared" si="10"/>
        <v>0</v>
      </c>
      <c r="T67" s="78">
        <f t="shared" si="10"/>
        <v>0</v>
      </c>
      <c r="U67" s="78">
        <f t="shared" si="10"/>
        <v>0</v>
      </c>
      <c r="V67" s="78">
        <f t="shared" si="10"/>
        <v>0</v>
      </c>
      <c r="W67" s="78">
        <f t="shared" si="10"/>
        <v>0</v>
      </c>
      <c r="X67" s="78">
        <f t="shared" si="10"/>
        <v>0</v>
      </c>
      <c r="Y67" s="78">
        <f t="shared" si="10"/>
        <v>0</v>
      </c>
      <c r="Z67" s="78">
        <f t="shared" si="10"/>
        <v>0</v>
      </c>
      <c r="AA67" s="78">
        <f t="shared" si="10"/>
        <v>0</v>
      </c>
      <c r="AB67" s="78">
        <f t="shared" si="10"/>
        <v>0</v>
      </c>
      <c r="AC67" s="78">
        <f t="shared" si="10"/>
        <v>0</v>
      </c>
      <c r="AD67" s="78">
        <f t="shared" si="10"/>
        <v>0</v>
      </c>
      <c r="AE67" s="78">
        <f t="shared" si="10"/>
        <v>0.6</v>
      </c>
      <c r="AF67" s="78">
        <f t="shared" si="10"/>
        <v>0.66287878787878785</v>
      </c>
      <c r="AG67" s="78">
        <f t="shared" si="10"/>
        <v>0.6440071556350625</v>
      </c>
      <c r="AH67" s="78">
        <f t="shared" si="10"/>
        <v>0.63636363636363646</v>
      </c>
      <c r="AI67" s="78">
        <f t="shared" si="10"/>
        <v>0.63888888888888884</v>
      </c>
      <c r="AJ67" s="78">
        <f t="shared" si="10"/>
        <v>0.64052287581699352</v>
      </c>
      <c r="AK67" s="78">
        <f t="shared" si="10"/>
        <v>0.64516129032258074</v>
      </c>
      <c r="AL67" s="78">
        <f t="shared" si="10"/>
        <v>0.66176470588235281</v>
      </c>
      <c r="AM67" s="78">
        <f t="shared" si="10"/>
        <v>0.64062499999999989</v>
      </c>
      <c r="AN67" s="78">
        <f t="shared" si="10"/>
        <v>0.59748427672955973</v>
      </c>
      <c r="AO67" s="78">
        <f t="shared" si="10"/>
        <v>0</v>
      </c>
      <c r="AP67" s="78">
        <f t="shared" si="10"/>
        <v>0</v>
      </c>
      <c r="AQ67" s="78">
        <f t="shared" si="10"/>
        <v>0</v>
      </c>
      <c r="AR67" s="78">
        <f t="shared" si="10"/>
        <v>0</v>
      </c>
      <c r="AS67" s="78">
        <f t="shared" si="10"/>
        <v>0</v>
      </c>
      <c r="AT67" s="78">
        <f t="shared" si="10"/>
        <v>0</v>
      </c>
      <c r="AU67" s="78">
        <f t="shared" si="10"/>
        <v>0</v>
      </c>
      <c r="AV67" s="78">
        <f t="shared" si="10"/>
        <v>0</v>
      </c>
    </row>
    <row r="68" spans="2:48" ht="15" customHeight="1">
      <c r="D68" s="38"/>
      <c r="I68" s="18"/>
      <c r="K68" s="33"/>
    </row>
    <row r="69" spans="2:48" ht="15" customHeight="1">
      <c r="B69" s="16" t="s">
        <v>413</v>
      </c>
      <c r="D69" s="38"/>
      <c r="I69" s="18"/>
      <c r="K69" s="33"/>
    </row>
    <row r="70" spans="2:48" ht="15" customHeight="1">
      <c r="D70" s="38"/>
      <c r="E70" s="89" t="s">
        <v>402</v>
      </c>
      <c r="G70" s="18" t="s">
        <v>237</v>
      </c>
      <c r="I70" s="70" t="str">
        <f xml:space="preserve"> Sources!I$27</f>
        <v>XXII</v>
      </c>
      <c r="J70" s="18">
        <f t="shared" ref="J70" si="11" xml:space="preserve"> SUM(L70:AV70)</f>
        <v>57.7</v>
      </c>
      <c r="K70" s="33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>
        <v>3.6</v>
      </c>
      <c r="Z70" s="432">
        <v>4.5999999999999996</v>
      </c>
      <c r="AA70" s="432">
        <v>7.1</v>
      </c>
      <c r="AB70" s="432">
        <v>3.7</v>
      </c>
      <c r="AC70" s="432">
        <v>3.9</v>
      </c>
      <c r="AD70" s="432">
        <v>4.0999999999999996</v>
      </c>
      <c r="AE70" s="432">
        <v>4.7</v>
      </c>
      <c r="AF70" s="432">
        <v>8</v>
      </c>
      <c r="AG70" s="432">
        <v>6.7</v>
      </c>
      <c r="AH70" s="432">
        <v>6.5</v>
      </c>
      <c r="AI70" s="432">
        <v>4.8</v>
      </c>
      <c r="AJ70" s="432">
        <v>0</v>
      </c>
      <c r="AK70" s="432">
        <v>0</v>
      </c>
      <c r="AL70" s="432">
        <v>0</v>
      </c>
      <c r="AM70" s="432">
        <v>0</v>
      </c>
      <c r="AN70" s="432"/>
      <c r="AO70" s="432"/>
      <c r="AP70" s="432"/>
      <c r="AQ70" s="432"/>
      <c r="AR70" s="432"/>
      <c r="AS70" s="432"/>
      <c r="AT70" s="432"/>
      <c r="AU70" s="432"/>
      <c r="AV70" s="432"/>
    </row>
    <row r="71" spans="2:48" ht="15" customHeight="1">
      <c r="D71" s="38"/>
      <c r="E71" s="89" t="s">
        <v>414</v>
      </c>
      <c r="G71" s="18" t="s">
        <v>26</v>
      </c>
      <c r="I71" s="70" t="str">
        <f xml:space="preserve"> Sources!I$27</f>
        <v>XXII</v>
      </c>
      <c r="K71" s="33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>
        <v>3.7900000000000003E-2</v>
      </c>
      <c r="Z71" s="71">
        <v>3.8100000000000002E-2</v>
      </c>
      <c r="AA71" s="71">
        <v>4.07E-2</v>
      </c>
      <c r="AB71" s="71">
        <v>4.6500000000000007E-2</v>
      </c>
      <c r="AC71" s="71">
        <v>4.4199999999999996E-2</v>
      </c>
      <c r="AD71" s="71">
        <v>4.87E-2</v>
      </c>
      <c r="AE71" s="71">
        <v>4.36E-2</v>
      </c>
      <c r="AF71" s="71">
        <v>3.1699999999999999E-2</v>
      </c>
      <c r="AG71" s="71">
        <v>3.4500000000000003E-2</v>
      </c>
      <c r="AH71" s="71">
        <v>3.4300000000000004E-2</v>
      </c>
      <c r="AI71" s="71">
        <v>1.9099999999999999E-2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</row>
    <row r="72" spans="2:48" ht="15" customHeight="1">
      <c r="D72" s="38"/>
      <c r="E72" s="89" t="s">
        <v>415</v>
      </c>
      <c r="G72" s="18" t="s">
        <v>26</v>
      </c>
      <c r="I72" s="70" t="str">
        <f xml:space="preserve"> Sources!I$27</f>
        <v>XXII</v>
      </c>
      <c r="K72" s="33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>
        <v>5.1999999999999998E-3</v>
      </c>
      <c r="Z72" s="71">
        <v>5.1999999999999998E-3</v>
      </c>
      <c r="AA72" s="71">
        <v>6.6E-3</v>
      </c>
      <c r="AB72" s="71">
        <v>5.0000000000000001E-3</v>
      </c>
      <c r="AC72" s="71">
        <v>4.7999999999999996E-3</v>
      </c>
      <c r="AD72" s="71">
        <v>6.1999999999999998E-3</v>
      </c>
      <c r="AE72" s="71">
        <v>5.4000000000000003E-3</v>
      </c>
      <c r="AF72" s="71">
        <v>4.8999999999999998E-3</v>
      </c>
      <c r="AG72" s="71">
        <v>4.1999999999999997E-3</v>
      </c>
      <c r="AH72" s="71">
        <v>3.4000000000000002E-3</v>
      </c>
      <c r="AI72" s="71">
        <v>1.7000000000000001E-3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</row>
    <row r="73" spans="2:48" ht="15" customHeight="1">
      <c r="D73" s="38"/>
      <c r="E73" s="89" t="s">
        <v>408</v>
      </c>
      <c r="G73" s="18" t="s">
        <v>21</v>
      </c>
      <c r="I73" s="70" t="str">
        <f xml:space="preserve"> Sources!I$27</f>
        <v>XXII</v>
      </c>
      <c r="J73" s="18">
        <f t="shared" ref="J73:J75" si="12" xml:space="preserve"> SUM(L73:AV73)</f>
        <v>1820.5000000000002</v>
      </c>
      <c r="K73" s="33"/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  <c r="Y73" s="432">
        <v>116.4</v>
      </c>
      <c r="Z73" s="432">
        <v>150.1</v>
      </c>
      <c r="AA73" s="432">
        <v>244.4</v>
      </c>
      <c r="AB73" s="432">
        <v>145.30000000000001</v>
      </c>
      <c r="AC73" s="432">
        <v>144.69999999999999</v>
      </c>
      <c r="AD73" s="432">
        <v>167.9</v>
      </c>
      <c r="AE73" s="432">
        <v>173.3</v>
      </c>
      <c r="AF73" s="432">
        <v>214.3</v>
      </c>
      <c r="AG73" s="432">
        <v>195.4</v>
      </c>
      <c r="AH73" s="432">
        <v>190.9</v>
      </c>
      <c r="AI73" s="432">
        <v>77.8</v>
      </c>
      <c r="AJ73" s="432">
        <v>0</v>
      </c>
      <c r="AK73" s="432">
        <v>0</v>
      </c>
      <c r="AL73" s="432">
        <v>0</v>
      </c>
      <c r="AM73" s="432">
        <v>0</v>
      </c>
      <c r="AN73" s="432"/>
      <c r="AO73" s="432"/>
      <c r="AP73" s="432"/>
      <c r="AQ73" s="432"/>
      <c r="AR73" s="432"/>
      <c r="AS73" s="432"/>
      <c r="AT73" s="432"/>
      <c r="AU73" s="432"/>
      <c r="AV73" s="432"/>
    </row>
    <row r="74" spans="2:48" ht="15" customHeight="1">
      <c r="D74" s="38"/>
      <c r="E74" s="89" t="s">
        <v>409</v>
      </c>
      <c r="G74" s="18" t="s">
        <v>394</v>
      </c>
      <c r="I74" s="70" t="str">
        <f xml:space="preserve"> Sources!I$27</f>
        <v>XXII</v>
      </c>
      <c r="J74" s="18">
        <f t="shared" si="12"/>
        <v>178.20000000000002</v>
      </c>
      <c r="K74" s="33"/>
      <c r="L74" s="432"/>
      <c r="M74" s="432"/>
      <c r="N74" s="432"/>
      <c r="O74" s="432"/>
      <c r="P74" s="432"/>
      <c r="Q74" s="432"/>
      <c r="R74" s="432"/>
      <c r="S74" s="432"/>
      <c r="T74" s="432"/>
      <c r="U74" s="432"/>
      <c r="V74" s="432"/>
      <c r="W74" s="432"/>
      <c r="X74" s="432"/>
      <c r="Y74" s="432">
        <v>12.2</v>
      </c>
      <c r="Z74" s="432">
        <v>15.7</v>
      </c>
      <c r="AA74" s="432">
        <v>30.3</v>
      </c>
      <c r="AB74" s="432">
        <v>11.9</v>
      </c>
      <c r="AC74" s="432">
        <v>12</v>
      </c>
      <c r="AD74" s="432">
        <v>16.3</v>
      </c>
      <c r="AE74" s="432">
        <v>16.399999999999999</v>
      </c>
      <c r="AF74" s="432">
        <v>25.3</v>
      </c>
      <c r="AG74" s="432">
        <v>18.2</v>
      </c>
      <c r="AH74" s="432">
        <v>14.5</v>
      </c>
      <c r="AI74" s="432">
        <v>5.4</v>
      </c>
      <c r="AJ74" s="432">
        <v>0</v>
      </c>
      <c r="AK74" s="432">
        <v>0</v>
      </c>
      <c r="AL74" s="432">
        <v>0</v>
      </c>
      <c r="AM74" s="432">
        <v>0</v>
      </c>
      <c r="AN74" s="432"/>
      <c r="AO74" s="432"/>
      <c r="AP74" s="432"/>
      <c r="AQ74" s="432"/>
      <c r="AR74" s="432"/>
      <c r="AS74" s="432"/>
      <c r="AT74" s="432"/>
      <c r="AU74" s="432"/>
      <c r="AV74" s="432"/>
    </row>
    <row r="75" spans="2:48" ht="15" customHeight="1">
      <c r="D75" s="38"/>
      <c r="E75" s="89" t="s">
        <v>416</v>
      </c>
      <c r="G75" s="18" t="s">
        <v>237</v>
      </c>
      <c r="I75" s="70" t="str">
        <f xml:space="preserve"> Sources!I$27</f>
        <v>XXII</v>
      </c>
      <c r="J75" s="18">
        <f t="shared" si="12"/>
        <v>403</v>
      </c>
      <c r="K75" s="33"/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>
        <v>46.5</v>
      </c>
      <c r="Z75" s="432">
        <v>46.7</v>
      </c>
      <c r="AA75" s="432">
        <v>35.1</v>
      </c>
      <c r="AB75" s="432">
        <v>24.9</v>
      </c>
      <c r="AC75" s="432">
        <v>49.2</v>
      </c>
      <c r="AD75" s="432">
        <v>71.2</v>
      </c>
      <c r="AE75" s="432">
        <v>60.5</v>
      </c>
      <c r="AF75" s="432">
        <v>57.9</v>
      </c>
      <c r="AG75" s="432">
        <v>6</v>
      </c>
      <c r="AH75" s="432">
        <v>3.3</v>
      </c>
      <c r="AI75" s="432">
        <v>1.7</v>
      </c>
      <c r="AJ75" s="432">
        <v>0</v>
      </c>
      <c r="AK75" s="432">
        <v>0</v>
      </c>
      <c r="AL75" s="432">
        <v>0</v>
      </c>
      <c r="AM75" s="432">
        <v>0</v>
      </c>
      <c r="AN75" s="432"/>
      <c r="AO75" s="432"/>
      <c r="AP75" s="432"/>
      <c r="AQ75" s="432"/>
      <c r="AR75" s="432"/>
      <c r="AS75" s="432"/>
      <c r="AT75" s="432"/>
      <c r="AU75" s="432"/>
      <c r="AV75" s="432"/>
    </row>
    <row r="76" spans="2:48" ht="15" customHeight="1">
      <c r="D76" s="38"/>
      <c r="I76" s="18"/>
      <c r="K76" s="33"/>
    </row>
    <row r="77" spans="2:48" ht="15" customHeight="1">
      <c r="D77" s="38"/>
      <c r="E77" s="18" t="s">
        <v>410</v>
      </c>
      <c r="G77" s="18" t="s">
        <v>26</v>
      </c>
      <c r="I77" s="18"/>
      <c r="K77" s="33"/>
      <c r="L77" s="78">
        <f t="shared" ref="L77:AV77" si="13" xml:space="preserve"> IFERROR(L73 / (L70 * L71 * 10^3), 0)</f>
        <v>0</v>
      </c>
      <c r="M77" s="78">
        <f t="shared" si="13"/>
        <v>0</v>
      </c>
      <c r="N77" s="78">
        <f t="shared" si="13"/>
        <v>0</v>
      </c>
      <c r="O77" s="78">
        <f t="shared" si="13"/>
        <v>0</v>
      </c>
      <c r="P77" s="78">
        <f t="shared" si="13"/>
        <v>0</v>
      </c>
      <c r="Q77" s="78">
        <f t="shared" si="13"/>
        <v>0</v>
      </c>
      <c r="R77" s="78">
        <f t="shared" si="13"/>
        <v>0</v>
      </c>
      <c r="S77" s="78">
        <f t="shared" si="13"/>
        <v>0</v>
      </c>
      <c r="T77" s="78">
        <f t="shared" si="13"/>
        <v>0</v>
      </c>
      <c r="U77" s="78">
        <f t="shared" si="13"/>
        <v>0</v>
      </c>
      <c r="V77" s="78">
        <f t="shared" si="13"/>
        <v>0</v>
      </c>
      <c r="W77" s="78">
        <f t="shared" si="13"/>
        <v>0</v>
      </c>
      <c r="X77" s="78">
        <f t="shared" si="13"/>
        <v>0</v>
      </c>
      <c r="Y77" s="78">
        <f t="shared" si="13"/>
        <v>0.85312225153913812</v>
      </c>
      <c r="Z77" s="78">
        <f t="shared" si="13"/>
        <v>0.85644185781125182</v>
      </c>
      <c r="AA77" s="78">
        <f t="shared" si="13"/>
        <v>0.84576253590338091</v>
      </c>
      <c r="AB77" s="78">
        <f t="shared" si="13"/>
        <v>0.84452194129613467</v>
      </c>
      <c r="AC77" s="78">
        <f t="shared" si="13"/>
        <v>0.83942452720733274</v>
      </c>
      <c r="AD77" s="78">
        <f t="shared" si="13"/>
        <v>0.84088746431612171</v>
      </c>
      <c r="AE77" s="78">
        <f t="shared" si="13"/>
        <v>0.84569588131953932</v>
      </c>
      <c r="AF77" s="78">
        <f t="shared" si="13"/>
        <v>0.845031545741325</v>
      </c>
      <c r="AG77" s="78">
        <f t="shared" si="13"/>
        <v>0.84533852476746696</v>
      </c>
      <c r="AH77" s="78">
        <f t="shared" si="13"/>
        <v>0.85624579502130505</v>
      </c>
      <c r="AI77" s="78">
        <f t="shared" si="13"/>
        <v>0.84860383944153583</v>
      </c>
      <c r="AJ77" s="78">
        <f t="shared" si="13"/>
        <v>0</v>
      </c>
      <c r="AK77" s="78">
        <f t="shared" si="13"/>
        <v>0</v>
      </c>
      <c r="AL77" s="78">
        <f t="shared" si="13"/>
        <v>0</v>
      </c>
      <c r="AM77" s="78">
        <f t="shared" si="13"/>
        <v>0</v>
      </c>
      <c r="AN77" s="78">
        <f t="shared" si="13"/>
        <v>0</v>
      </c>
      <c r="AO77" s="78">
        <f t="shared" si="13"/>
        <v>0</v>
      </c>
      <c r="AP77" s="78">
        <f t="shared" si="13"/>
        <v>0</v>
      </c>
      <c r="AQ77" s="78">
        <f t="shared" si="13"/>
        <v>0</v>
      </c>
      <c r="AR77" s="78">
        <f t="shared" si="13"/>
        <v>0</v>
      </c>
      <c r="AS77" s="78">
        <f t="shared" si="13"/>
        <v>0</v>
      </c>
      <c r="AT77" s="78">
        <f t="shared" si="13"/>
        <v>0</v>
      </c>
      <c r="AU77" s="78">
        <f t="shared" si="13"/>
        <v>0</v>
      </c>
      <c r="AV77" s="78">
        <f t="shared" si="13"/>
        <v>0</v>
      </c>
    </row>
    <row r="78" spans="2:48" ht="15" customHeight="1">
      <c r="D78" s="38"/>
      <c r="E78" s="18" t="s">
        <v>411</v>
      </c>
      <c r="G78" s="18" t="s">
        <v>26</v>
      </c>
      <c r="I78" s="18"/>
      <c r="K78" s="33"/>
      <c r="L78" s="78">
        <f t="shared" ref="L78:AV78" si="14" xml:space="preserve"> IFERROR(L74 / (L70 * L72 * 10^3), 0)</f>
        <v>0</v>
      </c>
      <c r="M78" s="78">
        <f t="shared" si="14"/>
        <v>0</v>
      </c>
      <c r="N78" s="78">
        <f t="shared" si="14"/>
        <v>0</v>
      </c>
      <c r="O78" s="78">
        <f t="shared" si="14"/>
        <v>0</v>
      </c>
      <c r="P78" s="78">
        <f t="shared" si="14"/>
        <v>0</v>
      </c>
      <c r="Q78" s="78">
        <f t="shared" si="14"/>
        <v>0</v>
      </c>
      <c r="R78" s="78">
        <f t="shared" si="14"/>
        <v>0</v>
      </c>
      <c r="S78" s="78">
        <f t="shared" si="14"/>
        <v>0</v>
      </c>
      <c r="T78" s="78">
        <f t="shared" si="14"/>
        <v>0</v>
      </c>
      <c r="U78" s="78">
        <f t="shared" si="14"/>
        <v>0</v>
      </c>
      <c r="V78" s="78">
        <f t="shared" si="14"/>
        <v>0</v>
      </c>
      <c r="W78" s="78">
        <f t="shared" si="14"/>
        <v>0</v>
      </c>
      <c r="X78" s="78">
        <f t="shared" si="14"/>
        <v>0</v>
      </c>
      <c r="Y78" s="78">
        <f t="shared" si="14"/>
        <v>0.65170940170940173</v>
      </c>
      <c r="Z78" s="78">
        <f t="shared" si="14"/>
        <v>0.65635451505016729</v>
      </c>
      <c r="AA78" s="78">
        <f t="shared" si="14"/>
        <v>0.64660691421254801</v>
      </c>
      <c r="AB78" s="78">
        <f t="shared" si="14"/>
        <v>0.64324324324324311</v>
      </c>
      <c r="AC78" s="78">
        <f t="shared" si="14"/>
        <v>0.64102564102564119</v>
      </c>
      <c r="AD78" s="78">
        <f t="shared" si="14"/>
        <v>0.64122738001573576</v>
      </c>
      <c r="AE78" s="78">
        <f t="shared" si="14"/>
        <v>0.64617809298660356</v>
      </c>
      <c r="AF78" s="78">
        <f t="shared" si="14"/>
        <v>0.64540816326530626</v>
      </c>
      <c r="AG78" s="78">
        <f t="shared" si="14"/>
        <v>0.64676616915422891</v>
      </c>
      <c r="AH78" s="78">
        <f t="shared" si="14"/>
        <v>0.65610859728506787</v>
      </c>
      <c r="AI78" s="78">
        <f t="shared" si="14"/>
        <v>0.66176470588235292</v>
      </c>
      <c r="AJ78" s="78">
        <f t="shared" si="14"/>
        <v>0</v>
      </c>
      <c r="AK78" s="78">
        <f t="shared" si="14"/>
        <v>0</v>
      </c>
      <c r="AL78" s="78">
        <f t="shared" si="14"/>
        <v>0</v>
      </c>
      <c r="AM78" s="78">
        <f t="shared" si="14"/>
        <v>0</v>
      </c>
      <c r="AN78" s="78">
        <f t="shared" si="14"/>
        <v>0</v>
      </c>
      <c r="AO78" s="78">
        <f t="shared" si="14"/>
        <v>0</v>
      </c>
      <c r="AP78" s="78">
        <f t="shared" si="14"/>
        <v>0</v>
      </c>
      <c r="AQ78" s="78">
        <f t="shared" si="14"/>
        <v>0</v>
      </c>
      <c r="AR78" s="78">
        <f t="shared" si="14"/>
        <v>0</v>
      </c>
      <c r="AS78" s="78">
        <f t="shared" si="14"/>
        <v>0</v>
      </c>
      <c r="AT78" s="78">
        <f t="shared" si="14"/>
        <v>0</v>
      </c>
      <c r="AU78" s="78">
        <f t="shared" si="14"/>
        <v>0</v>
      </c>
      <c r="AV78" s="78">
        <f t="shared" si="14"/>
        <v>0</v>
      </c>
    </row>
    <row r="79" spans="2:48" ht="15" customHeight="1">
      <c r="D79" s="38"/>
      <c r="I79" s="18"/>
      <c r="K79" s="33"/>
    </row>
    <row r="80" spans="2:48" ht="15" customHeight="1">
      <c r="B80" s="16" t="s">
        <v>417</v>
      </c>
      <c r="D80" s="38"/>
      <c r="I80" s="18"/>
      <c r="K80" s="33"/>
    </row>
    <row r="81" spans="2:48" ht="15" customHeight="1">
      <c r="D81" s="38"/>
      <c r="E81" s="89" t="s">
        <v>402</v>
      </c>
      <c r="G81" s="18" t="s">
        <v>237</v>
      </c>
      <c r="I81" s="70" t="str">
        <f xml:space="preserve"> Sources!I$27</f>
        <v>XXII</v>
      </c>
      <c r="J81" s="18">
        <f t="shared" ref="J81" si="15" xml:space="preserve"> SUM(L81:AV81)</f>
        <v>31.499999999999996</v>
      </c>
      <c r="K81" s="33"/>
      <c r="L81" s="432"/>
      <c r="M81" s="432"/>
      <c r="N81" s="432"/>
      <c r="O81" s="432"/>
      <c r="P81" s="432"/>
      <c r="Q81" s="432"/>
      <c r="R81" s="432"/>
      <c r="S81" s="432"/>
      <c r="T81" s="432"/>
      <c r="U81" s="432"/>
      <c r="V81" s="432"/>
      <c r="W81" s="432"/>
      <c r="X81" s="432"/>
      <c r="Y81" s="432">
        <v>3.6</v>
      </c>
      <c r="Z81" s="432">
        <v>4.2</v>
      </c>
      <c r="AA81" s="432">
        <v>1.3</v>
      </c>
      <c r="AB81" s="432">
        <v>5.2</v>
      </c>
      <c r="AC81" s="432">
        <v>5.2</v>
      </c>
      <c r="AD81" s="432">
        <v>5</v>
      </c>
      <c r="AE81" s="432">
        <v>4</v>
      </c>
      <c r="AF81" s="432">
        <v>0.4</v>
      </c>
      <c r="AG81" s="432">
        <v>1.4</v>
      </c>
      <c r="AH81" s="432">
        <v>1</v>
      </c>
      <c r="AI81" s="432">
        <v>0.2</v>
      </c>
      <c r="AJ81" s="432">
        <v>0</v>
      </c>
      <c r="AK81" s="432">
        <v>0</v>
      </c>
      <c r="AL81" s="432">
        <v>0</v>
      </c>
      <c r="AM81" s="432">
        <v>0</v>
      </c>
      <c r="AN81" s="432"/>
      <c r="AO81" s="432"/>
      <c r="AP81" s="432"/>
      <c r="AQ81" s="432"/>
      <c r="AR81" s="432"/>
      <c r="AS81" s="432"/>
      <c r="AT81" s="432"/>
      <c r="AU81" s="432"/>
      <c r="AV81" s="432"/>
    </row>
    <row r="82" spans="2:48" ht="15" customHeight="1">
      <c r="D82" s="38"/>
      <c r="E82" s="89" t="s">
        <v>414</v>
      </c>
      <c r="G82" s="18" t="s">
        <v>26</v>
      </c>
      <c r="I82" s="70" t="str">
        <f xml:space="preserve"> Sources!I$27</f>
        <v>XXII</v>
      </c>
      <c r="K82" s="33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>
        <v>2.9100000000000001E-2</v>
      </c>
      <c r="Z82" s="71">
        <v>2.5699999999999997E-2</v>
      </c>
      <c r="AA82" s="71">
        <v>1.7500000000000002E-2</v>
      </c>
      <c r="AB82" s="71">
        <v>2.35E-2</v>
      </c>
      <c r="AC82" s="71">
        <v>2.3700000000000002E-2</v>
      </c>
      <c r="AD82" s="71">
        <v>1.8700000000000001E-2</v>
      </c>
      <c r="AE82" s="71">
        <v>1.7399999999999999E-2</v>
      </c>
      <c r="AF82" s="71">
        <v>1.2500000000000001E-2</v>
      </c>
      <c r="AG82" s="71">
        <v>9.8999999999999991E-3</v>
      </c>
      <c r="AH82" s="71">
        <v>1.1699999999999999E-2</v>
      </c>
      <c r="AI82" s="71">
        <v>1.9400000000000001E-2</v>
      </c>
      <c r="AJ82" s="71">
        <v>0</v>
      </c>
      <c r="AK82" s="71">
        <v>0</v>
      </c>
      <c r="AL82" s="71">
        <v>0</v>
      </c>
      <c r="AM82" s="71">
        <v>0</v>
      </c>
      <c r="AN82" s="71">
        <v>0</v>
      </c>
      <c r="AO82" s="71">
        <v>0</v>
      </c>
      <c r="AP82" s="71">
        <v>0</v>
      </c>
      <c r="AQ82" s="71">
        <v>0</v>
      </c>
      <c r="AR82" s="71">
        <v>0</v>
      </c>
      <c r="AS82" s="71">
        <v>0</v>
      </c>
      <c r="AT82" s="71">
        <v>0</v>
      </c>
      <c r="AU82" s="71">
        <v>0</v>
      </c>
      <c r="AV82" s="71">
        <v>0</v>
      </c>
    </row>
    <row r="83" spans="2:48" ht="15" customHeight="1">
      <c r="D83" s="38"/>
      <c r="E83" s="89" t="s">
        <v>415</v>
      </c>
      <c r="G83" s="18" t="s">
        <v>26</v>
      </c>
      <c r="I83" s="70" t="str">
        <f xml:space="preserve"> Sources!I$27</f>
        <v>XXII</v>
      </c>
      <c r="K83" s="33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>
        <v>5.0000000000000001E-3</v>
      </c>
      <c r="Z83" s="71">
        <v>4.5999999999999999E-3</v>
      </c>
      <c r="AA83" s="71">
        <v>6.3E-3</v>
      </c>
      <c r="AB83" s="71">
        <v>6.7000000000000002E-3</v>
      </c>
      <c r="AC83" s="71">
        <v>6.8000000000000005E-3</v>
      </c>
      <c r="AD83" s="71">
        <v>6.7000000000000002E-3</v>
      </c>
      <c r="AE83" s="71">
        <v>6.8999999999999999E-3</v>
      </c>
      <c r="AF83" s="71">
        <v>4.4000000000000003E-3</v>
      </c>
      <c r="AG83" s="71">
        <v>4.0000000000000001E-3</v>
      </c>
      <c r="AH83" s="71">
        <v>3.4999999999999996E-3</v>
      </c>
      <c r="AI83" s="71">
        <v>8.9999999999999998E-4</v>
      </c>
      <c r="AJ83" s="71">
        <v>0</v>
      </c>
      <c r="AK83" s="71">
        <v>0</v>
      </c>
      <c r="AL83" s="71">
        <v>0</v>
      </c>
      <c r="AM83" s="71">
        <v>0</v>
      </c>
      <c r="AN83" s="71">
        <v>0</v>
      </c>
      <c r="AO83" s="71">
        <v>0</v>
      </c>
      <c r="AP83" s="71">
        <v>0</v>
      </c>
      <c r="AQ83" s="71">
        <v>0</v>
      </c>
      <c r="AR83" s="71">
        <v>0</v>
      </c>
      <c r="AS83" s="71">
        <v>0</v>
      </c>
      <c r="AT83" s="71">
        <v>0</v>
      </c>
      <c r="AU83" s="71">
        <v>0</v>
      </c>
      <c r="AV83" s="71">
        <v>0</v>
      </c>
    </row>
    <row r="84" spans="2:48" ht="15" customHeight="1">
      <c r="D84" s="38"/>
      <c r="E84" s="89" t="s">
        <v>408</v>
      </c>
      <c r="G84" s="18" t="s">
        <v>21</v>
      </c>
      <c r="I84" s="70" t="str">
        <f xml:space="preserve"> Sources!I$27</f>
        <v>XXII</v>
      </c>
      <c r="J84" s="18">
        <f t="shared" ref="J84:J86" si="16" xml:space="preserve"> SUM(L84:AV84)</f>
        <v>577.5</v>
      </c>
      <c r="K84" s="33"/>
      <c r="L84" s="432"/>
      <c r="M84" s="432"/>
      <c r="N84" s="432"/>
      <c r="O84" s="432"/>
      <c r="P84" s="432"/>
      <c r="Q84" s="432"/>
      <c r="R84" s="432"/>
      <c r="S84" s="432"/>
      <c r="T84" s="432"/>
      <c r="U84" s="432"/>
      <c r="V84" s="432"/>
      <c r="W84" s="432"/>
      <c r="X84" s="432"/>
      <c r="Y84" s="432">
        <v>87.9</v>
      </c>
      <c r="Z84" s="432">
        <v>92.8</v>
      </c>
      <c r="AA84" s="432">
        <v>19.399999999999999</v>
      </c>
      <c r="AB84" s="432">
        <v>103.9</v>
      </c>
      <c r="AC84" s="432">
        <v>104.8</v>
      </c>
      <c r="AD84" s="432">
        <v>80</v>
      </c>
      <c r="AE84" s="432">
        <v>59.3</v>
      </c>
      <c r="AF84" s="432">
        <v>4.3</v>
      </c>
      <c r="AG84" s="432">
        <v>12</v>
      </c>
      <c r="AH84" s="432">
        <v>9.5</v>
      </c>
      <c r="AI84" s="432">
        <v>3.6</v>
      </c>
      <c r="AJ84" s="432">
        <v>0</v>
      </c>
      <c r="AK84" s="432">
        <v>0</v>
      </c>
      <c r="AL84" s="432">
        <v>0</v>
      </c>
      <c r="AM84" s="432">
        <v>0</v>
      </c>
      <c r="AN84" s="432"/>
      <c r="AO84" s="432"/>
      <c r="AP84" s="432"/>
      <c r="AQ84" s="432"/>
      <c r="AR84" s="432"/>
      <c r="AS84" s="432"/>
      <c r="AT84" s="432"/>
      <c r="AU84" s="432"/>
      <c r="AV84" s="432"/>
    </row>
    <row r="85" spans="2:48" ht="15" customHeight="1">
      <c r="D85" s="38"/>
      <c r="E85" s="89" t="s">
        <v>409</v>
      </c>
      <c r="G85" s="18" t="s">
        <v>394</v>
      </c>
      <c r="I85" s="70" t="str">
        <f xml:space="preserve"> Sources!I$27</f>
        <v>XXII</v>
      </c>
      <c r="J85" s="18">
        <f t="shared" si="16"/>
        <v>122.39999999999999</v>
      </c>
      <c r="K85" s="33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>
        <v>11.6</v>
      </c>
      <c r="Z85" s="432">
        <v>12.7</v>
      </c>
      <c r="AA85" s="432">
        <v>5.3</v>
      </c>
      <c r="AB85" s="432">
        <v>22.7</v>
      </c>
      <c r="AC85" s="432">
        <v>23</v>
      </c>
      <c r="AD85" s="432">
        <v>21.9</v>
      </c>
      <c r="AE85" s="432">
        <v>18</v>
      </c>
      <c r="AF85" s="432">
        <v>1.2</v>
      </c>
      <c r="AG85" s="432">
        <v>3.7</v>
      </c>
      <c r="AH85" s="432">
        <v>2.2000000000000002</v>
      </c>
      <c r="AI85" s="432">
        <v>0.1</v>
      </c>
      <c r="AJ85" s="432">
        <v>0</v>
      </c>
      <c r="AK85" s="432">
        <v>0</v>
      </c>
      <c r="AL85" s="432">
        <v>0</v>
      </c>
      <c r="AM85" s="432">
        <v>0</v>
      </c>
      <c r="AN85" s="432"/>
      <c r="AO85" s="432"/>
      <c r="AP85" s="432"/>
      <c r="AQ85" s="432"/>
      <c r="AR85" s="432"/>
      <c r="AS85" s="432"/>
      <c r="AT85" s="432"/>
      <c r="AU85" s="432"/>
      <c r="AV85" s="432"/>
    </row>
    <row r="86" spans="2:48" ht="15" customHeight="1">
      <c r="D86" s="38"/>
      <c r="E86" s="89" t="s">
        <v>416</v>
      </c>
      <c r="G86" s="18" t="s">
        <v>237</v>
      </c>
      <c r="I86" s="70" t="str">
        <f xml:space="preserve"> Sources!I$27</f>
        <v>XXII</v>
      </c>
      <c r="J86" s="18">
        <f t="shared" si="16"/>
        <v>158</v>
      </c>
      <c r="K86" s="33"/>
      <c r="L86" s="432"/>
      <c r="M86" s="432"/>
      <c r="N86" s="432"/>
      <c r="O86" s="432"/>
      <c r="P86" s="432"/>
      <c r="Q86" s="432"/>
      <c r="R86" s="432"/>
      <c r="S86" s="432"/>
      <c r="T86" s="432"/>
      <c r="U86" s="432"/>
      <c r="V86" s="432"/>
      <c r="W86" s="432"/>
      <c r="X86" s="432"/>
      <c r="Y86" s="432">
        <v>22.4</v>
      </c>
      <c r="Z86" s="432">
        <v>22.6</v>
      </c>
      <c r="AA86" s="432">
        <v>19.3</v>
      </c>
      <c r="AB86" s="432">
        <v>21.6</v>
      </c>
      <c r="AC86" s="432">
        <v>21.4</v>
      </c>
      <c r="AD86" s="432">
        <v>26.7</v>
      </c>
      <c r="AE86" s="432">
        <v>24</v>
      </c>
      <c r="AF86" s="432">
        <v>0</v>
      </c>
      <c r="AG86" s="432">
        <v>0</v>
      </c>
      <c r="AH86" s="432">
        <v>0</v>
      </c>
      <c r="AI86" s="432">
        <v>0</v>
      </c>
      <c r="AJ86" s="432">
        <v>0</v>
      </c>
      <c r="AK86" s="432">
        <v>0</v>
      </c>
      <c r="AL86" s="432">
        <v>0</v>
      </c>
      <c r="AM86" s="432">
        <v>0</v>
      </c>
      <c r="AN86" s="432"/>
      <c r="AO86" s="432"/>
      <c r="AP86" s="432"/>
      <c r="AQ86" s="432"/>
      <c r="AR86" s="432"/>
      <c r="AS86" s="432"/>
      <c r="AT86" s="432"/>
      <c r="AU86" s="432"/>
      <c r="AV86" s="432"/>
    </row>
    <row r="87" spans="2:48" s="3" customFormat="1" ht="15" customHeight="1"/>
    <row r="88" spans="2:48" ht="15" customHeight="1">
      <c r="D88" s="38"/>
      <c r="E88" s="18" t="s">
        <v>410</v>
      </c>
      <c r="G88" s="18" t="s">
        <v>26</v>
      </c>
      <c r="I88" s="18"/>
      <c r="K88" s="33"/>
      <c r="L88" s="78">
        <f t="shared" ref="L88:AV88" si="17" xml:space="preserve"> IFERROR(L84 / (L81 * L82 * 10^3), 0)</f>
        <v>0</v>
      </c>
      <c r="M88" s="78">
        <f t="shared" si="17"/>
        <v>0</v>
      </c>
      <c r="N88" s="78">
        <f t="shared" si="17"/>
        <v>0</v>
      </c>
      <c r="O88" s="78">
        <f t="shared" si="17"/>
        <v>0</v>
      </c>
      <c r="P88" s="78">
        <f t="shared" si="17"/>
        <v>0</v>
      </c>
      <c r="Q88" s="78">
        <f t="shared" si="17"/>
        <v>0</v>
      </c>
      <c r="R88" s="78">
        <f t="shared" si="17"/>
        <v>0</v>
      </c>
      <c r="S88" s="78">
        <f t="shared" si="17"/>
        <v>0</v>
      </c>
      <c r="T88" s="78">
        <f t="shared" si="17"/>
        <v>0</v>
      </c>
      <c r="U88" s="78">
        <f t="shared" si="17"/>
        <v>0</v>
      </c>
      <c r="V88" s="78">
        <f t="shared" si="17"/>
        <v>0</v>
      </c>
      <c r="W88" s="78">
        <f t="shared" si="17"/>
        <v>0</v>
      </c>
      <c r="X88" s="78">
        <f t="shared" si="17"/>
        <v>0</v>
      </c>
      <c r="Y88" s="78">
        <f t="shared" si="17"/>
        <v>0.83906071019473083</v>
      </c>
      <c r="Z88" s="78">
        <f t="shared" si="17"/>
        <v>0.85973689086529548</v>
      </c>
      <c r="AA88" s="78">
        <f t="shared" si="17"/>
        <v>0.8527472527472526</v>
      </c>
      <c r="AB88" s="78">
        <f t="shared" si="17"/>
        <v>0.85024549918166947</v>
      </c>
      <c r="AC88" s="78">
        <f t="shared" si="17"/>
        <v>0.85037325543654652</v>
      </c>
      <c r="AD88" s="78">
        <f t="shared" si="17"/>
        <v>0.85561497326203206</v>
      </c>
      <c r="AE88" s="78">
        <f t="shared" si="17"/>
        <v>0.85201149425287359</v>
      </c>
      <c r="AF88" s="78">
        <f t="shared" si="17"/>
        <v>0.85999999999999976</v>
      </c>
      <c r="AG88" s="78">
        <f t="shared" si="17"/>
        <v>0.8658008658008659</v>
      </c>
      <c r="AH88" s="78">
        <f t="shared" si="17"/>
        <v>0.81196581196581197</v>
      </c>
      <c r="AI88" s="78">
        <f t="shared" si="17"/>
        <v>0.92783505154639168</v>
      </c>
      <c r="AJ88" s="78">
        <f t="shared" si="17"/>
        <v>0</v>
      </c>
      <c r="AK88" s="78">
        <f t="shared" si="17"/>
        <v>0</v>
      </c>
      <c r="AL88" s="78">
        <f t="shared" si="17"/>
        <v>0</v>
      </c>
      <c r="AM88" s="78">
        <f t="shared" si="17"/>
        <v>0</v>
      </c>
      <c r="AN88" s="78">
        <f t="shared" si="17"/>
        <v>0</v>
      </c>
      <c r="AO88" s="78">
        <f t="shared" si="17"/>
        <v>0</v>
      </c>
      <c r="AP88" s="78">
        <f t="shared" si="17"/>
        <v>0</v>
      </c>
      <c r="AQ88" s="78">
        <f t="shared" si="17"/>
        <v>0</v>
      </c>
      <c r="AR88" s="78">
        <f t="shared" si="17"/>
        <v>0</v>
      </c>
      <c r="AS88" s="78">
        <f t="shared" si="17"/>
        <v>0</v>
      </c>
      <c r="AT88" s="78">
        <f t="shared" si="17"/>
        <v>0</v>
      </c>
      <c r="AU88" s="78">
        <f t="shared" si="17"/>
        <v>0</v>
      </c>
      <c r="AV88" s="78">
        <f t="shared" si="17"/>
        <v>0</v>
      </c>
    </row>
    <row r="89" spans="2:48" ht="15" customHeight="1">
      <c r="D89" s="38"/>
      <c r="E89" s="18" t="s">
        <v>411</v>
      </c>
      <c r="G89" s="18" t="s">
        <v>26</v>
      </c>
      <c r="I89" s="18"/>
      <c r="K89" s="33"/>
      <c r="L89" s="78">
        <f t="shared" ref="L89:AV89" si="18" xml:space="preserve"> IFERROR(L85 / (L81 * L83 * 10^3), 0)</f>
        <v>0</v>
      </c>
      <c r="M89" s="78">
        <f t="shared" si="18"/>
        <v>0</v>
      </c>
      <c r="N89" s="78">
        <f t="shared" si="18"/>
        <v>0</v>
      </c>
      <c r="O89" s="78">
        <f t="shared" si="18"/>
        <v>0</v>
      </c>
      <c r="P89" s="78">
        <f t="shared" si="18"/>
        <v>0</v>
      </c>
      <c r="Q89" s="78">
        <f t="shared" si="18"/>
        <v>0</v>
      </c>
      <c r="R89" s="78">
        <f t="shared" si="18"/>
        <v>0</v>
      </c>
      <c r="S89" s="78">
        <f t="shared" si="18"/>
        <v>0</v>
      </c>
      <c r="T89" s="78">
        <f t="shared" si="18"/>
        <v>0</v>
      </c>
      <c r="U89" s="78">
        <f t="shared" si="18"/>
        <v>0</v>
      </c>
      <c r="V89" s="78">
        <f t="shared" si="18"/>
        <v>0</v>
      </c>
      <c r="W89" s="78">
        <f t="shared" si="18"/>
        <v>0</v>
      </c>
      <c r="X89" s="78">
        <f t="shared" si="18"/>
        <v>0</v>
      </c>
      <c r="Y89" s="78">
        <f t="shared" si="18"/>
        <v>0.64444444444444426</v>
      </c>
      <c r="Z89" s="78">
        <f t="shared" si="18"/>
        <v>0.65734989648033126</v>
      </c>
      <c r="AA89" s="78">
        <f t="shared" si="18"/>
        <v>0.64713064713064705</v>
      </c>
      <c r="AB89" s="78">
        <f t="shared" si="18"/>
        <v>0.65154994259471866</v>
      </c>
      <c r="AC89" s="78">
        <f t="shared" si="18"/>
        <v>0.65045248868778283</v>
      </c>
      <c r="AD89" s="78">
        <f t="shared" si="18"/>
        <v>0.65373134328358207</v>
      </c>
      <c r="AE89" s="78">
        <f t="shared" si="18"/>
        <v>0.65217391304347827</v>
      </c>
      <c r="AF89" s="78">
        <f t="shared" si="18"/>
        <v>0.68181818181818166</v>
      </c>
      <c r="AG89" s="78">
        <f t="shared" si="18"/>
        <v>0.66071428571428581</v>
      </c>
      <c r="AH89" s="78">
        <f t="shared" si="18"/>
        <v>0.62857142857142867</v>
      </c>
      <c r="AI89" s="78">
        <f t="shared" si="18"/>
        <v>0.55555555555555547</v>
      </c>
      <c r="AJ89" s="78">
        <f t="shared" si="18"/>
        <v>0</v>
      </c>
      <c r="AK89" s="78">
        <f t="shared" si="18"/>
        <v>0</v>
      </c>
      <c r="AL89" s="78">
        <f t="shared" si="18"/>
        <v>0</v>
      </c>
      <c r="AM89" s="78">
        <f t="shared" si="18"/>
        <v>0</v>
      </c>
      <c r="AN89" s="78">
        <f t="shared" si="18"/>
        <v>0</v>
      </c>
      <c r="AO89" s="78">
        <f t="shared" si="18"/>
        <v>0</v>
      </c>
      <c r="AP89" s="78">
        <f t="shared" si="18"/>
        <v>0</v>
      </c>
      <c r="AQ89" s="78">
        <f t="shared" si="18"/>
        <v>0</v>
      </c>
      <c r="AR89" s="78">
        <f t="shared" si="18"/>
        <v>0</v>
      </c>
      <c r="AS89" s="78">
        <f t="shared" si="18"/>
        <v>0</v>
      </c>
      <c r="AT89" s="78">
        <f t="shared" si="18"/>
        <v>0</v>
      </c>
      <c r="AU89" s="78">
        <f t="shared" si="18"/>
        <v>0</v>
      </c>
      <c r="AV89" s="78">
        <f t="shared" si="18"/>
        <v>0</v>
      </c>
    </row>
    <row r="90" spans="2:48" ht="15" customHeight="1">
      <c r="D90" s="38"/>
      <c r="I90" s="18"/>
      <c r="K90" s="33"/>
    </row>
    <row r="91" spans="2:48" ht="15" customHeight="1">
      <c r="B91" s="16" t="s">
        <v>418</v>
      </c>
      <c r="D91" s="38"/>
      <c r="I91" s="18"/>
      <c r="K91" s="33"/>
    </row>
    <row r="92" spans="2:48" ht="15" customHeight="1">
      <c r="C92" s="17" t="s">
        <v>11</v>
      </c>
      <c r="D92" s="38"/>
      <c r="I92" s="18"/>
      <c r="K92" s="33"/>
    </row>
    <row r="93" spans="2:48" ht="15" customHeight="1">
      <c r="D93" s="38"/>
      <c r="E93" s="18" t="s">
        <v>419</v>
      </c>
      <c r="G93" s="18" t="s">
        <v>21</v>
      </c>
      <c r="I93" s="18"/>
      <c r="J93" s="18">
        <f xml:space="preserve"> SUM(L93:AV93)</f>
        <v>4141.05</v>
      </c>
      <c r="K93" s="33"/>
      <c r="L93" s="3">
        <f t="shared" ref="L93:AV93" si="19" xml:space="preserve"> (L46 * L47 + L58 * L59 + L70 * L71 + L81 * L82) * 10^3</f>
        <v>0</v>
      </c>
      <c r="M93" s="3">
        <f t="shared" si="19"/>
        <v>0</v>
      </c>
      <c r="N93" s="3">
        <f t="shared" si="19"/>
        <v>0</v>
      </c>
      <c r="O93" s="3">
        <f t="shared" si="19"/>
        <v>0</v>
      </c>
      <c r="P93" s="3">
        <f t="shared" si="19"/>
        <v>0</v>
      </c>
      <c r="Q93" s="3">
        <f t="shared" si="19"/>
        <v>0</v>
      </c>
      <c r="R93" s="3">
        <f t="shared" si="19"/>
        <v>0</v>
      </c>
      <c r="S93" s="3">
        <f t="shared" si="19"/>
        <v>0</v>
      </c>
      <c r="T93" s="3">
        <f t="shared" si="19"/>
        <v>0</v>
      </c>
      <c r="U93" s="3">
        <f t="shared" si="19"/>
        <v>0</v>
      </c>
      <c r="V93" s="3">
        <f t="shared" si="19"/>
        <v>0</v>
      </c>
      <c r="W93" s="3">
        <f t="shared" si="19"/>
        <v>0</v>
      </c>
      <c r="X93" s="3">
        <f t="shared" si="19"/>
        <v>0</v>
      </c>
      <c r="Y93" s="3">
        <f t="shared" si="19"/>
        <v>256.35000000000002</v>
      </c>
      <c r="Z93" s="3">
        <f t="shared" si="19"/>
        <v>300.59999999999997</v>
      </c>
      <c r="AA93" s="3">
        <f t="shared" si="19"/>
        <v>345.49</v>
      </c>
      <c r="AB93" s="3">
        <f t="shared" si="19"/>
        <v>361.24</v>
      </c>
      <c r="AC93" s="3">
        <f t="shared" si="19"/>
        <v>361.98</v>
      </c>
      <c r="AD93" s="3">
        <f t="shared" si="19"/>
        <v>361.19</v>
      </c>
      <c r="AE93" s="3">
        <f t="shared" si="19"/>
        <v>363.29</v>
      </c>
      <c r="AF93" s="3">
        <f t="shared" si="19"/>
        <v>360.36</v>
      </c>
      <c r="AG93" s="3">
        <f t="shared" si="19"/>
        <v>360.92</v>
      </c>
      <c r="AH93" s="3">
        <f t="shared" si="19"/>
        <v>360.90000000000003</v>
      </c>
      <c r="AI93" s="3">
        <f t="shared" si="19"/>
        <v>218.85999999999999</v>
      </c>
      <c r="AJ93" s="3">
        <f t="shared" si="19"/>
        <v>121.2</v>
      </c>
      <c r="AK93" s="3">
        <f t="shared" si="19"/>
        <v>123.35</v>
      </c>
      <c r="AL93" s="3">
        <f t="shared" si="19"/>
        <v>129.15</v>
      </c>
      <c r="AM93" s="3">
        <f t="shared" si="19"/>
        <v>82.809999999999988</v>
      </c>
      <c r="AN93" s="3">
        <f t="shared" si="19"/>
        <v>33.36</v>
      </c>
      <c r="AO93" s="3">
        <f t="shared" si="19"/>
        <v>0</v>
      </c>
      <c r="AP93" s="3">
        <f t="shared" si="19"/>
        <v>0</v>
      </c>
      <c r="AQ93" s="3">
        <f t="shared" si="19"/>
        <v>0</v>
      </c>
      <c r="AR93" s="3">
        <f t="shared" si="19"/>
        <v>0</v>
      </c>
      <c r="AS93" s="3">
        <f t="shared" si="19"/>
        <v>0</v>
      </c>
      <c r="AT93" s="3">
        <f t="shared" si="19"/>
        <v>0</v>
      </c>
      <c r="AU93" s="3">
        <f t="shared" si="19"/>
        <v>0</v>
      </c>
      <c r="AV93" s="3">
        <f t="shared" si="19"/>
        <v>0</v>
      </c>
    </row>
    <row r="94" spans="2:48" ht="15" customHeight="1">
      <c r="D94" s="38"/>
      <c r="E94" s="18" t="s">
        <v>420</v>
      </c>
      <c r="G94" s="18" t="s">
        <v>21</v>
      </c>
      <c r="I94" s="18"/>
      <c r="J94" s="18">
        <f xml:space="preserve"> SUM(L94:AV94)</f>
        <v>3436.3999999999996</v>
      </c>
      <c r="K94" s="33"/>
      <c r="L94" s="93">
        <f t="shared" ref="L94:AV94" si="20" xml:space="preserve"> SUM(L51, L63, L73, L84)</f>
        <v>0</v>
      </c>
      <c r="M94" s="93">
        <f t="shared" si="20"/>
        <v>0</v>
      </c>
      <c r="N94" s="93">
        <f t="shared" si="20"/>
        <v>0</v>
      </c>
      <c r="O94" s="93">
        <f t="shared" si="20"/>
        <v>0</v>
      </c>
      <c r="P94" s="93">
        <f t="shared" si="20"/>
        <v>0</v>
      </c>
      <c r="Q94" s="93">
        <f t="shared" si="20"/>
        <v>0</v>
      </c>
      <c r="R94" s="93">
        <f t="shared" si="20"/>
        <v>0</v>
      </c>
      <c r="S94" s="93">
        <f t="shared" si="20"/>
        <v>0</v>
      </c>
      <c r="T94" s="93">
        <f t="shared" si="20"/>
        <v>0</v>
      </c>
      <c r="U94" s="93">
        <f t="shared" si="20"/>
        <v>0</v>
      </c>
      <c r="V94" s="93">
        <f t="shared" si="20"/>
        <v>0</v>
      </c>
      <c r="W94" s="93">
        <f t="shared" si="20"/>
        <v>0</v>
      </c>
      <c r="X94" s="93">
        <f t="shared" si="20"/>
        <v>0</v>
      </c>
      <c r="Y94" s="93">
        <f t="shared" si="20"/>
        <v>215.60000000000002</v>
      </c>
      <c r="Z94" s="93">
        <f t="shared" si="20"/>
        <v>256.2</v>
      </c>
      <c r="AA94" s="93">
        <f t="shared" si="20"/>
        <v>289.29999999999995</v>
      </c>
      <c r="AB94" s="93">
        <f t="shared" si="20"/>
        <v>299.3</v>
      </c>
      <c r="AC94" s="93">
        <f t="shared" si="20"/>
        <v>299.8</v>
      </c>
      <c r="AD94" s="93">
        <f t="shared" si="20"/>
        <v>300.89999999999998</v>
      </c>
      <c r="AE94" s="93">
        <f t="shared" si="20"/>
        <v>300</v>
      </c>
      <c r="AF94" s="93">
        <f t="shared" si="20"/>
        <v>299.90000000000003</v>
      </c>
      <c r="AG94" s="93">
        <f t="shared" si="20"/>
        <v>299.89999999999998</v>
      </c>
      <c r="AH94" s="93">
        <f t="shared" si="20"/>
        <v>300.89999999999998</v>
      </c>
      <c r="AI94" s="93">
        <f t="shared" si="20"/>
        <v>179.9</v>
      </c>
      <c r="AJ94" s="93">
        <f t="shared" si="20"/>
        <v>97.4</v>
      </c>
      <c r="AK94" s="93">
        <f t="shared" si="20"/>
        <v>99.7</v>
      </c>
      <c r="AL94" s="93">
        <f t="shared" si="20"/>
        <v>103.19999999999999</v>
      </c>
      <c r="AM94" s="93">
        <f t="shared" si="20"/>
        <v>67.5</v>
      </c>
      <c r="AN94" s="93">
        <f t="shared" si="20"/>
        <v>25.700000000000003</v>
      </c>
      <c r="AO94" s="93">
        <f t="shared" si="20"/>
        <v>1.2</v>
      </c>
      <c r="AP94" s="93">
        <f t="shared" si="20"/>
        <v>0</v>
      </c>
      <c r="AQ94" s="93">
        <f t="shared" si="20"/>
        <v>0</v>
      </c>
      <c r="AR94" s="93">
        <f t="shared" si="20"/>
        <v>0</v>
      </c>
      <c r="AS94" s="93">
        <f t="shared" si="20"/>
        <v>0</v>
      </c>
      <c r="AT94" s="93">
        <f t="shared" si="20"/>
        <v>0</v>
      </c>
      <c r="AU94" s="93">
        <f t="shared" si="20"/>
        <v>0</v>
      </c>
      <c r="AV94" s="93">
        <f t="shared" si="20"/>
        <v>0</v>
      </c>
    </row>
    <row r="95" spans="2:48" ht="15" customHeight="1">
      <c r="D95" s="38"/>
      <c r="E95" s="18" t="s">
        <v>421</v>
      </c>
      <c r="G95" s="18" t="s">
        <v>26</v>
      </c>
      <c r="I95" s="18"/>
      <c r="J95" s="78">
        <f xml:space="preserve"> J94 / J93</f>
        <v>0.82983784305912744</v>
      </c>
      <c r="K95" s="33"/>
      <c r="L95" s="78">
        <f t="shared" ref="L95:AV95" si="21" xml:space="preserve"> IFERROR(L94 / L93, 0)</f>
        <v>0</v>
      </c>
      <c r="M95" s="78">
        <f t="shared" si="21"/>
        <v>0</v>
      </c>
      <c r="N95" s="78">
        <f t="shared" si="21"/>
        <v>0</v>
      </c>
      <c r="O95" s="78">
        <f t="shared" si="21"/>
        <v>0</v>
      </c>
      <c r="P95" s="78">
        <f t="shared" si="21"/>
        <v>0</v>
      </c>
      <c r="Q95" s="78">
        <f t="shared" si="21"/>
        <v>0</v>
      </c>
      <c r="R95" s="78">
        <f t="shared" si="21"/>
        <v>0</v>
      </c>
      <c r="S95" s="78">
        <f t="shared" si="21"/>
        <v>0</v>
      </c>
      <c r="T95" s="78">
        <f t="shared" si="21"/>
        <v>0</v>
      </c>
      <c r="U95" s="78">
        <f t="shared" si="21"/>
        <v>0</v>
      </c>
      <c r="V95" s="78">
        <f t="shared" si="21"/>
        <v>0</v>
      </c>
      <c r="W95" s="78">
        <f t="shared" si="21"/>
        <v>0</v>
      </c>
      <c r="X95" s="78">
        <f t="shared" si="21"/>
        <v>0</v>
      </c>
      <c r="Y95" s="78">
        <f t="shared" si="21"/>
        <v>0.84103764384630386</v>
      </c>
      <c r="Z95" s="78">
        <f t="shared" si="21"/>
        <v>0.85229540918163682</v>
      </c>
      <c r="AA95" s="78">
        <f t="shared" si="21"/>
        <v>0.83736142869547581</v>
      </c>
      <c r="AB95" s="78">
        <f t="shared" si="21"/>
        <v>0.82853504595282912</v>
      </c>
      <c r="AC95" s="78">
        <f t="shared" si="21"/>
        <v>0.8282225537322504</v>
      </c>
      <c r="AD95" s="78">
        <f t="shared" si="21"/>
        <v>0.83307954262299611</v>
      </c>
      <c r="AE95" s="78">
        <f t="shared" si="21"/>
        <v>0.82578656170001918</v>
      </c>
      <c r="AF95" s="78">
        <f t="shared" si="21"/>
        <v>0.83222333222333233</v>
      </c>
      <c r="AG95" s="78">
        <f t="shared" si="21"/>
        <v>0.83093206250692664</v>
      </c>
      <c r="AH95" s="78">
        <f t="shared" si="21"/>
        <v>0.8337489609310057</v>
      </c>
      <c r="AI95" s="78">
        <f t="shared" si="21"/>
        <v>0.82198665813762228</v>
      </c>
      <c r="AJ95" s="78">
        <f t="shared" si="21"/>
        <v>0.80363036303630364</v>
      </c>
      <c r="AK95" s="78">
        <f t="shared" si="21"/>
        <v>0.80826915281718692</v>
      </c>
      <c r="AL95" s="78">
        <f t="shared" si="21"/>
        <v>0.79907084785133553</v>
      </c>
      <c r="AM95" s="78">
        <f t="shared" si="21"/>
        <v>0.81511894698707898</v>
      </c>
      <c r="AN95" s="78">
        <f t="shared" si="21"/>
        <v>0.77038369304556364</v>
      </c>
      <c r="AO95" s="78">
        <f t="shared" si="21"/>
        <v>0</v>
      </c>
      <c r="AP95" s="78">
        <f t="shared" si="21"/>
        <v>0</v>
      </c>
      <c r="AQ95" s="78">
        <f t="shared" si="21"/>
        <v>0</v>
      </c>
      <c r="AR95" s="78">
        <f t="shared" si="21"/>
        <v>0</v>
      </c>
      <c r="AS95" s="78">
        <f t="shared" si="21"/>
        <v>0</v>
      </c>
      <c r="AT95" s="78">
        <f t="shared" si="21"/>
        <v>0</v>
      </c>
      <c r="AU95" s="78">
        <f t="shared" si="21"/>
        <v>0</v>
      </c>
      <c r="AV95" s="78">
        <f t="shared" si="21"/>
        <v>0</v>
      </c>
    </row>
    <row r="96" spans="2:48" ht="15" customHeight="1">
      <c r="D96" s="38"/>
      <c r="I96" s="18"/>
      <c r="K96" s="33"/>
    </row>
    <row r="97" spans="2:48" ht="15" customHeight="1">
      <c r="C97" s="17" t="s">
        <v>15</v>
      </c>
      <c r="D97" s="38"/>
      <c r="I97" s="18"/>
      <c r="K97" s="33"/>
    </row>
    <row r="98" spans="2:48" ht="15" customHeight="1">
      <c r="D98" s="38"/>
      <c r="E98" s="18" t="s">
        <v>422</v>
      </c>
      <c r="G98" s="18" t="s">
        <v>394</v>
      </c>
      <c r="I98" s="18"/>
      <c r="J98" s="18">
        <f xml:space="preserve"> SUM(L98:AV98)</f>
        <v>676.47000000000014</v>
      </c>
      <c r="K98" s="33"/>
      <c r="L98" s="3">
        <f t="shared" ref="L98:AV98" si="22" xml:space="preserve"> (L46 * L48 + L58 * L60 + L70 * L72 + L81 * L83) * 10^3</f>
        <v>0</v>
      </c>
      <c r="M98" s="3">
        <f t="shared" si="22"/>
        <v>0</v>
      </c>
      <c r="N98" s="3">
        <f t="shared" si="22"/>
        <v>0</v>
      </c>
      <c r="O98" s="3">
        <f t="shared" si="22"/>
        <v>0</v>
      </c>
      <c r="P98" s="3">
        <f t="shared" si="22"/>
        <v>0</v>
      </c>
      <c r="Q98" s="3">
        <f t="shared" si="22"/>
        <v>0</v>
      </c>
      <c r="R98" s="3">
        <f t="shared" si="22"/>
        <v>0</v>
      </c>
      <c r="S98" s="3">
        <f t="shared" si="22"/>
        <v>0</v>
      </c>
      <c r="T98" s="3">
        <f t="shared" si="22"/>
        <v>0</v>
      </c>
      <c r="U98" s="3">
        <f t="shared" si="22"/>
        <v>0</v>
      </c>
      <c r="V98" s="3">
        <f t="shared" si="22"/>
        <v>0</v>
      </c>
      <c r="W98" s="3">
        <f t="shared" si="22"/>
        <v>0</v>
      </c>
      <c r="X98" s="3">
        <f t="shared" si="22"/>
        <v>0</v>
      </c>
      <c r="Y98" s="3">
        <f t="shared" si="22"/>
        <v>38.570000000000007</v>
      </c>
      <c r="Z98" s="3">
        <f t="shared" si="22"/>
        <v>44.99</v>
      </c>
      <c r="AA98" s="3">
        <f t="shared" si="22"/>
        <v>59.45</v>
      </c>
      <c r="AB98" s="3">
        <f t="shared" si="22"/>
        <v>62.580000000000013</v>
      </c>
      <c r="AC98" s="3">
        <f t="shared" si="22"/>
        <v>64.790000000000006</v>
      </c>
      <c r="AD98" s="3">
        <f t="shared" si="22"/>
        <v>69.37</v>
      </c>
      <c r="AE98" s="3">
        <f t="shared" si="22"/>
        <v>65.25</v>
      </c>
      <c r="AF98" s="3">
        <f t="shared" si="22"/>
        <v>57.679999999999993</v>
      </c>
      <c r="AG98" s="3">
        <f t="shared" si="22"/>
        <v>55.92</v>
      </c>
      <c r="AH98" s="3">
        <f t="shared" si="22"/>
        <v>46.7</v>
      </c>
      <c r="AI98" s="3">
        <f t="shared" si="22"/>
        <v>29.19</v>
      </c>
      <c r="AJ98" s="3">
        <f t="shared" si="22"/>
        <v>19.650000000000002</v>
      </c>
      <c r="AK98" s="3">
        <f t="shared" si="22"/>
        <v>23.5</v>
      </c>
      <c r="AL98" s="3">
        <f t="shared" si="22"/>
        <v>22.75</v>
      </c>
      <c r="AM98" s="3">
        <f t="shared" si="22"/>
        <v>11.73</v>
      </c>
      <c r="AN98" s="3">
        <f t="shared" si="22"/>
        <v>4.3499999999999996</v>
      </c>
      <c r="AO98" s="3">
        <f t="shared" si="22"/>
        <v>0</v>
      </c>
      <c r="AP98" s="3">
        <f t="shared" si="22"/>
        <v>0</v>
      </c>
      <c r="AQ98" s="3">
        <f t="shared" si="22"/>
        <v>0</v>
      </c>
      <c r="AR98" s="3">
        <f t="shared" si="22"/>
        <v>0</v>
      </c>
      <c r="AS98" s="3">
        <f t="shared" si="22"/>
        <v>0</v>
      </c>
      <c r="AT98" s="3">
        <f t="shared" si="22"/>
        <v>0</v>
      </c>
      <c r="AU98" s="3">
        <f t="shared" si="22"/>
        <v>0</v>
      </c>
      <c r="AV98" s="3">
        <f t="shared" si="22"/>
        <v>0</v>
      </c>
    </row>
    <row r="99" spans="2:48" ht="15" customHeight="1">
      <c r="D99" s="38"/>
      <c r="E99" s="18" t="s">
        <v>423</v>
      </c>
      <c r="G99" s="18" t="s">
        <v>394</v>
      </c>
      <c r="I99" s="18"/>
      <c r="J99" s="18">
        <f xml:space="preserve"> SUM(L99:AV99)</f>
        <v>439.30000000000007</v>
      </c>
      <c r="K99" s="33"/>
      <c r="L99" s="93">
        <f t="shared" ref="L99:AV99" si="23" xml:space="preserve"> SUM(L52, L64, L74, L85)</f>
        <v>0</v>
      </c>
      <c r="M99" s="93">
        <f t="shared" si="23"/>
        <v>0</v>
      </c>
      <c r="N99" s="93">
        <f t="shared" si="23"/>
        <v>0</v>
      </c>
      <c r="O99" s="93">
        <f t="shared" si="23"/>
        <v>0</v>
      </c>
      <c r="P99" s="93">
        <f t="shared" si="23"/>
        <v>0</v>
      </c>
      <c r="Q99" s="93">
        <f t="shared" si="23"/>
        <v>0</v>
      </c>
      <c r="R99" s="93">
        <f t="shared" si="23"/>
        <v>0</v>
      </c>
      <c r="S99" s="93">
        <f t="shared" si="23"/>
        <v>0</v>
      </c>
      <c r="T99" s="93">
        <f t="shared" si="23"/>
        <v>0</v>
      </c>
      <c r="U99" s="93">
        <f t="shared" si="23"/>
        <v>0</v>
      </c>
      <c r="V99" s="93">
        <f t="shared" si="23"/>
        <v>0</v>
      </c>
      <c r="W99" s="93">
        <f t="shared" si="23"/>
        <v>0</v>
      </c>
      <c r="X99" s="93">
        <f t="shared" si="23"/>
        <v>0</v>
      </c>
      <c r="Y99" s="93">
        <f t="shared" si="23"/>
        <v>25</v>
      </c>
      <c r="Z99" s="93">
        <f t="shared" si="23"/>
        <v>29.5</v>
      </c>
      <c r="AA99" s="93">
        <f t="shared" si="23"/>
        <v>38.4</v>
      </c>
      <c r="AB99" s="93">
        <f t="shared" si="23"/>
        <v>40.5</v>
      </c>
      <c r="AC99" s="93">
        <f t="shared" si="23"/>
        <v>42</v>
      </c>
      <c r="AD99" s="93">
        <f t="shared" si="23"/>
        <v>45.2</v>
      </c>
      <c r="AE99" s="93">
        <f t="shared" si="23"/>
        <v>42.3</v>
      </c>
      <c r="AF99" s="93">
        <f t="shared" si="23"/>
        <v>37.400000000000006</v>
      </c>
      <c r="AG99" s="93">
        <f t="shared" si="23"/>
        <v>36.200000000000003</v>
      </c>
      <c r="AH99" s="93">
        <f t="shared" si="23"/>
        <v>30.4</v>
      </c>
      <c r="AI99" s="93">
        <f t="shared" si="23"/>
        <v>19.100000000000001</v>
      </c>
      <c r="AJ99" s="93">
        <f t="shared" si="23"/>
        <v>12.8</v>
      </c>
      <c r="AK99" s="93">
        <f t="shared" si="23"/>
        <v>15.4</v>
      </c>
      <c r="AL99" s="93">
        <f t="shared" si="23"/>
        <v>14.7</v>
      </c>
      <c r="AM99" s="93">
        <f t="shared" si="23"/>
        <v>7.6999999999999993</v>
      </c>
      <c r="AN99" s="93">
        <f t="shared" si="23"/>
        <v>2.5999999999999996</v>
      </c>
      <c r="AO99" s="93">
        <f t="shared" si="23"/>
        <v>0.1</v>
      </c>
      <c r="AP99" s="93">
        <f t="shared" si="23"/>
        <v>0</v>
      </c>
      <c r="AQ99" s="93">
        <f t="shared" si="23"/>
        <v>0</v>
      </c>
      <c r="AR99" s="93">
        <f t="shared" si="23"/>
        <v>0</v>
      </c>
      <c r="AS99" s="93">
        <f t="shared" si="23"/>
        <v>0</v>
      </c>
      <c r="AT99" s="93">
        <f t="shared" si="23"/>
        <v>0</v>
      </c>
      <c r="AU99" s="93">
        <f t="shared" si="23"/>
        <v>0</v>
      </c>
      <c r="AV99" s="93">
        <f t="shared" si="23"/>
        <v>0</v>
      </c>
    </row>
    <row r="100" spans="2:48" ht="15" customHeight="1">
      <c r="D100" s="38"/>
      <c r="E100" s="18" t="s">
        <v>424</v>
      </c>
      <c r="G100" s="18" t="s">
        <v>26</v>
      </c>
      <c r="I100" s="18"/>
      <c r="J100" s="78">
        <f xml:space="preserve"> J99 / J98</f>
        <v>0.64940056469614316</v>
      </c>
      <c r="K100" s="33"/>
      <c r="L100" s="78">
        <f t="shared" ref="L100" si="24" xml:space="preserve"> IFERROR(L99 / L98, 0)</f>
        <v>0</v>
      </c>
      <c r="M100" s="78">
        <f t="shared" ref="M100" si="25" xml:space="preserve"> IFERROR(M99 / M98, 0)</f>
        <v>0</v>
      </c>
      <c r="N100" s="78">
        <f t="shared" ref="N100" si="26" xml:space="preserve"> IFERROR(N99 / N98, 0)</f>
        <v>0</v>
      </c>
      <c r="O100" s="78">
        <f t="shared" ref="O100" si="27" xml:space="preserve"> IFERROR(O99 / O98, 0)</f>
        <v>0</v>
      </c>
      <c r="P100" s="78">
        <f t="shared" ref="P100" si="28" xml:space="preserve"> IFERROR(P99 / P98, 0)</f>
        <v>0</v>
      </c>
      <c r="Q100" s="78">
        <f t="shared" ref="Q100" si="29" xml:space="preserve"> IFERROR(Q99 / Q98, 0)</f>
        <v>0</v>
      </c>
      <c r="R100" s="78">
        <f t="shared" ref="R100" si="30" xml:space="preserve"> IFERROR(R99 / R98, 0)</f>
        <v>0</v>
      </c>
      <c r="S100" s="78">
        <f t="shared" ref="S100" si="31" xml:space="preserve"> IFERROR(S99 / S98, 0)</f>
        <v>0</v>
      </c>
      <c r="T100" s="78">
        <f t="shared" ref="T100" si="32" xml:space="preserve"> IFERROR(T99 / T98, 0)</f>
        <v>0</v>
      </c>
      <c r="U100" s="78">
        <f t="shared" ref="U100" si="33" xml:space="preserve"> IFERROR(U99 / U98, 0)</f>
        <v>0</v>
      </c>
      <c r="V100" s="78">
        <f t="shared" ref="V100" si="34" xml:space="preserve"> IFERROR(V99 / V98, 0)</f>
        <v>0</v>
      </c>
      <c r="W100" s="78">
        <f t="shared" ref="W100" si="35" xml:space="preserve"> IFERROR(W99 / W98, 0)</f>
        <v>0</v>
      </c>
      <c r="X100" s="78">
        <f t="shared" ref="X100" si="36" xml:space="preserve"> IFERROR(X99 / X98, 0)</f>
        <v>0</v>
      </c>
      <c r="Y100" s="78">
        <f t="shared" ref="Y100" si="37" xml:space="preserve"> IFERROR(Y99 / Y98, 0)</f>
        <v>0.64817215452424148</v>
      </c>
      <c r="Z100" s="78">
        <f t="shared" ref="Z100" si="38" xml:space="preserve"> IFERROR(Z99 / Z98, 0)</f>
        <v>0.65570126694821074</v>
      </c>
      <c r="AA100" s="78">
        <f t="shared" ref="AA100" si="39" xml:space="preserve"> IFERROR(AA99 / AA98, 0)</f>
        <v>0.64592094196804029</v>
      </c>
      <c r="AB100" s="78">
        <f t="shared" ref="AB100" si="40" xml:space="preserve"> IFERROR(AB99 / AB98, 0)</f>
        <v>0.64717162032598263</v>
      </c>
      <c r="AC100" s="78">
        <f t="shared" ref="AC100" si="41" xml:space="preserve"> IFERROR(AC99 / AC98, 0)</f>
        <v>0.648248186448526</v>
      </c>
      <c r="AD100" s="78">
        <f t="shared" ref="AD100" si="42" xml:space="preserve"> IFERROR(AD99 / AD98, 0)</f>
        <v>0.65157849214357788</v>
      </c>
      <c r="AE100" s="78">
        <f t="shared" ref="AE100" si="43" xml:space="preserve"> IFERROR(AE99 / AE98, 0)</f>
        <v>0.64827586206896548</v>
      </c>
      <c r="AF100" s="78">
        <f t="shared" ref="AF100" si="44" xml:space="preserve"> IFERROR(AF99 / AF98, 0)</f>
        <v>0.6484049930651874</v>
      </c>
      <c r="AG100" s="78">
        <f t="shared" ref="AG100" si="45" xml:space="preserve"> IFERROR(AG99 / AG98, 0)</f>
        <v>0.64735336194563664</v>
      </c>
      <c r="AH100" s="78">
        <f t="shared" ref="AH100" si="46" xml:space="preserve"> IFERROR(AH99 / AH98, 0)</f>
        <v>0.65096359743040677</v>
      </c>
      <c r="AI100" s="78">
        <f t="shared" ref="AI100" si="47" xml:space="preserve"> IFERROR(AI99 / AI98, 0)</f>
        <v>0.65433367591640978</v>
      </c>
      <c r="AJ100" s="78">
        <f t="shared" ref="AJ100" si="48" xml:space="preserve"> IFERROR(AJ99 / AJ98, 0)</f>
        <v>0.65139949109414752</v>
      </c>
      <c r="AK100" s="78">
        <f t="shared" ref="AK100" si="49" xml:space="preserve"> IFERROR(AK99 / AK98, 0)</f>
        <v>0.65531914893617027</v>
      </c>
      <c r="AL100" s="78">
        <f t="shared" ref="AL100" si="50" xml:space="preserve"> IFERROR(AL99 / AL98, 0)</f>
        <v>0.64615384615384608</v>
      </c>
      <c r="AM100" s="78">
        <f t="shared" ref="AM100" si="51" xml:space="preserve"> IFERROR(AM99 / AM98, 0)</f>
        <v>0.65643648763853357</v>
      </c>
      <c r="AN100" s="78">
        <f t="shared" ref="AN100" si="52" xml:space="preserve"> IFERROR(AN99 / AN98, 0)</f>
        <v>0.59770114942528729</v>
      </c>
      <c r="AO100" s="78">
        <f t="shared" ref="AO100" si="53" xml:space="preserve"> IFERROR(AO99 / AO98, 0)</f>
        <v>0</v>
      </c>
      <c r="AP100" s="78">
        <f t="shared" ref="AP100" si="54" xml:space="preserve"> IFERROR(AP99 / AP98, 0)</f>
        <v>0</v>
      </c>
      <c r="AQ100" s="78">
        <f t="shared" ref="AQ100" si="55" xml:space="preserve"> IFERROR(AQ99 / AQ98, 0)</f>
        <v>0</v>
      </c>
      <c r="AR100" s="78">
        <f t="shared" ref="AR100" si="56" xml:space="preserve"> IFERROR(AR99 / AR98, 0)</f>
        <v>0</v>
      </c>
      <c r="AS100" s="78">
        <f t="shared" ref="AS100" si="57" xml:space="preserve"> IFERROR(AS99 / AS98, 0)</f>
        <v>0</v>
      </c>
      <c r="AT100" s="78">
        <f t="shared" ref="AT100" si="58" xml:space="preserve"> IFERROR(AT99 / AT98, 0)</f>
        <v>0</v>
      </c>
      <c r="AU100" s="78">
        <f t="shared" ref="AU100" si="59" xml:space="preserve"> IFERROR(AU99 / AU98, 0)</f>
        <v>0</v>
      </c>
      <c r="AV100" s="78">
        <f t="shared" ref="AV100" si="60" xml:space="preserve"> IFERROR(AV99 / AV98, 0)</f>
        <v>0</v>
      </c>
    </row>
    <row r="101" spans="2:48" ht="15" customHeight="1">
      <c r="D101" s="38"/>
      <c r="I101" s="18"/>
      <c r="K101" s="33"/>
    </row>
    <row r="102" spans="2:48" ht="15" customHeight="1">
      <c r="B102" s="16" t="s">
        <v>425</v>
      </c>
      <c r="D102" s="38"/>
      <c r="I102" s="18"/>
      <c r="K102" s="33"/>
      <c r="Y102" s="3"/>
    </row>
    <row r="103" spans="2:48" ht="15" customHeight="1">
      <c r="D103" s="38"/>
      <c r="E103" s="18" t="s">
        <v>426</v>
      </c>
      <c r="G103" s="18" t="s">
        <v>29</v>
      </c>
      <c r="I103" s="70" t="str">
        <f xml:space="preserve"> Sources!I$27</f>
        <v>XXII</v>
      </c>
      <c r="J103" s="18">
        <f t="shared" ref="J103:J104" si="61" xml:space="preserve"> SUM(L103:AV103)</f>
        <v>1103.73</v>
      </c>
      <c r="K103" s="33"/>
      <c r="L103" s="88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>
        <v>60.94</v>
      </c>
      <c r="Z103" s="87">
        <v>214.63</v>
      </c>
      <c r="AA103" s="87">
        <v>90.91</v>
      </c>
      <c r="AB103" s="87">
        <v>89.19</v>
      </c>
      <c r="AC103" s="87">
        <v>54.004999999999995</v>
      </c>
      <c r="AD103" s="87">
        <v>54.004999999999995</v>
      </c>
      <c r="AE103" s="87">
        <v>54.004999999999995</v>
      </c>
      <c r="AF103" s="87">
        <v>54.004999999999995</v>
      </c>
      <c r="AG103" s="87">
        <v>54.004999999999995</v>
      </c>
      <c r="AH103" s="87">
        <v>54.004999999999995</v>
      </c>
      <c r="AI103" s="87">
        <v>54.004999999999995</v>
      </c>
      <c r="AJ103" s="87">
        <v>54.004999999999995</v>
      </c>
      <c r="AK103" s="87">
        <v>54.004999999999995</v>
      </c>
      <c r="AL103" s="87">
        <v>54.004999999999995</v>
      </c>
      <c r="AM103" s="87">
        <v>54.004999999999995</v>
      </c>
      <c r="AN103" s="87">
        <v>54.004999999999995</v>
      </c>
      <c r="AO103" s="87"/>
      <c r="AP103" s="87"/>
      <c r="AQ103" s="87"/>
      <c r="AR103" s="87"/>
      <c r="AS103" s="87"/>
      <c r="AT103" s="87"/>
      <c r="AU103" s="87"/>
      <c r="AV103" s="87"/>
    </row>
    <row r="104" spans="2:48" ht="15" customHeight="1">
      <c r="D104" s="38"/>
      <c r="E104" s="18" t="s">
        <v>427</v>
      </c>
      <c r="G104" s="18" t="s">
        <v>29</v>
      </c>
      <c r="I104" s="70" t="str">
        <f xml:space="preserve"> Sources!I$27</f>
        <v>XXII</v>
      </c>
      <c r="J104" s="18">
        <f t="shared" si="61"/>
        <v>2256.4199999999992</v>
      </c>
      <c r="K104" s="33"/>
      <c r="L104" s="88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>
        <v>356.54</v>
      </c>
      <c r="Z104" s="87">
        <v>145.37</v>
      </c>
      <c r="AA104" s="87">
        <v>174.38</v>
      </c>
      <c r="AB104" s="87">
        <v>110.94</v>
      </c>
      <c r="AC104" s="87">
        <v>122.4325</v>
      </c>
      <c r="AD104" s="87">
        <v>122.4325</v>
      </c>
      <c r="AE104" s="87">
        <v>122.4325</v>
      </c>
      <c r="AF104" s="87">
        <v>122.4325</v>
      </c>
      <c r="AG104" s="87">
        <v>122.4325</v>
      </c>
      <c r="AH104" s="87">
        <v>122.4325</v>
      </c>
      <c r="AI104" s="87">
        <v>122.4325</v>
      </c>
      <c r="AJ104" s="87">
        <v>122.4325</v>
      </c>
      <c r="AK104" s="87">
        <v>122.4325</v>
      </c>
      <c r="AL104" s="87">
        <v>122.4325</v>
      </c>
      <c r="AM104" s="87">
        <v>122.4325</v>
      </c>
      <c r="AN104" s="87">
        <v>122.4325</v>
      </c>
      <c r="AO104" s="87"/>
      <c r="AP104" s="87"/>
      <c r="AQ104" s="87"/>
      <c r="AR104" s="87"/>
      <c r="AS104" s="87"/>
      <c r="AT104" s="87"/>
      <c r="AU104" s="87"/>
      <c r="AV104" s="87"/>
    </row>
    <row r="105" spans="2:48" ht="15" customHeight="1">
      <c r="D105" s="38"/>
      <c r="I105" s="18"/>
      <c r="K105" s="33"/>
    </row>
    <row r="106" spans="2:48" ht="15" customHeight="1">
      <c r="B106" s="16" t="s">
        <v>428</v>
      </c>
      <c r="D106" s="38"/>
      <c r="I106" s="18"/>
      <c r="K106" s="33"/>
    </row>
    <row r="107" spans="2:48" ht="15" customHeight="1">
      <c r="D107" s="38"/>
      <c r="E107" s="89" t="s">
        <v>429</v>
      </c>
      <c r="G107" s="18" t="s">
        <v>29</v>
      </c>
      <c r="I107" s="70" t="str">
        <f xml:space="preserve"> Sources!I$27</f>
        <v>XXII</v>
      </c>
      <c r="J107" s="18">
        <f t="shared" ref="J107:J111" si="62" xml:space="preserve"> SUM(L107:AV107)</f>
        <v>4790.5999999999995</v>
      </c>
      <c r="K107" s="33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7">
        <v>199.81</v>
      </c>
      <c r="Z107" s="87">
        <v>264.51</v>
      </c>
      <c r="AA107" s="87">
        <v>230.68</v>
      </c>
      <c r="AB107" s="87">
        <v>237.57</v>
      </c>
      <c r="AC107" s="87">
        <v>321.5025</v>
      </c>
      <c r="AD107" s="87">
        <v>321.5025</v>
      </c>
      <c r="AE107" s="87">
        <v>321.5025</v>
      </c>
      <c r="AF107" s="87">
        <v>321.5025</v>
      </c>
      <c r="AG107" s="87">
        <v>321.5025</v>
      </c>
      <c r="AH107" s="87">
        <v>321.5025</v>
      </c>
      <c r="AI107" s="87">
        <v>321.5025</v>
      </c>
      <c r="AJ107" s="87">
        <v>321.5025</v>
      </c>
      <c r="AK107" s="87">
        <v>321.5025</v>
      </c>
      <c r="AL107" s="87">
        <v>321.5025</v>
      </c>
      <c r="AM107" s="87">
        <v>321.5025</v>
      </c>
      <c r="AN107" s="87">
        <v>321.5025</v>
      </c>
      <c r="AO107" s="88"/>
      <c r="AP107" s="88"/>
      <c r="AQ107" s="88"/>
      <c r="AR107" s="88"/>
      <c r="AS107" s="88"/>
      <c r="AT107" s="88"/>
      <c r="AU107" s="88"/>
      <c r="AV107" s="88"/>
    </row>
    <row r="108" spans="2:48" ht="15" customHeight="1">
      <c r="D108" s="38"/>
      <c r="E108" s="89" t="s">
        <v>430</v>
      </c>
      <c r="G108" s="18" t="s">
        <v>29</v>
      </c>
      <c r="I108" s="70" t="str">
        <f xml:space="preserve"> Sources!I$27</f>
        <v>XXII</v>
      </c>
      <c r="J108" s="18">
        <f t="shared" si="62"/>
        <v>9682.880000000001</v>
      </c>
      <c r="K108" s="33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7">
        <v>688.12</v>
      </c>
      <c r="Z108" s="87">
        <v>720.44</v>
      </c>
      <c r="AA108" s="87">
        <v>727.47</v>
      </c>
      <c r="AB108" s="87">
        <v>688.37</v>
      </c>
      <c r="AC108" s="87">
        <v>571.54</v>
      </c>
      <c r="AD108" s="87">
        <v>571.54</v>
      </c>
      <c r="AE108" s="87">
        <v>571.54</v>
      </c>
      <c r="AF108" s="87">
        <v>571.54</v>
      </c>
      <c r="AG108" s="87">
        <v>571.54</v>
      </c>
      <c r="AH108" s="87">
        <v>571.54</v>
      </c>
      <c r="AI108" s="87">
        <v>571.54</v>
      </c>
      <c r="AJ108" s="87">
        <v>571.54</v>
      </c>
      <c r="AK108" s="87">
        <v>571.54</v>
      </c>
      <c r="AL108" s="87">
        <v>571.54</v>
      </c>
      <c r="AM108" s="87">
        <v>571.54</v>
      </c>
      <c r="AN108" s="87">
        <v>571.54</v>
      </c>
      <c r="AO108" s="88"/>
      <c r="AP108" s="88"/>
      <c r="AQ108" s="88"/>
      <c r="AR108" s="88"/>
      <c r="AS108" s="88"/>
      <c r="AT108" s="88"/>
      <c r="AU108" s="88"/>
      <c r="AV108" s="88"/>
    </row>
    <row r="109" spans="2:48" ht="15" customHeight="1">
      <c r="D109" s="38"/>
      <c r="E109" s="89" t="s">
        <v>431</v>
      </c>
      <c r="G109" s="18" t="s">
        <v>29</v>
      </c>
      <c r="I109" s="70" t="str">
        <f xml:space="preserve"> Sources!I$27</f>
        <v>XXII</v>
      </c>
      <c r="J109" s="18">
        <f t="shared" si="62"/>
        <v>645.38000000000011</v>
      </c>
      <c r="K109" s="33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7">
        <v>23.07</v>
      </c>
      <c r="Z109" s="87">
        <v>39.04</v>
      </c>
      <c r="AA109" s="87">
        <v>42.64</v>
      </c>
      <c r="AB109" s="87">
        <v>42.64</v>
      </c>
      <c r="AC109" s="87">
        <v>41.499166666666667</v>
      </c>
      <c r="AD109" s="87">
        <v>41.499166666666667</v>
      </c>
      <c r="AE109" s="87">
        <v>41.499166666666667</v>
      </c>
      <c r="AF109" s="87">
        <v>41.499166666666667</v>
      </c>
      <c r="AG109" s="87">
        <v>41.499166666666667</v>
      </c>
      <c r="AH109" s="87">
        <v>41.499166666666667</v>
      </c>
      <c r="AI109" s="87">
        <v>41.499166666666667</v>
      </c>
      <c r="AJ109" s="87">
        <v>41.499166666666667</v>
      </c>
      <c r="AK109" s="87">
        <v>41.499166666666667</v>
      </c>
      <c r="AL109" s="87">
        <v>41.499166666666667</v>
      </c>
      <c r="AM109" s="87">
        <v>41.499166666666667</v>
      </c>
      <c r="AN109" s="87">
        <v>41.499166666666667</v>
      </c>
      <c r="AO109" s="88"/>
      <c r="AP109" s="88"/>
      <c r="AQ109" s="88"/>
      <c r="AR109" s="88"/>
      <c r="AS109" s="88"/>
      <c r="AT109" s="88"/>
      <c r="AU109" s="88"/>
      <c r="AV109" s="88"/>
    </row>
    <row r="110" spans="2:48" ht="15" customHeight="1">
      <c r="D110" s="38"/>
      <c r="E110" s="89" t="s">
        <v>432</v>
      </c>
      <c r="G110" s="18" t="s">
        <v>29</v>
      </c>
      <c r="I110" s="70" t="str">
        <f xml:space="preserve"> Sources!I$27</f>
        <v>XXII</v>
      </c>
      <c r="J110" s="18">
        <f t="shared" si="62"/>
        <v>846.94</v>
      </c>
      <c r="K110" s="33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7">
        <v>77</v>
      </c>
      <c r="Z110" s="87">
        <v>59.34</v>
      </c>
      <c r="AA110" s="87">
        <v>50.36</v>
      </c>
      <c r="AB110" s="87">
        <v>50.95</v>
      </c>
      <c r="AC110" s="87">
        <v>50.774166666666666</v>
      </c>
      <c r="AD110" s="87">
        <v>50.774166666666666</v>
      </c>
      <c r="AE110" s="87">
        <v>50.774166666666666</v>
      </c>
      <c r="AF110" s="87">
        <v>50.774166666666666</v>
      </c>
      <c r="AG110" s="87">
        <v>50.774166666666666</v>
      </c>
      <c r="AH110" s="87">
        <v>50.774166666666666</v>
      </c>
      <c r="AI110" s="87">
        <v>50.774166666666666</v>
      </c>
      <c r="AJ110" s="87">
        <v>50.774166666666666</v>
      </c>
      <c r="AK110" s="87">
        <v>50.774166666666666</v>
      </c>
      <c r="AL110" s="87">
        <v>50.774166666666666</v>
      </c>
      <c r="AM110" s="87">
        <v>50.774166666666666</v>
      </c>
      <c r="AN110" s="87">
        <v>50.774166666666666</v>
      </c>
      <c r="AO110" s="88"/>
      <c r="AP110" s="88"/>
      <c r="AQ110" s="88"/>
      <c r="AR110" s="88"/>
      <c r="AS110" s="88"/>
      <c r="AT110" s="88"/>
      <c r="AU110" s="88"/>
      <c r="AV110" s="88"/>
    </row>
    <row r="111" spans="2:48" ht="15" customHeight="1">
      <c r="D111" s="38"/>
      <c r="E111" s="89" t="s">
        <v>433</v>
      </c>
      <c r="G111" s="18" t="s">
        <v>29</v>
      </c>
      <c r="I111" s="70" t="str">
        <f xml:space="preserve"> Sources!I$27</f>
        <v>XXII</v>
      </c>
      <c r="J111" s="18">
        <f t="shared" si="62"/>
        <v>2979.0300000000007</v>
      </c>
      <c r="K111" s="33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7">
        <v>268</v>
      </c>
      <c r="Z111" s="87">
        <v>146.01</v>
      </c>
      <c r="AA111" s="87">
        <v>152.34</v>
      </c>
      <c r="AB111" s="87">
        <v>149.09</v>
      </c>
      <c r="AC111" s="87">
        <v>188.63250000000002</v>
      </c>
      <c r="AD111" s="87">
        <v>188.63250000000002</v>
      </c>
      <c r="AE111" s="87">
        <v>188.63250000000002</v>
      </c>
      <c r="AF111" s="87">
        <v>188.63250000000002</v>
      </c>
      <c r="AG111" s="87">
        <v>188.63250000000002</v>
      </c>
      <c r="AH111" s="87">
        <v>188.63250000000002</v>
      </c>
      <c r="AI111" s="87">
        <v>188.63250000000002</v>
      </c>
      <c r="AJ111" s="87">
        <v>188.63250000000002</v>
      </c>
      <c r="AK111" s="87">
        <v>188.63250000000002</v>
      </c>
      <c r="AL111" s="87">
        <v>188.63250000000002</v>
      </c>
      <c r="AM111" s="87">
        <v>188.63250000000002</v>
      </c>
      <c r="AN111" s="87">
        <v>188.63250000000002</v>
      </c>
      <c r="AO111" s="88"/>
      <c r="AP111" s="88"/>
      <c r="AQ111" s="88"/>
      <c r="AR111" s="88"/>
      <c r="AS111" s="88"/>
      <c r="AT111" s="88"/>
      <c r="AU111" s="88"/>
      <c r="AV111" s="88"/>
    </row>
    <row r="112" spans="2:48" ht="15" customHeight="1">
      <c r="D112" s="38"/>
      <c r="I112" s="18"/>
      <c r="K112" s="33"/>
    </row>
    <row r="113" spans="1:48" ht="15" customHeight="1">
      <c r="B113" s="16" t="s">
        <v>434</v>
      </c>
      <c r="D113" s="38"/>
      <c r="I113" s="18"/>
      <c r="K113" s="33"/>
    </row>
    <row r="114" spans="1:48" ht="15" customHeight="1">
      <c r="D114" s="38"/>
      <c r="E114" s="18" t="s">
        <v>435</v>
      </c>
      <c r="F114" s="104">
        <v>132</v>
      </c>
      <c r="G114" s="18" t="s">
        <v>29</v>
      </c>
      <c r="I114" s="105"/>
      <c r="K114" s="33"/>
    </row>
    <row r="115" spans="1:48" ht="15" customHeight="1">
      <c r="D115" s="38"/>
      <c r="I115" s="18"/>
      <c r="K115" s="33"/>
    </row>
    <row r="116" spans="1:48" ht="15" customHeight="1">
      <c r="D116" s="38"/>
      <c r="I116" s="18"/>
      <c r="K116" s="33"/>
    </row>
    <row r="117" spans="1:48" ht="15" customHeight="1">
      <c r="D117" s="38"/>
      <c r="I117" s="18"/>
      <c r="K117" s="33"/>
    </row>
    <row r="118" spans="1:48" s="31" customFormat="1" ht="15" customHeight="1" collapsed="1">
      <c r="A118" s="34"/>
      <c r="B118" s="28"/>
      <c r="C118" s="29"/>
      <c r="D118" s="30"/>
      <c r="E118" s="28"/>
      <c r="F118" s="28"/>
      <c r="G118" s="28"/>
      <c r="H118" s="28"/>
      <c r="I118" s="28"/>
      <c r="J118" s="28"/>
      <c r="K118" s="33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</row>
    <row r="120" spans="1:48" ht="15" customHeight="1">
      <c r="B120" s="16" t="s">
        <v>436</v>
      </c>
    </row>
    <row r="121" spans="1:48" ht="15" customHeight="1">
      <c r="E121" s="93" t="str">
        <f xml:space="preserve"> E39</f>
        <v>Proven Mineral Reserve (Mt)</v>
      </c>
      <c r="F121" s="93">
        <f t="shared" ref="F121:AV121" si="63" xml:space="preserve"> F39</f>
        <v>0</v>
      </c>
      <c r="G121" s="93" t="str">
        <f t="shared" si="63"/>
        <v>MT</v>
      </c>
      <c r="H121" s="93">
        <f t="shared" si="63"/>
        <v>0</v>
      </c>
      <c r="I121" s="93" t="str">
        <f t="shared" si="63"/>
        <v>XXII</v>
      </c>
      <c r="J121" s="93">
        <f t="shared" si="63"/>
        <v>8.6</v>
      </c>
      <c r="K121" s="93">
        <f t="shared" si="63"/>
        <v>0</v>
      </c>
      <c r="L121" s="93">
        <f t="shared" si="63"/>
        <v>0</v>
      </c>
      <c r="M121" s="93">
        <f t="shared" si="63"/>
        <v>0</v>
      </c>
      <c r="N121" s="93">
        <f t="shared" si="63"/>
        <v>0</v>
      </c>
      <c r="O121" s="93">
        <f t="shared" si="63"/>
        <v>0</v>
      </c>
      <c r="P121" s="93">
        <f t="shared" si="63"/>
        <v>0</v>
      </c>
      <c r="Q121" s="93">
        <f t="shared" si="63"/>
        <v>0</v>
      </c>
      <c r="R121" s="93">
        <f t="shared" si="63"/>
        <v>0</v>
      </c>
      <c r="S121" s="93">
        <f t="shared" si="63"/>
        <v>0</v>
      </c>
      <c r="T121" s="93">
        <f t="shared" si="63"/>
        <v>0</v>
      </c>
      <c r="U121" s="93">
        <f t="shared" si="63"/>
        <v>0</v>
      </c>
      <c r="V121" s="93">
        <f t="shared" si="63"/>
        <v>0</v>
      </c>
      <c r="W121" s="93">
        <f t="shared" si="63"/>
        <v>0</v>
      </c>
      <c r="X121" s="93">
        <f t="shared" si="63"/>
        <v>0</v>
      </c>
      <c r="Y121" s="93">
        <f t="shared" si="63"/>
        <v>0.1</v>
      </c>
      <c r="Z121" s="93">
        <f t="shared" si="63"/>
        <v>0.1</v>
      </c>
      <c r="AA121" s="93">
        <f t="shared" si="63"/>
        <v>0.3</v>
      </c>
      <c r="AB121" s="93">
        <f t="shared" si="63"/>
        <v>0.6</v>
      </c>
      <c r="AC121" s="93">
        <f t="shared" si="63"/>
        <v>0.5</v>
      </c>
      <c r="AD121" s="93">
        <f t="shared" si="63"/>
        <v>0.3</v>
      </c>
      <c r="AE121" s="93">
        <f t="shared" si="63"/>
        <v>0.5</v>
      </c>
      <c r="AF121" s="93">
        <f t="shared" si="63"/>
        <v>0.4</v>
      </c>
      <c r="AG121" s="93">
        <f t="shared" si="63"/>
        <v>0.4</v>
      </c>
      <c r="AH121" s="93">
        <f t="shared" si="63"/>
        <v>0.6</v>
      </c>
      <c r="AI121" s="93">
        <f t="shared" si="63"/>
        <v>0.8</v>
      </c>
      <c r="AJ121" s="93">
        <f t="shared" si="63"/>
        <v>0.6</v>
      </c>
      <c r="AK121" s="93">
        <f t="shared" si="63"/>
        <v>0.8</v>
      </c>
      <c r="AL121" s="93">
        <f t="shared" si="63"/>
        <v>1.2</v>
      </c>
      <c r="AM121" s="93">
        <f t="shared" si="63"/>
        <v>0.9</v>
      </c>
      <c r="AN121" s="93">
        <f t="shared" si="63"/>
        <v>0.5</v>
      </c>
      <c r="AO121" s="93">
        <f t="shared" si="63"/>
        <v>0</v>
      </c>
      <c r="AP121" s="93">
        <f t="shared" si="63"/>
        <v>0</v>
      </c>
      <c r="AQ121" s="93">
        <f t="shared" si="63"/>
        <v>0</v>
      </c>
      <c r="AR121" s="93">
        <f t="shared" si="63"/>
        <v>0</v>
      </c>
      <c r="AS121" s="93">
        <f t="shared" si="63"/>
        <v>0</v>
      </c>
      <c r="AT121" s="93">
        <f t="shared" si="63"/>
        <v>0</v>
      </c>
      <c r="AU121" s="93">
        <f t="shared" si="63"/>
        <v>0</v>
      </c>
      <c r="AV121" s="93">
        <f t="shared" si="63"/>
        <v>0</v>
      </c>
    </row>
    <row r="122" spans="1:48" ht="15" customHeight="1">
      <c r="E122" s="93" t="str">
        <f xml:space="preserve"> E46</f>
        <v>Mineral Reserve ore (Mt)</v>
      </c>
      <c r="F122" s="93">
        <f t="shared" ref="F122:AV122" si="64" xml:space="preserve"> F46</f>
        <v>0</v>
      </c>
      <c r="G122" s="93" t="str">
        <f t="shared" si="64"/>
        <v>MT</v>
      </c>
      <c r="H122" s="93">
        <f t="shared" si="64"/>
        <v>0</v>
      </c>
      <c r="I122" s="93" t="str">
        <f t="shared" si="64"/>
        <v>XXII</v>
      </c>
      <c r="J122" s="93">
        <f t="shared" si="64"/>
        <v>26.500000000000004</v>
      </c>
      <c r="K122" s="93">
        <f t="shared" si="64"/>
        <v>0</v>
      </c>
      <c r="L122" s="93">
        <f t="shared" si="64"/>
        <v>0</v>
      </c>
      <c r="M122" s="93">
        <f t="shared" si="64"/>
        <v>0</v>
      </c>
      <c r="N122" s="93">
        <f t="shared" si="64"/>
        <v>0</v>
      </c>
      <c r="O122" s="93">
        <f t="shared" si="64"/>
        <v>0</v>
      </c>
      <c r="P122" s="93">
        <f t="shared" si="64"/>
        <v>0</v>
      </c>
      <c r="Q122" s="93">
        <f t="shared" si="64"/>
        <v>0</v>
      </c>
      <c r="R122" s="93">
        <f t="shared" si="64"/>
        <v>0</v>
      </c>
      <c r="S122" s="93">
        <f t="shared" si="64"/>
        <v>0</v>
      </c>
      <c r="T122" s="93">
        <f t="shared" si="64"/>
        <v>0</v>
      </c>
      <c r="U122" s="93">
        <f t="shared" si="64"/>
        <v>0</v>
      </c>
      <c r="V122" s="93">
        <f t="shared" si="64"/>
        <v>0</v>
      </c>
      <c r="W122" s="93">
        <f t="shared" si="64"/>
        <v>0</v>
      </c>
      <c r="X122" s="93">
        <f t="shared" si="64"/>
        <v>0</v>
      </c>
      <c r="Y122" s="93">
        <f t="shared" si="64"/>
        <v>0.5</v>
      </c>
      <c r="Z122" s="93">
        <f t="shared" si="64"/>
        <v>0.5</v>
      </c>
      <c r="AA122" s="93">
        <f t="shared" si="64"/>
        <v>1.1000000000000001</v>
      </c>
      <c r="AB122" s="93">
        <f t="shared" si="64"/>
        <v>2.1</v>
      </c>
      <c r="AC122" s="93">
        <f t="shared" si="64"/>
        <v>2.1</v>
      </c>
      <c r="AD122" s="93">
        <f t="shared" si="64"/>
        <v>1.9</v>
      </c>
      <c r="AE122" s="93">
        <f t="shared" si="64"/>
        <v>2.2999999999999998</v>
      </c>
      <c r="AF122" s="93">
        <f t="shared" si="64"/>
        <v>2.2000000000000002</v>
      </c>
      <c r="AG122" s="93">
        <f t="shared" si="64"/>
        <v>2</v>
      </c>
      <c r="AH122" s="93">
        <f t="shared" si="64"/>
        <v>2</v>
      </c>
      <c r="AI122" s="93">
        <f t="shared" si="64"/>
        <v>2.1</v>
      </c>
      <c r="AJ122" s="93">
        <f t="shared" si="64"/>
        <v>2</v>
      </c>
      <c r="AK122" s="93">
        <f t="shared" si="64"/>
        <v>2</v>
      </c>
      <c r="AL122" s="93">
        <f t="shared" si="64"/>
        <v>2.1</v>
      </c>
      <c r="AM122" s="93">
        <f t="shared" si="64"/>
        <v>1.3</v>
      </c>
      <c r="AN122" s="93">
        <f t="shared" si="64"/>
        <v>0.3</v>
      </c>
      <c r="AO122" s="93">
        <f t="shared" si="64"/>
        <v>0</v>
      </c>
      <c r="AP122" s="93">
        <f t="shared" si="64"/>
        <v>0</v>
      </c>
      <c r="AQ122" s="93">
        <f t="shared" si="64"/>
        <v>0</v>
      </c>
      <c r="AR122" s="93">
        <f t="shared" si="64"/>
        <v>0</v>
      </c>
      <c r="AS122" s="93">
        <f t="shared" si="64"/>
        <v>0</v>
      </c>
      <c r="AT122" s="93">
        <f t="shared" si="64"/>
        <v>0</v>
      </c>
      <c r="AU122" s="93">
        <f t="shared" si="64"/>
        <v>0</v>
      </c>
      <c r="AV122" s="93">
        <f t="shared" si="64"/>
        <v>0</v>
      </c>
    </row>
    <row r="123" spans="1:48" ht="15" customHeight="1">
      <c r="E123" s="93" t="str">
        <f xml:space="preserve"> E58</f>
        <v>Mineral Reserve ore (Mt)</v>
      </c>
      <c r="F123" s="93">
        <f t="shared" ref="F123:AV123" si="65" xml:space="preserve"> F58</f>
        <v>0</v>
      </c>
      <c r="G123" s="93" t="str">
        <f t="shared" si="65"/>
        <v>MT</v>
      </c>
      <c r="H123" s="93">
        <f t="shared" si="65"/>
        <v>0</v>
      </c>
      <c r="I123" s="93" t="str">
        <f t="shared" si="65"/>
        <v>XXII</v>
      </c>
      <c r="J123" s="93">
        <f t="shared" si="65"/>
        <v>11.3</v>
      </c>
      <c r="K123" s="93">
        <f t="shared" si="65"/>
        <v>0</v>
      </c>
      <c r="L123" s="93">
        <f t="shared" si="65"/>
        <v>0</v>
      </c>
      <c r="M123" s="93">
        <f t="shared" si="65"/>
        <v>0</v>
      </c>
      <c r="N123" s="93">
        <f t="shared" si="65"/>
        <v>0</v>
      </c>
      <c r="O123" s="93">
        <f t="shared" si="65"/>
        <v>0</v>
      </c>
      <c r="P123" s="93">
        <f t="shared" si="65"/>
        <v>0</v>
      </c>
      <c r="Q123" s="93">
        <f t="shared" si="65"/>
        <v>0</v>
      </c>
      <c r="R123" s="93">
        <f t="shared" si="65"/>
        <v>0</v>
      </c>
      <c r="S123" s="93">
        <f t="shared" si="65"/>
        <v>0</v>
      </c>
      <c r="T123" s="93">
        <f t="shared" si="65"/>
        <v>0</v>
      </c>
      <c r="U123" s="93">
        <f t="shared" si="65"/>
        <v>0</v>
      </c>
      <c r="V123" s="93">
        <f t="shared" si="65"/>
        <v>0</v>
      </c>
      <c r="W123" s="93">
        <f t="shared" si="65"/>
        <v>0</v>
      </c>
      <c r="X123" s="93">
        <f t="shared" si="65"/>
        <v>0</v>
      </c>
      <c r="Y123" s="93">
        <f t="shared" si="65"/>
        <v>0</v>
      </c>
      <c r="Z123" s="93">
        <f t="shared" si="65"/>
        <v>0</v>
      </c>
      <c r="AA123" s="93">
        <f t="shared" si="65"/>
        <v>0</v>
      </c>
      <c r="AB123" s="93">
        <f t="shared" si="65"/>
        <v>0</v>
      </c>
      <c r="AC123" s="93">
        <f t="shared" si="65"/>
        <v>0</v>
      </c>
      <c r="AD123" s="93">
        <f t="shared" si="65"/>
        <v>0</v>
      </c>
      <c r="AE123" s="93">
        <f t="shared" si="65"/>
        <v>0.2</v>
      </c>
      <c r="AF123" s="93">
        <f t="shared" si="65"/>
        <v>0.8</v>
      </c>
      <c r="AG123" s="93">
        <f t="shared" si="65"/>
        <v>1.3</v>
      </c>
      <c r="AH123" s="93">
        <f t="shared" si="65"/>
        <v>1.5</v>
      </c>
      <c r="AI123" s="93">
        <f t="shared" si="65"/>
        <v>1.5</v>
      </c>
      <c r="AJ123" s="93">
        <f t="shared" si="65"/>
        <v>1.5</v>
      </c>
      <c r="AK123" s="93">
        <f t="shared" si="65"/>
        <v>1.5</v>
      </c>
      <c r="AL123" s="93">
        <f t="shared" si="65"/>
        <v>1.4</v>
      </c>
      <c r="AM123" s="93">
        <f t="shared" si="65"/>
        <v>1</v>
      </c>
      <c r="AN123" s="93">
        <f t="shared" si="65"/>
        <v>0.6</v>
      </c>
      <c r="AO123" s="93">
        <f t="shared" si="65"/>
        <v>0</v>
      </c>
      <c r="AP123" s="93">
        <f t="shared" si="65"/>
        <v>0</v>
      </c>
      <c r="AQ123" s="93">
        <f t="shared" si="65"/>
        <v>0</v>
      </c>
      <c r="AR123" s="93">
        <f t="shared" si="65"/>
        <v>0</v>
      </c>
      <c r="AS123" s="93">
        <f t="shared" si="65"/>
        <v>0</v>
      </c>
      <c r="AT123" s="93">
        <f t="shared" si="65"/>
        <v>0</v>
      </c>
      <c r="AU123" s="93">
        <f t="shared" si="65"/>
        <v>0</v>
      </c>
      <c r="AV123" s="93">
        <f t="shared" si="65"/>
        <v>0</v>
      </c>
    </row>
    <row r="124" spans="1:48" ht="15" customHeight="1">
      <c r="E124" s="93" t="str">
        <f xml:space="preserve"> E70</f>
        <v>Mineral Reserve ore (Mt)</v>
      </c>
      <c r="F124" s="93">
        <f t="shared" ref="F124:AV124" si="66" xml:space="preserve"> F70</f>
        <v>0</v>
      </c>
      <c r="G124" s="93" t="str">
        <f t="shared" si="66"/>
        <v>MT</v>
      </c>
      <c r="H124" s="93">
        <f t="shared" si="66"/>
        <v>0</v>
      </c>
      <c r="I124" s="93" t="str">
        <f t="shared" si="66"/>
        <v>XXII</v>
      </c>
      <c r="J124" s="93">
        <f t="shared" si="66"/>
        <v>57.7</v>
      </c>
      <c r="K124" s="93">
        <f t="shared" si="66"/>
        <v>0</v>
      </c>
      <c r="L124" s="93">
        <f t="shared" si="66"/>
        <v>0</v>
      </c>
      <c r="M124" s="93">
        <f t="shared" si="66"/>
        <v>0</v>
      </c>
      <c r="N124" s="93">
        <f t="shared" si="66"/>
        <v>0</v>
      </c>
      <c r="O124" s="93">
        <f t="shared" si="66"/>
        <v>0</v>
      </c>
      <c r="P124" s="93">
        <f t="shared" si="66"/>
        <v>0</v>
      </c>
      <c r="Q124" s="93">
        <f t="shared" si="66"/>
        <v>0</v>
      </c>
      <c r="R124" s="93">
        <f t="shared" si="66"/>
        <v>0</v>
      </c>
      <c r="S124" s="93">
        <f t="shared" si="66"/>
        <v>0</v>
      </c>
      <c r="T124" s="93">
        <f t="shared" si="66"/>
        <v>0</v>
      </c>
      <c r="U124" s="93">
        <f t="shared" si="66"/>
        <v>0</v>
      </c>
      <c r="V124" s="93">
        <f t="shared" si="66"/>
        <v>0</v>
      </c>
      <c r="W124" s="93">
        <f t="shared" si="66"/>
        <v>0</v>
      </c>
      <c r="X124" s="93">
        <f t="shared" si="66"/>
        <v>0</v>
      </c>
      <c r="Y124" s="93">
        <f t="shared" si="66"/>
        <v>3.6</v>
      </c>
      <c r="Z124" s="93">
        <f t="shared" si="66"/>
        <v>4.5999999999999996</v>
      </c>
      <c r="AA124" s="93">
        <f t="shared" si="66"/>
        <v>7.1</v>
      </c>
      <c r="AB124" s="93">
        <f t="shared" si="66"/>
        <v>3.7</v>
      </c>
      <c r="AC124" s="93">
        <f t="shared" si="66"/>
        <v>3.9</v>
      </c>
      <c r="AD124" s="93">
        <f t="shared" si="66"/>
        <v>4.0999999999999996</v>
      </c>
      <c r="AE124" s="93">
        <f t="shared" si="66"/>
        <v>4.7</v>
      </c>
      <c r="AF124" s="93">
        <f t="shared" si="66"/>
        <v>8</v>
      </c>
      <c r="AG124" s="93">
        <f t="shared" si="66"/>
        <v>6.7</v>
      </c>
      <c r="AH124" s="93">
        <f t="shared" si="66"/>
        <v>6.5</v>
      </c>
      <c r="AI124" s="93">
        <f t="shared" si="66"/>
        <v>4.8</v>
      </c>
      <c r="AJ124" s="93">
        <f t="shared" si="66"/>
        <v>0</v>
      </c>
      <c r="AK124" s="93">
        <f t="shared" si="66"/>
        <v>0</v>
      </c>
      <c r="AL124" s="93">
        <f t="shared" si="66"/>
        <v>0</v>
      </c>
      <c r="AM124" s="93">
        <f t="shared" si="66"/>
        <v>0</v>
      </c>
      <c r="AN124" s="93">
        <f t="shared" si="66"/>
        <v>0</v>
      </c>
      <c r="AO124" s="93">
        <f t="shared" si="66"/>
        <v>0</v>
      </c>
      <c r="AP124" s="93">
        <f t="shared" si="66"/>
        <v>0</v>
      </c>
      <c r="AQ124" s="93">
        <f t="shared" si="66"/>
        <v>0</v>
      </c>
      <c r="AR124" s="93">
        <f t="shared" si="66"/>
        <v>0</v>
      </c>
      <c r="AS124" s="93">
        <f t="shared" si="66"/>
        <v>0</v>
      </c>
      <c r="AT124" s="93">
        <f t="shared" si="66"/>
        <v>0</v>
      </c>
      <c r="AU124" s="93">
        <f t="shared" si="66"/>
        <v>0</v>
      </c>
      <c r="AV124" s="93">
        <f t="shared" si="66"/>
        <v>0</v>
      </c>
    </row>
    <row r="125" spans="1:48" ht="15" customHeight="1">
      <c r="E125" s="93" t="str">
        <f xml:space="preserve"> E81</f>
        <v>Mineral Reserve ore (Mt)</v>
      </c>
      <c r="F125" s="93">
        <f t="shared" ref="F125:AV125" si="67" xml:space="preserve"> F81</f>
        <v>0</v>
      </c>
      <c r="G125" s="93" t="str">
        <f t="shared" si="67"/>
        <v>MT</v>
      </c>
      <c r="H125" s="93">
        <f t="shared" si="67"/>
        <v>0</v>
      </c>
      <c r="I125" s="93" t="str">
        <f t="shared" si="67"/>
        <v>XXII</v>
      </c>
      <c r="J125" s="93">
        <f t="shared" si="67"/>
        <v>31.499999999999996</v>
      </c>
      <c r="K125" s="93">
        <f t="shared" si="67"/>
        <v>0</v>
      </c>
      <c r="L125" s="93">
        <f t="shared" si="67"/>
        <v>0</v>
      </c>
      <c r="M125" s="93">
        <f t="shared" si="67"/>
        <v>0</v>
      </c>
      <c r="N125" s="93">
        <f t="shared" si="67"/>
        <v>0</v>
      </c>
      <c r="O125" s="93">
        <f t="shared" si="67"/>
        <v>0</v>
      </c>
      <c r="P125" s="93">
        <f t="shared" si="67"/>
        <v>0</v>
      </c>
      <c r="Q125" s="93">
        <f t="shared" si="67"/>
        <v>0</v>
      </c>
      <c r="R125" s="93">
        <f t="shared" si="67"/>
        <v>0</v>
      </c>
      <c r="S125" s="93">
        <f t="shared" si="67"/>
        <v>0</v>
      </c>
      <c r="T125" s="93">
        <f t="shared" si="67"/>
        <v>0</v>
      </c>
      <c r="U125" s="93">
        <f t="shared" si="67"/>
        <v>0</v>
      </c>
      <c r="V125" s="93">
        <f t="shared" si="67"/>
        <v>0</v>
      </c>
      <c r="W125" s="93">
        <f t="shared" si="67"/>
        <v>0</v>
      </c>
      <c r="X125" s="93">
        <f t="shared" si="67"/>
        <v>0</v>
      </c>
      <c r="Y125" s="93">
        <f t="shared" si="67"/>
        <v>3.6</v>
      </c>
      <c r="Z125" s="93">
        <f t="shared" si="67"/>
        <v>4.2</v>
      </c>
      <c r="AA125" s="93">
        <f t="shared" si="67"/>
        <v>1.3</v>
      </c>
      <c r="AB125" s="93">
        <f t="shared" si="67"/>
        <v>5.2</v>
      </c>
      <c r="AC125" s="93">
        <f t="shared" si="67"/>
        <v>5.2</v>
      </c>
      <c r="AD125" s="93">
        <f t="shared" si="67"/>
        <v>5</v>
      </c>
      <c r="AE125" s="93">
        <f t="shared" si="67"/>
        <v>4</v>
      </c>
      <c r="AF125" s="93">
        <f t="shared" si="67"/>
        <v>0.4</v>
      </c>
      <c r="AG125" s="93">
        <f t="shared" si="67"/>
        <v>1.4</v>
      </c>
      <c r="AH125" s="93">
        <f t="shared" si="67"/>
        <v>1</v>
      </c>
      <c r="AI125" s="93">
        <f t="shared" si="67"/>
        <v>0.2</v>
      </c>
      <c r="AJ125" s="93">
        <f t="shared" si="67"/>
        <v>0</v>
      </c>
      <c r="AK125" s="93">
        <f t="shared" si="67"/>
        <v>0</v>
      </c>
      <c r="AL125" s="93">
        <f t="shared" si="67"/>
        <v>0</v>
      </c>
      <c r="AM125" s="93">
        <f t="shared" si="67"/>
        <v>0</v>
      </c>
      <c r="AN125" s="93">
        <f t="shared" si="67"/>
        <v>0</v>
      </c>
      <c r="AO125" s="93">
        <f t="shared" si="67"/>
        <v>0</v>
      </c>
      <c r="AP125" s="93">
        <f t="shared" si="67"/>
        <v>0</v>
      </c>
      <c r="AQ125" s="93">
        <f t="shared" si="67"/>
        <v>0</v>
      </c>
      <c r="AR125" s="93">
        <f t="shared" si="67"/>
        <v>0</v>
      </c>
      <c r="AS125" s="93">
        <f t="shared" si="67"/>
        <v>0</v>
      </c>
      <c r="AT125" s="93">
        <f t="shared" si="67"/>
        <v>0</v>
      </c>
      <c r="AU125" s="93">
        <f t="shared" si="67"/>
        <v>0</v>
      </c>
      <c r="AV125" s="93">
        <f t="shared" si="67"/>
        <v>0</v>
      </c>
    </row>
    <row r="126" spans="1:48" s="238" customFormat="1" ht="15" customHeight="1">
      <c r="A126" s="236"/>
      <c r="B126" s="236"/>
      <c r="C126" s="237"/>
      <c r="E126" s="238" t="s">
        <v>437</v>
      </c>
      <c r="G126" s="238" t="s">
        <v>237</v>
      </c>
      <c r="I126" s="239"/>
      <c r="J126" s="238">
        <f xml:space="preserve"> SUM(L126:AV126)</f>
        <v>135.59999999999997</v>
      </c>
      <c r="K126" s="240"/>
      <c r="L126" s="238">
        <f t="shared" ref="L126:AV126" si="68">SUM(L121:L125)</f>
        <v>0</v>
      </c>
      <c r="M126" s="238">
        <f t="shared" si="68"/>
        <v>0</v>
      </c>
      <c r="N126" s="238">
        <f t="shared" si="68"/>
        <v>0</v>
      </c>
      <c r="O126" s="238">
        <f t="shared" si="68"/>
        <v>0</v>
      </c>
      <c r="P126" s="238">
        <f t="shared" si="68"/>
        <v>0</v>
      </c>
      <c r="Q126" s="238">
        <f t="shared" si="68"/>
        <v>0</v>
      </c>
      <c r="R126" s="238">
        <f t="shared" si="68"/>
        <v>0</v>
      </c>
      <c r="S126" s="238">
        <f t="shared" si="68"/>
        <v>0</v>
      </c>
      <c r="T126" s="238">
        <f t="shared" si="68"/>
        <v>0</v>
      </c>
      <c r="U126" s="238">
        <f t="shared" si="68"/>
        <v>0</v>
      </c>
      <c r="V126" s="238">
        <f t="shared" si="68"/>
        <v>0</v>
      </c>
      <c r="W126" s="238">
        <f t="shared" si="68"/>
        <v>0</v>
      </c>
      <c r="X126" s="238">
        <f t="shared" si="68"/>
        <v>0</v>
      </c>
      <c r="Y126" s="238">
        <f t="shared" si="68"/>
        <v>7.8000000000000007</v>
      </c>
      <c r="Z126" s="238">
        <f t="shared" si="68"/>
        <v>9.3999999999999986</v>
      </c>
      <c r="AA126" s="238">
        <f t="shared" si="68"/>
        <v>9.8000000000000007</v>
      </c>
      <c r="AB126" s="238">
        <f t="shared" si="68"/>
        <v>11.600000000000001</v>
      </c>
      <c r="AC126" s="238">
        <f t="shared" si="68"/>
        <v>11.7</v>
      </c>
      <c r="AD126" s="238">
        <f t="shared" si="68"/>
        <v>11.299999999999999</v>
      </c>
      <c r="AE126" s="238">
        <f t="shared" si="68"/>
        <v>11.7</v>
      </c>
      <c r="AF126" s="238">
        <f t="shared" si="68"/>
        <v>11.8</v>
      </c>
      <c r="AG126" s="238">
        <f t="shared" si="68"/>
        <v>11.8</v>
      </c>
      <c r="AH126" s="238">
        <f t="shared" si="68"/>
        <v>11.6</v>
      </c>
      <c r="AI126" s="238">
        <f t="shared" si="68"/>
        <v>9.3999999999999986</v>
      </c>
      <c r="AJ126" s="238">
        <f t="shared" si="68"/>
        <v>4.0999999999999996</v>
      </c>
      <c r="AK126" s="238">
        <f t="shared" si="68"/>
        <v>4.3</v>
      </c>
      <c r="AL126" s="238">
        <f t="shared" si="68"/>
        <v>4.6999999999999993</v>
      </c>
      <c r="AM126" s="238">
        <f t="shared" si="68"/>
        <v>3.2</v>
      </c>
      <c r="AN126" s="238">
        <f t="shared" si="68"/>
        <v>1.4</v>
      </c>
      <c r="AO126" s="238">
        <f t="shared" si="68"/>
        <v>0</v>
      </c>
      <c r="AP126" s="238">
        <f t="shared" si="68"/>
        <v>0</v>
      </c>
      <c r="AQ126" s="238">
        <f t="shared" si="68"/>
        <v>0</v>
      </c>
      <c r="AR126" s="238">
        <f t="shared" si="68"/>
        <v>0</v>
      </c>
      <c r="AS126" s="238">
        <f t="shared" si="68"/>
        <v>0</v>
      </c>
      <c r="AT126" s="238">
        <f t="shared" si="68"/>
        <v>0</v>
      </c>
      <c r="AU126" s="238">
        <f t="shared" si="68"/>
        <v>0</v>
      </c>
      <c r="AV126" s="238">
        <f t="shared" si="68"/>
        <v>0</v>
      </c>
    </row>
    <row r="128" spans="1:48" ht="15" customHeight="1">
      <c r="E128" s="18" t="str">
        <f xml:space="preserve"> E126</f>
        <v>Total tonnes mined</v>
      </c>
      <c r="F128" s="18">
        <f xml:space="preserve"> SUM(L126:AV126)</f>
        <v>135.59999999999997</v>
      </c>
      <c r="G128" s="18" t="str">
        <f xml:space="preserve"> G126</f>
        <v>MT</v>
      </c>
    </row>
    <row r="130" spans="1:48" ht="15" customHeight="1">
      <c r="E130" s="41" t="str">
        <f xml:space="preserve"> InputsTS!E$39</f>
        <v>Proven Reserves ore</v>
      </c>
      <c r="F130" s="41">
        <f xml:space="preserve"> InputsTS!F$39</f>
        <v>8.6999999999999993</v>
      </c>
      <c r="G130" s="41" t="str">
        <f xml:space="preserve"> InputsTS!G$39</f>
        <v>MT</v>
      </c>
    </row>
    <row r="131" spans="1:48" ht="15" customHeight="1">
      <c r="E131" s="41" t="str">
        <f xml:space="preserve"> InputsTS!E$42</f>
        <v>Probable Reserves ore</v>
      </c>
      <c r="F131" s="41">
        <f xml:space="preserve"> InputsTS!F$42</f>
        <v>124</v>
      </c>
      <c r="G131" s="41" t="str">
        <f xml:space="preserve"> InputsTS!G$42</f>
        <v>MT</v>
      </c>
    </row>
    <row r="132" spans="1:48" ht="15" customHeight="1">
      <c r="E132" s="18" t="s">
        <v>438</v>
      </c>
      <c r="F132" s="18">
        <f>SUM(F130:F131)</f>
        <v>132.69999999999999</v>
      </c>
      <c r="G132" s="18" t="s">
        <v>237</v>
      </c>
      <c r="I132" s="210" t="s">
        <v>439</v>
      </c>
    </row>
    <row r="134" spans="1:48" s="3" customFormat="1" ht="15" customHeight="1">
      <c r="A134" s="95"/>
      <c r="B134" s="95"/>
      <c r="C134" s="96"/>
      <c r="E134" s="3" t="str">
        <f xml:space="preserve"> B$45</f>
        <v>Table 93 - KTO UG Mineral Reserve LOM Schedule</v>
      </c>
      <c r="F134" s="3">
        <f xml:space="preserve"> F51</f>
        <v>0</v>
      </c>
      <c r="G134" s="3" t="str">
        <f xml:space="preserve"> G51</f>
        <v>KT Cu</v>
      </c>
      <c r="I134" s="3" t="str">
        <f xml:space="preserve"> I51</f>
        <v>XXII</v>
      </c>
      <c r="J134" s="3">
        <f xml:space="preserve"> J51</f>
        <v>688.9</v>
      </c>
      <c r="L134" s="3">
        <f t="shared" ref="L134:AV134" si="69" xml:space="preserve"> L51</f>
        <v>0</v>
      </c>
      <c r="M134" s="3">
        <f t="shared" si="69"/>
        <v>0</v>
      </c>
      <c r="N134" s="3">
        <f t="shared" si="69"/>
        <v>0</v>
      </c>
      <c r="O134" s="3">
        <f t="shared" si="69"/>
        <v>0</v>
      </c>
      <c r="P134" s="3">
        <f t="shared" si="69"/>
        <v>0</v>
      </c>
      <c r="Q134" s="3">
        <f t="shared" si="69"/>
        <v>0</v>
      </c>
      <c r="R134" s="3">
        <f t="shared" si="69"/>
        <v>0</v>
      </c>
      <c r="S134" s="3">
        <f t="shared" si="69"/>
        <v>0</v>
      </c>
      <c r="T134" s="3">
        <f t="shared" si="69"/>
        <v>0</v>
      </c>
      <c r="U134" s="3">
        <f t="shared" si="69"/>
        <v>0</v>
      </c>
      <c r="V134" s="3">
        <f t="shared" si="69"/>
        <v>0</v>
      </c>
      <c r="W134" s="3">
        <f t="shared" si="69"/>
        <v>0</v>
      </c>
      <c r="X134" s="3">
        <f t="shared" si="69"/>
        <v>0</v>
      </c>
      <c r="Y134" s="3">
        <f t="shared" si="69"/>
        <v>11.3</v>
      </c>
      <c r="Z134" s="3">
        <f t="shared" si="69"/>
        <v>13.3</v>
      </c>
      <c r="AA134" s="3">
        <f t="shared" si="69"/>
        <v>25.5</v>
      </c>
      <c r="AB134" s="3">
        <f t="shared" si="69"/>
        <v>50.1</v>
      </c>
      <c r="AC134" s="3">
        <f t="shared" si="69"/>
        <v>50.3</v>
      </c>
      <c r="AD134" s="3">
        <f t="shared" si="69"/>
        <v>53</v>
      </c>
      <c r="AE134" s="3">
        <f t="shared" si="69"/>
        <v>59.9</v>
      </c>
      <c r="AF134" s="3">
        <f t="shared" si="69"/>
        <v>52.3</v>
      </c>
      <c r="AG134" s="3">
        <f t="shared" si="69"/>
        <v>50.1</v>
      </c>
      <c r="AH134" s="3">
        <f t="shared" si="69"/>
        <v>54.4</v>
      </c>
      <c r="AI134" s="3">
        <f t="shared" si="69"/>
        <v>55.5</v>
      </c>
      <c r="AJ134" s="3">
        <f t="shared" si="69"/>
        <v>52.2</v>
      </c>
      <c r="AK134" s="3">
        <f t="shared" si="69"/>
        <v>54.5</v>
      </c>
      <c r="AL134" s="3">
        <f t="shared" si="69"/>
        <v>58.3</v>
      </c>
      <c r="AM134" s="3">
        <f t="shared" si="69"/>
        <v>37.6</v>
      </c>
      <c r="AN134" s="3">
        <f t="shared" si="69"/>
        <v>9.4</v>
      </c>
      <c r="AO134" s="3">
        <f t="shared" si="69"/>
        <v>1.2</v>
      </c>
      <c r="AP134" s="3">
        <f t="shared" si="69"/>
        <v>0</v>
      </c>
      <c r="AQ134" s="3">
        <f t="shared" si="69"/>
        <v>0</v>
      </c>
      <c r="AR134" s="3">
        <f t="shared" si="69"/>
        <v>0</v>
      </c>
      <c r="AS134" s="3">
        <f t="shared" si="69"/>
        <v>0</v>
      </c>
      <c r="AT134" s="3">
        <f t="shared" si="69"/>
        <v>0</v>
      </c>
      <c r="AU134" s="3">
        <f t="shared" si="69"/>
        <v>0</v>
      </c>
      <c r="AV134" s="3">
        <f t="shared" si="69"/>
        <v>0</v>
      </c>
    </row>
    <row r="135" spans="1:48" s="3" customFormat="1" ht="15" customHeight="1">
      <c r="A135" s="95"/>
      <c r="B135" s="95"/>
      <c r="C135" s="96"/>
      <c r="E135" s="3" t="str">
        <f xml:space="preserve"> B$57</f>
        <v>Table 96 - T17 UG Mineral Reserve LOM Schedule</v>
      </c>
      <c r="F135" s="3">
        <f xml:space="preserve"> F63</f>
        <v>0</v>
      </c>
      <c r="G135" s="3" t="str">
        <f xml:space="preserve"> G63</f>
        <v>KT Cu</v>
      </c>
      <c r="I135" s="3" t="str">
        <f xml:space="preserve"> I63</f>
        <v>XXII</v>
      </c>
      <c r="J135" s="3">
        <f xml:space="preserve"> J63</f>
        <v>349.49999999999994</v>
      </c>
      <c r="L135" s="3">
        <f t="shared" ref="L135:AV135" si="70" xml:space="preserve"> L63</f>
        <v>0</v>
      </c>
      <c r="M135" s="3">
        <f t="shared" si="70"/>
        <v>0</v>
      </c>
      <c r="N135" s="3">
        <f t="shared" si="70"/>
        <v>0</v>
      </c>
      <c r="O135" s="3">
        <f t="shared" si="70"/>
        <v>0</v>
      </c>
      <c r="P135" s="3">
        <f t="shared" si="70"/>
        <v>0</v>
      </c>
      <c r="Q135" s="3">
        <f t="shared" si="70"/>
        <v>0</v>
      </c>
      <c r="R135" s="3">
        <f t="shared" si="70"/>
        <v>0</v>
      </c>
      <c r="S135" s="3">
        <f t="shared" si="70"/>
        <v>0</v>
      </c>
      <c r="T135" s="3">
        <f t="shared" si="70"/>
        <v>0</v>
      </c>
      <c r="U135" s="3">
        <f t="shared" si="70"/>
        <v>0</v>
      </c>
      <c r="V135" s="3">
        <f t="shared" si="70"/>
        <v>0</v>
      </c>
      <c r="W135" s="3">
        <f t="shared" si="70"/>
        <v>0</v>
      </c>
      <c r="X135" s="3">
        <f t="shared" si="70"/>
        <v>0</v>
      </c>
      <c r="Y135" s="3">
        <f t="shared" si="70"/>
        <v>0</v>
      </c>
      <c r="Z135" s="3">
        <f t="shared" si="70"/>
        <v>0</v>
      </c>
      <c r="AA135" s="3">
        <f t="shared" si="70"/>
        <v>0</v>
      </c>
      <c r="AB135" s="3">
        <f t="shared" si="70"/>
        <v>0</v>
      </c>
      <c r="AC135" s="3">
        <f t="shared" si="70"/>
        <v>0</v>
      </c>
      <c r="AD135" s="3">
        <f t="shared" si="70"/>
        <v>0</v>
      </c>
      <c r="AE135" s="3">
        <f t="shared" si="70"/>
        <v>7.5</v>
      </c>
      <c r="AF135" s="3">
        <f t="shared" si="70"/>
        <v>29</v>
      </c>
      <c r="AG135" s="3">
        <f t="shared" si="70"/>
        <v>42.4</v>
      </c>
      <c r="AH135" s="3">
        <f t="shared" si="70"/>
        <v>46.1</v>
      </c>
      <c r="AI135" s="3">
        <f t="shared" si="70"/>
        <v>43</v>
      </c>
      <c r="AJ135" s="3">
        <f t="shared" si="70"/>
        <v>45.2</v>
      </c>
      <c r="AK135" s="3">
        <f t="shared" si="70"/>
        <v>45.2</v>
      </c>
      <c r="AL135" s="3">
        <f t="shared" si="70"/>
        <v>44.9</v>
      </c>
      <c r="AM135" s="3">
        <f t="shared" si="70"/>
        <v>29.9</v>
      </c>
      <c r="AN135" s="3">
        <f t="shared" si="70"/>
        <v>16.3</v>
      </c>
      <c r="AO135" s="3">
        <f t="shared" si="70"/>
        <v>0</v>
      </c>
      <c r="AP135" s="3">
        <f t="shared" si="70"/>
        <v>0</v>
      </c>
      <c r="AQ135" s="3">
        <f t="shared" si="70"/>
        <v>0</v>
      </c>
      <c r="AR135" s="3">
        <f t="shared" si="70"/>
        <v>0</v>
      </c>
      <c r="AS135" s="3">
        <f t="shared" si="70"/>
        <v>0</v>
      </c>
      <c r="AT135" s="3">
        <f t="shared" si="70"/>
        <v>0</v>
      </c>
      <c r="AU135" s="3">
        <f t="shared" si="70"/>
        <v>0</v>
      </c>
      <c r="AV135" s="3">
        <f t="shared" si="70"/>
        <v>0</v>
      </c>
    </row>
    <row r="136" spans="1:48" s="3" customFormat="1" ht="15" customHeight="1">
      <c r="A136" s="95"/>
      <c r="B136" s="95"/>
      <c r="C136" s="96"/>
      <c r="E136" s="3" t="str">
        <f xml:space="preserve"> B$69</f>
        <v>Table 103: KOV OP Mineral Reserve production profile</v>
      </c>
      <c r="F136" s="3">
        <f xml:space="preserve"> F73</f>
        <v>0</v>
      </c>
      <c r="G136" s="3" t="str">
        <f xml:space="preserve"> G73</f>
        <v>KT Cu</v>
      </c>
      <c r="I136" s="3" t="str">
        <f xml:space="preserve"> I73</f>
        <v>XXII</v>
      </c>
      <c r="J136" s="3">
        <f xml:space="preserve"> J73</f>
        <v>1820.5000000000002</v>
      </c>
      <c r="L136" s="3">
        <f t="shared" ref="L136:AV136" si="71" xml:space="preserve"> L73</f>
        <v>0</v>
      </c>
      <c r="M136" s="3">
        <f t="shared" si="71"/>
        <v>0</v>
      </c>
      <c r="N136" s="3">
        <f t="shared" si="71"/>
        <v>0</v>
      </c>
      <c r="O136" s="3">
        <f t="shared" si="71"/>
        <v>0</v>
      </c>
      <c r="P136" s="3">
        <f t="shared" si="71"/>
        <v>0</v>
      </c>
      <c r="Q136" s="3">
        <f t="shared" si="71"/>
        <v>0</v>
      </c>
      <c r="R136" s="3">
        <f t="shared" si="71"/>
        <v>0</v>
      </c>
      <c r="S136" s="3">
        <f t="shared" si="71"/>
        <v>0</v>
      </c>
      <c r="T136" s="3">
        <f t="shared" si="71"/>
        <v>0</v>
      </c>
      <c r="U136" s="3">
        <f t="shared" si="71"/>
        <v>0</v>
      </c>
      <c r="V136" s="3">
        <f t="shared" si="71"/>
        <v>0</v>
      </c>
      <c r="W136" s="3">
        <f t="shared" si="71"/>
        <v>0</v>
      </c>
      <c r="X136" s="3">
        <f t="shared" si="71"/>
        <v>0</v>
      </c>
      <c r="Y136" s="3">
        <f t="shared" si="71"/>
        <v>116.4</v>
      </c>
      <c r="Z136" s="3">
        <f t="shared" si="71"/>
        <v>150.1</v>
      </c>
      <c r="AA136" s="3">
        <f t="shared" si="71"/>
        <v>244.4</v>
      </c>
      <c r="AB136" s="3">
        <f t="shared" si="71"/>
        <v>145.30000000000001</v>
      </c>
      <c r="AC136" s="3">
        <f t="shared" si="71"/>
        <v>144.69999999999999</v>
      </c>
      <c r="AD136" s="3">
        <f t="shared" si="71"/>
        <v>167.9</v>
      </c>
      <c r="AE136" s="3">
        <f t="shared" si="71"/>
        <v>173.3</v>
      </c>
      <c r="AF136" s="3">
        <f t="shared" si="71"/>
        <v>214.3</v>
      </c>
      <c r="AG136" s="3">
        <f t="shared" si="71"/>
        <v>195.4</v>
      </c>
      <c r="AH136" s="3">
        <f t="shared" si="71"/>
        <v>190.9</v>
      </c>
      <c r="AI136" s="3">
        <f t="shared" si="71"/>
        <v>77.8</v>
      </c>
      <c r="AJ136" s="3">
        <f t="shared" si="71"/>
        <v>0</v>
      </c>
      <c r="AK136" s="3">
        <f t="shared" si="71"/>
        <v>0</v>
      </c>
      <c r="AL136" s="3">
        <f t="shared" si="71"/>
        <v>0</v>
      </c>
      <c r="AM136" s="3">
        <f t="shared" si="71"/>
        <v>0</v>
      </c>
      <c r="AN136" s="3">
        <f t="shared" si="71"/>
        <v>0</v>
      </c>
      <c r="AO136" s="3">
        <f t="shared" si="71"/>
        <v>0</v>
      </c>
      <c r="AP136" s="3">
        <f t="shared" si="71"/>
        <v>0</v>
      </c>
      <c r="AQ136" s="3">
        <f t="shared" si="71"/>
        <v>0</v>
      </c>
      <c r="AR136" s="3">
        <f t="shared" si="71"/>
        <v>0</v>
      </c>
      <c r="AS136" s="3">
        <f t="shared" si="71"/>
        <v>0</v>
      </c>
      <c r="AT136" s="3">
        <f t="shared" si="71"/>
        <v>0</v>
      </c>
      <c r="AU136" s="3">
        <f t="shared" si="71"/>
        <v>0</v>
      </c>
      <c r="AV136" s="3">
        <f t="shared" si="71"/>
        <v>0</v>
      </c>
    </row>
    <row r="137" spans="1:48" s="3" customFormat="1" ht="15" customHeight="1">
      <c r="A137" s="95"/>
      <c r="B137" s="95"/>
      <c r="C137" s="96"/>
      <c r="E137" s="3" t="str">
        <f xml:space="preserve"> B$80</f>
        <v>Table 108 - Mashamba East OP LOM Mineral Reserve Production</v>
      </c>
      <c r="F137" s="3">
        <f xml:space="preserve"> F84</f>
        <v>0</v>
      </c>
      <c r="G137" s="3" t="str">
        <f xml:space="preserve"> G84</f>
        <v>KT Cu</v>
      </c>
      <c r="I137" s="3" t="str">
        <f xml:space="preserve"> I84</f>
        <v>XXII</v>
      </c>
      <c r="J137" s="3">
        <f xml:space="preserve"> J84</f>
        <v>577.5</v>
      </c>
      <c r="L137" s="3">
        <f t="shared" ref="L137:AV137" si="72" xml:space="preserve"> L84</f>
        <v>0</v>
      </c>
      <c r="M137" s="3">
        <f t="shared" si="72"/>
        <v>0</v>
      </c>
      <c r="N137" s="3">
        <f t="shared" si="72"/>
        <v>0</v>
      </c>
      <c r="O137" s="3">
        <f t="shared" si="72"/>
        <v>0</v>
      </c>
      <c r="P137" s="3">
        <f t="shared" si="72"/>
        <v>0</v>
      </c>
      <c r="Q137" s="3">
        <f t="shared" si="72"/>
        <v>0</v>
      </c>
      <c r="R137" s="3">
        <f t="shared" si="72"/>
        <v>0</v>
      </c>
      <c r="S137" s="3">
        <f t="shared" si="72"/>
        <v>0</v>
      </c>
      <c r="T137" s="3">
        <f t="shared" si="72"/>
        <v>0</v>
      </c>
      <c r="U137" s="3">
        <f t="shared" si="72"/>
        <v>0</v>
      </c>
      <c r="V137" s="3">
        <f t="shared" si="72"/>
        <v>0</v>
      </c>
      <c r="W137" s="3">
        <f t="shared" si="72"/>
        <v>0</v>
      </c>
      <c r="X137" s="3">
        <f t="shared" si="72"/>
        <v>0</v>
      </c>
      <c r="Y137" s="3">
        <f t="shared" si="72"/>
        <v>87.9</v>
      </c>
      <c r="Z137" s="3">
        <f t="shared" si="72"/>
        <v>92.8</v>
      </c>
      <c r="AA137" s="3">
        <f t="shared" si="72"/>
        <v>19.399999999999999</v>
      </c>
      <c r="AB137" s="3">
        <f t="shared" si="72"/>
        <v>103.9</v>
      </c>
      <c r="AC137" s="3">
        <f t="shared" si="72"/>
        <v>104.8</v>
      </c>
      <c r="AD137" s="3">
        <f t="shared" si="72"/>
        <v>80</v>
      </c>
      <c r="AE137" s="3">
        <f t="shared" si="72"/>
        <v>59.3</v>
      </c>
      <c r="AF137" s="3">
        <f t="shared" si="72"/>
        <v>4.3</v>
      </c>
      <c r="AG137" s="3">
        <f t="shared" si="72"/>
        <v>12</v>
      </c>
      <c r="AH137" s="3">
        <f t="shared" si="72"/>
        <v>9.5</v>
      </c>
      <c r="AI137" s="3">
        <f t="shared" si="72"/>
        <v>3.6</v>
      </c>
      <c r="AJ137" s="3">
        <f t="shared" si="72"/>
        <v>0</v>
      </c>
      <c r="AK137" s="3">
        <f t="shared" si="72"/>
        <v>0</v>
      </c>
      <c r="AL137" s="3">
        <f t="shared" si="72"/>
        <v>0</v>
      </c>
      <c r="AM137" s="3">
        <f t="shared" si="72"/>
        <v>0</v>
      </c>
      <c r="AN137" s="3">
        <f t="shared" si="72"/>
        <v>0</v>
      </c>
      <c r="AO137" s="3">
        <f t="shared" si="72"/>
        <v>0</v>
      </c>
      <c r="AP137" s="3">
        <f t="shared" si="72"/>
        <v>0</v>
      </c>
      <c r="AQ137" s="3">
        <f t="shared" si="72"/>
        <v>0</v>
      </c>
      <c r="AR137" s="3">
        <f t="shared" si="72"/>
        <v>0</v>
      </c>
      <c r="AS137" s="3">
        <f t="shared" si="72"/>
        <v>0</v>
      </c>
      <c r="AT137" s="3">
        <f t="shared" si="72"/>
        <v>0</v>
      </c>
      <c r="AU137" s="3">
        <f t="shared" si="72"/>
        <v>0</v>
      </c>
      <c r="AV137" s="3">
        <f t="shared" si="72"/>
        <v>0</v>
      </c>
    </row>
    <row r="138" spans="1:48" s="3" customFormat="1" ht="15" customHeight="1">
      <c r="A138" s="95"/>
      <c r="B138" s="95"/>
      <c r="C138" s="96"/>
      <c r="E138" s="3" t="s">
        <v>440</v>
      </c>
      <c r="G138" s="3" t="s">
        <v>21</v>
      </c>
      <c r="I138" s="97"/>
      <c r="J138" s="3">
        <f xml:space="preserve"> SUM(L138:AV138)</f>
        <v>3436.3999999999996</v>
      </c>
      <c r="K138" s="98"/>
      <c r="L138" s="3">
        <f t="shared" ref="L138:AV138" si="73">SUM(L134:L137)</f>
        <v>0</v>
      </c>
      <c r="M138" s="3">
        <f t="shared" si="73"/>
        <v>0</v>
      </c>
      <c r="N138" s="3">
        <f t="shared" si="73"/>
        <v>0</v>
      </c>
      <c r="O138" s="3">
        <f t="shared" si="73"/>
        <v>0</v>
      </c>
      <c r="P138" s="3">
        <f t="shared" si="73"/>
        <v>0</v>
      </c>
      <c r="Q138" s="3">
        <f t="shared" si="73"/>
        <v>0</v>
      </c>
      <c r="R138" s="3">
        <f t="shared" si="73"/>
        <v>0</v>
      </c>
      <c r="S138" s="3">
        <f t="shared" si="73"/>
        <v>0</v>
      </c>
      <c r="T138" s="3">
        <f t="shared" si="73"/>
        <v>0</v>
      </c>
      <c r="U138" s="3">
        <f t="shared" si="73"/>
        <v>0</v>
      </c>
      <c r="V138" s="3">
        <f t="shared" si="73"/>
        <v>0</v>
      </c>
      <c r="W138" s="3">
        <f t="shared" si="73"/>
        <v>0</v>
      </c>
      <c r="X138" s="3">
        <f t="shared" si="73"/>
        <v>0</v>
      </c>
      <c r="Y138" s="3">
        <f t="shared" si="73"/>
        <v>215.60000000000002</v>
      </c>
      <c r="Z138" s="3">
        <f t="shared" si="73"/>
        <v>256.2</v>
      </c>
      <c r="AA138" s="3">
        <f t="shared" si="73"/>
        <v>289.29999999999995</v>
      </c>
      <c r="AB138" s="3">
        <f t="shared" si="73"/>
        <v>299.3</v>
      </c>
      <c r="AC138" s="3">
        <f t="shared" si="73"/>
        <v>299.8</v>
      </c>
      <c r="AD138" s="3">
        <f t="shared" si="73"/>
        <v>300.89999999999998</v>
      </c>
      <c r="AE138" s="3">
        <f t="shared" si="73"/>
        <v>300</v>
      </c>
      <c r="AF138" s="3">
        <f t="shared" si="73"/>
        <v>299.90000000000003</v>
      </c>
      <c r="AG138" s="3">
        <f t="shared" si="73"/>
        <v>299.89999999999998</v>
      </c>
      <c r="AH138" s="3">
        <f t="shared" si="73"/>
        <v>300.89999999999998</v>
      </c>
      <c r="AI138" s="3">
        <f t="shared" si="73"/>
        <v>179.9</v>
      </c>
      <c r="AJ138" s="3">
        <f t="shared" si="73"/>
        <v>97.4</v>
      </c>
      <c r="AK138" s="3">
        <f t="shared" si="73"/>
        <v>99.7</v>
      </c>
      <c r="AL138" s="3">
        <f t="shared" si="73"/>
        <v>103.19999999999999</v>
      </c>
      <c r="AM138" s="3">
        <f t="shared" si="73"/>
        <v>67.5</v>
      </c>
      <c r="AN138" s="3">
        <f t="shared" si="73"/>
        <v>25.700000000000003</v>
      </c>
      <c r="AO138" s="3">
        <f t="shared" si="73"/>
        <v>1.2</v>
      </c>
      <c r="AP138" s="3">
        <f t="shared" si="73"/>
        <v>0</v>
      </c>
      <c r="AQ138" s="3">
        <f t="shared" si="73"/>
        <v>0</v>
      </c>
      <c r="AR138" s="3">
        <f t="shared" si="73"/>
        <v>0</v>
      </c>
      <c r="AS138" s="3">
        <f t="shared" si="73"/>
        <v>0</v>
      </c>
      <c r="AT138" s="3">
        <f t="shared" si="73"/>
        <v>0</v>
      </c>
      <c r="AU138" s="3">
        <f t="shared" si="73"/>
        <v>0</v>
      </c>
      <c r="AV138" s="3">
        <f t="shared" si="73"/>
        <v>0</v>
      </c>
    </row>
    <row r="140" spans="1:48" s="3" customFormat="1" ht="15" customHeight="1">
      <c r="A140" s="95"/>
      <c r="B140" s="95"/>
      <c r="C140" s="96"/>
      <c r="E140" s="3" t="str">
        <f xml:space="preserve"> B$45</f>
        <v>Table 93 - KTO UG Mineral Reserve LOM Schedule</v>
      </c>
      <c r="F140" s="3">
        <f xml:space="preserve"> F57</f>
        <v>0</v>
      </c>
      <c r="G140" s="3" t="s">
        <v>394</v>
      </c>
      <c r="J140" s="3">
        <f xml:space="preserve"> SUM(L140:AV140)</f>
        <v>93.3</v>
      </c>
      <c r="L140" s="3">
        <f t="shared" ref="L140:AV140" si="74" xml:space="preserve"> L52</f>
        <v>0</v>
      </c>
      <c r="M140" s="3">
        <f t="shared" si="74"/>
        <v>0</v>
      </c>
      <c r="N140" s="3">
        <f t="shared" si="74"/>
        <v>0</v>
      </c>
      <c r="O140" s="3">
        <f t="shared" si="74"/>
        <v>0</v>
      </c>
      <c r="P140" s="3">
        <f t="shared" si="74"/>
        <v>0</v>
      </c>
      <c r="Q140" s="3">
        <f t="shared" si="74"/>
        <v>0</v>
      </c>
      <c r="R140" s="3">
        <f t="shared" si="74"/>
        <v>0</v>
      </c>
      <c r="S140" s="3">
        <f t="shared" si="74"/>
        <v>0</v>
      </c>
      <c r="T140" s="3">
        <f t="shared" si="74"/>
        <v>0</v>
      </c>
      <c r="U140" s="3">
        <f t="shared" si="74"/>
        <v>0</v>
      </c>
      <c r="V140" s="3">
        <f t="shared" si="74"/>
        <v>0</v>
      </c>
      <c r="W140" s="3">
        <f t="shared" si="74"/>
        <v>0</v>
      </c>
      <c r="X140" s="3">
        <f t="shared" si="74"/>
        <v>0</v>
      </c>
      <c r="Y140" s="3">
        <f t="shared" si="74"/>
        <v>1.2</v>
      </c>
      <c r="Z140" s="3">
        <f t="shared" si="74"/>
        <v>1.1000000000000001</v>
      </c>
      <c r="AA140" s="3">
        <f t="shared" si="74"/>
        <v>2.8</v>
      </c>
      <c r="AB140" s="3">
        <f t="shared" si="74"/>
        <v>5.9</v>
      </c>
      <c r="AC140" s="3">
        <f t="shared" si="74"/>
        <v>7</v>
      </c>
      <c r="AD140" s="3">
        <f t="shared" si="74"/>
        <v>7</v>
      </c>
      <c r="AE140" s="3">
        <f t="shared" si="74"/>
        <v>7.3</v>
      </c>
      <c r="AF140" s="3">
        <f t="shared" si="74"/>
        <v>7.4</v>
      </c>
      <c r="AG140" s="3">
        <f t="shared" si="74"/>
        <v>7.1</v>
      </c>
      <c r="AH140" s="3">
        <f t="shared" si="74"/>
        <v>7.4</v>
      </c>
      <c r="AI140" s="3">
        <f t="shared" si="74"/>
        <v>9</v>
      </c>
      <c r="AJ140" s="3">
        <f t="shared" si="74"/>
        <v>7.9</v>
      </c>
      <c r="AK140" s="3">
        <f t="shared" si="74"/>
        <v>9.4</v>
      </c>
      <c r="AL140" s="3">
        <f t="shared" si="74"/>
        <v>8.4</v>
      </c>
      <c r="AM140" s="3">
        <f t="shared" si="74"/>
        <v>3.6</v>
      </c>
      <c r="AN140" s="3">
        <f t="shared" si="74"/>
        <v>0.7</v>
      </c>
      <c r="AO140" s="3">
        <f t="shared" si="74"/>
        <v>0.1</v>
      </c>
      <c r="AP140" s="3">
        <f t="shared" si="74"/>
        <v>0</v>
      </c>
      <c r="AQ140" s="3">
        <f t="shared" si="74"/>
        <v>0</v>
      </c>
      <c r="AR140" s="3">
        <f t="shared" si="74"/>
        <v>0</v>
      </c>
      <c r="AS140" s="3">
        <f t="shared" si="74"/>
        <v>0</v>
      </c>
      <c r="AT140" s="3">
        <f t="shared" si="74"/>
        <v>0</v>
      </c>
      <c r="AU140" s="3">
        <f t="shared" si="74"/>
        <v>0</v>
      </c>
      <c r="AV140" s="3">
        <f t="shared" si="74"/>
        <v>0</v>
      </c>
    </row>
    <row r="141" spans="1:48" s="3" customFormat="1" ht="15" customHeight="1">
      <c r="A141" s="95"/>
      <c r="B141" s="95"/>
      <c r="C141" s="96"/>
      <c r="E141" s="3" t="str">
        <f xml:space="preserve"> B$57</f>
        <v>Table 96 - T17 UG Mineral Reserve LOM Schedule</v>
      </c>
      <c r="F141" s="3">
        <f xml:space="preserve"> F69</f>
        <v>0</v>
      </c>
      <c r="G141" s="3" t="s">
        <v>394</v>
      </c>
      <c r="J141" s="3">
        <f t="shared" ref="J141:J143" si="75" xml:space="preserve"> SUM(L141:AV141)</f>
        <v>45.4</v>
      </c>
      <c r="L141" s="3">
        <f t="shared" ref="L141:AV141" si="76" xml:space="preserve"> L64</f>
        <v>0</v>
      </c>
      <c r="M141" s="3">
        <f t="shared" si="76"/>
        <v>0</v>
      </c>
      <c r="N141" s="3">
        <f t="shared" si="76"/>
        <v>0</v>
      </c>
      <c r="O141" s="3">
        <f t="shared" si="76"/>
        <v>0</v>
      </c>
      <c r="P141" s="3">
        <f t="shared" si="76"/>
        <v>0</v>
      </c>
      <c r="Q141" s="3">
        <f t="shared" si="76"/>
        <v>0</v>
      </c>
      <c r="R141" s="3">
        <f t="shared" si="76"/>
        <v>0</v>
      </c>
      <c r="S141" s="3">
        <f t="shared" si="76"/>
        <v>0</v>
      </c>
      <c r="T141" s="3">
        <f t="shared" si="76"/>
        <v>0</v>
      </c>
      <c r="U141" s="3">
        <f t="shared" si="76"/>
        <v>0</v>
      </c>
      <c r="V141" s="3">
        <f t="shared" si="76"/>
        <v>0</v>
      </c>
      <c r="W141" s="3">
        <f t="shared" si="76"/>
        <v>0</v>
      </c>
      <c r="X141" s="3">
        <f t="shared" si="76"/>
        <v>0</v>
      </c>
      <c r="Y141" s="3">
        <f t="shared" si="76"/>
        <v>0</v>
      </c>
      <c r="Z141" s="3">
        <f t="shared" si="76"/>
        <v>0</v>
      </c>
      <c r="AA141" s="3">
        <f t="shared" si="76"/>
        <v>0</v>
      </c>
      <c r="AB141" s="3">
        <f t="shared" si="76"/>
        <v>0</v>
      </c>
      <c r="AC141" s="3">
        <f t="shared" si="76"/>
        <v>0</v>
      </c>
      <c r="AD141" s="3">
        <f t="shared" si="76"/>
        <v>0</v>
      </c>
      <c r="AE141" s="3">
        <f t="shared" si="76"/>
        <v>0.6</v>
      </c>
      <c r="AF141" s="3">
        <f t="shared" si="76"/>
        <v>3.5</v>
      </c>
      <c r="AG141" s="3">
        <f t="shared" si="76"/>
        <v>7.2</v>
      </c>
      <c r="AH141" s="3">
        <f t="shared" si="76"/>
        <v>6.3</v>
      </c>
      <c r="AI141" s="3">
        <f t="shared" si="76"/>
        <v>4.5999999999999996</v>
      </c>
      <c r="AJ141" s="3">
        <f t="shared" si="76"/>
        <v>4.9000000000000004</v>
      </c>
      <c r="AK141" s="3">
        <f t="shared" si="76"/>
        <v>6</v>
      </c>
      <c r="AL141" s="3">
        <f t="shared" si="76"/>
        <v>6.3</v>
      </c>
      <c r="AM141" s="3">
        <f t="shared" si="76"/>
        <v>4.0999999999999996</v>
      </c>
      <c r="AN141" s="3">
        <f t="shared" si="76"/>
        <v>1.9</v>
      </c>
      <c r="AO141" s="3">
        <f t="shared" si="76"/>
        <v>0</v>
      </c>
      <c r="AP141" s="3">
        <f t="shared" si="76"/>
        <v>0</v>
      </c>
      <c r="AQ141" s="3">
        <f t="shared" si="76"/>
        <v>0</v>
      </c>
      <c r="AR141" s="3">
        <f t="shared" si="76"/>
        <v>0</v>
      </c>
      <c r="AS141" s="3">
        <f t="shared" si="76"/>
        <v>0</v>
      </c>
      <c r="AT141" s="3">
        <f t="shared" si="76"/>
        <v>0</v>
      </c>
      <c r="AU141" s="3">
        <f t="shared" si="76"/>
        <v>0</v>
      </c>
      <c r="AV141" s="3">
        <f t="shared" si="76"/>
        <v>0</v>
      </c>
    </row>
    <row r="142" spans="1:48" s="3" customFormat="1" ht="15" customHeight="1">
      <c r="A142" s="95"/>
      <c r="B142" s="95"/>
      <c r="C142" s="96"/>
      <c r="E142" s="3" t="str">
        <f xml:space="preserve"> B$69</f>
        <v>Table 103: KOV OP Mineral Reserve production profile</v>
      </c>
      <c r="F142" s="3">
        <f xml:space="preserve"> F79</f>
        <v>0</v>
      </c>
      <c r="G142" s="3" t="s">
        <v>394</v>
      </c>
      <c r="J142" s="3">
        <f t="shared" si="75"/>
        <v>178.20000000000002</v>
      </c>
      <c r="L142" s="3">
        <f t="shared" ref="L142:AV142" si="77" xml:space="preserve"> L74</f>
        <v>0</v>
      </c>
      <c r="M142" s="3">
        <f t="shared" si="77"/>
        <v>0</v>
      </c>
      <c r="N142" s="3">
        <f t="shared" si="77"/>
        <v>0</v>
      </c>
      <c r="O142" s="3">
        <f t="shared" si="77"/>
        <v>0</v>
      </c>
      <c r="P142" s="3">
        <f t="shared" si="77"/>
        <v>0</v>
      </c>
      <c r="Q142" s="3">
        <f t="shared" si="77"/>
        <v>0</v>
      </c>
      <c r="R142" s="3">
        <f t="shared" si="77"/>
        <v>0</v>
      </c>
      <c r="S142" s="3">
        <f t="shared" si="77"/>
        <v>0</v>
      </c>
      <c r="T142" s="3">
        <f t="shared" si="77"/>
        <v>0</v>
      </c>
      <c r="U142" s="3">
        <f t="shared" si="77"/>
        <v>0</v>
      </c>
      <c r="V142" s="3">
        <f t="shared" si="77"/>
        <v>0</v>
      </c>
      <c r="W142" s="3">
        <f t="shared" si="77"/>
        <v>0</v>
      </c>
      <c r="X142" s="3">
        <f t="shared" si="77"/>
        <v>0</v>
      </c>
      <c r="Y142" s="3">
        <f t="shared" si="77"/>
        <v>12.2</v>
      </c>
      <c r="Z142" s="3">
        <f t="shared" si="77"/>
        <v>15.7</v>
      </c>
      <c r="AA142" s="3">
        <f t="shared" si="77"/>
        <v>30.3</v>
      </c>
      <c r="AB142" s="3">
        <f t="shared" si="77"/>
        <v>11.9</v>
      </c>
      <c r="AC142" s="3">
        <f t="shared" si="77"/>
        <v>12</v>
      </c>
      <c r="AD142" s="3">
        <f t="shared" si="77"/>
        <v>16.3</v>
      </c>
      <c r="AE142" s="3">
        <f t="shared" si="77"/>
        <v>16.399999999999999</v>
      </c>
      <c r="AF142" s="3">
        <f t="shared" si="77"/>
        <v>25.3</v>
      </c>
      <c r="AG142" s="3">
        <f t="shared" si="77"/>
        <v>18.2</v>
      </c>
      <c r="AH142" s="3">
        <f t="shared" si="77"/>
        <v>14.5</v>
      </c>
      <c r="AI142" s="3">
        <f t="shared" si="77"/>
        <v>5.4</v>
      </c>
      <c r="AJ142" s="3">
        <f t="shared" si="77"/>
        <v>0</v>
      </c>
      <c r="AK142" s="3">
        <f t="shared" si="77"/>
        <v>0</v>
      </c>
      <c r="AL142" s="3">
        <f t="shared" si="77"/>
        <v>0</v>
      </c>
      <c r="AM142" s="3">
        <f t="shared" si="77"/>
        <v>0</v>
      </c>
      <c r="AN142" s="3">
        <f t="shared" si="77"/>
        <v>0</v>
      </c>
      <c r="AO142" s="3">
        <f t="shared" si="77"/>
        <v>0</v>
      </c>
      <c r="AP142" s="3">
        <f t="shared" si="77"/>
        <v>0</v>
      </c>
      <c r="AQ142" s="3">
        <f t="shared" si="77"/>
        <v>0</v>
      </c>
      <c r="AR142" s="3">
        <f t="shared" si="77"/>
        <v>0</v>
      </c>
      <c r="AS142" s="3">
        <f t="shared" si="77"/>
        <v>0</v>
      </c>
      <c r="AT142" s="3">
        <f t="shared" si="77"/>
        <v>0</v>
      </c>
      <c r="AU142" s="3">
        <f t="shared" si="77"/>
        <v>0</v>
      </c>
      <c r="AV142" s="3">
        <f t="shared" si="77"/>
        <v>0</v>
      </c>
    </row>
    <row r="143" spans="1:48" s="3" customFormat="1" ht="15" customHeight="1">
      <c r="A143" s="95"/>
      <c r="B143" s="95"/>
      <c r="C143" s="96"/>
      <c r="E143" s="3" t="str">
        <f xml:space="preserve"> B$80</f>
        <v>Table 108 - Mashamba East OP LOM Mineral Reserve Production</v>
      </c>
      <c r="F143" s="3">
        <f xml:space="preserve"> F90</f>
        <v>0</v>
      </c>
      <c r="G143" s="3" t="s">
        <v>394</v>
      </c>
      <c r="J143" s="3">
        <f t="shared" si="75"/>
        <v>122.39999999999999</v>
      </c>
      <c r="L143" s="3">
        <f t="shared" ref="L143:AV143" si="78" xml:space="preserve"> L85</f>
        <v>0</v>
      </c>
      <c r="M143" s="3">
        <f t="shared" si="78"/>
        <v>0</v>
      </c>
      <c r="N143" s="3">
        <f t="shared" si="78"/>
        <v>0</v>
      </c>
      <c r="O143" s="3">
        <f t="shared" si="78"/>
        <v>0</v>
      </c>
      <c r="P143" s="3">
        <f t="shared" si="78"/>
        <v>0</v>
      </c>
      <c r="Q143" s="3">
        <f t="shared" si="78"/>
        <v>0</v>
      </c>
      <c r="R143" s="3">
        <f t="shared" si="78"/>
        <v>0</v>
      </c>
      <c r="S143" s="3">
        <f t="shared" si="78"/>
        <v>0</v>
      </c>
      <c r="T143" s="3">
        <f t="shared" si="78"/>
        <v>0</v>
      </c>
      <c r="U143" s="3">
        <f t="shared" si="78"/>
        <v>0</v>
      </c>
      <c r="V143" s="3">
        <f t="shared" si="78"/>
        <v>0</v>
      </c>
      <c r="W143" s="3">
        <f t="shared" si="78"/>
        <v>0</v>
      </c>
      <c r="X143" s="3">
        <f t="shared" si="78"/>
        <v>0</v>
      </c>
      <c r="Y143" s="3">
        <f t="shared" si="78"/>
        <v>11.6</v>
      </c>
      <c r="Z143" s="3">
        <f t="shared" si="78"/>
        <v>12.7</v>
      </c>
      <c r="AA143" s="3">
        <f t="shared" si="78"/>
        <v>5.3</v>
      </c>
      <c r="AB143" s="3">
        <f t="shared" si="78"/>
        <v>22.7</v>
      </c>
      <c r="AC143" s="3">
        <f t="shared" si="78"/>
        <v>23</v>
      </c>
      <c r="AD143" s="3">
        <f t="shared" si="78"/>
        <v>21.9</v>
      </c>
      <c r="AE143" s="3">
        <f t="shared" si="78"/>
        <v>18</v>
      </c>
      <c r="AF143" s="3">
        <f t="shared" si="78"/>
        <v>1.2</v>
      </c>
      <c r="AG143" s="3">
        <f t="shared" si="78"/>
        <v>3.7</v>
      </c>
      <c r="AH143" s="3">
        <f t="shared" si="78"/>
        <v>2.2000000000000002</v>
      </c>
      <c r="AI143" s="3">
        <f t="shared" si="78"/>
        <v>0.1</v>
      </c>
      <c r="AJ143" s="3">
        <f t="shared" si="78"/>
        <v>0</v>
      </c>
      <c r="AK143" s="3">
        <f t="shared" si="78"/>
        <v>0</v>
      </c>
      <c r="AL143" s="3">
        <f t="shared" si="78"/>
        <v>0</v>
      </c>
      <c r="AM143" s="3">
        <f t="shared" si="78"/>
        <v>0</v>
      </c>
      <c r="AN143" s="3">
        <f t="shared" si="78"/>
        <v>0</v>
      </c>
      <c r="AO143" s="3">
        <f t="shared" si="78"/>
        <v>0</v>
      </c>
      <c r="AP143" s="3">
        <f t="shared" si="78"/>
        <v>0</v>
      </c>
      <c r="AQ143" s="3">
        <f t="shared" si="78"/>
        <v>0</v>
      </c>
      <c r="AR143" s="3">
        <f t="shared" si="78"/>
        <v>0</v>
      </c>
      <c r="AS143" s="3">
        <f t="shared" si="78"/>
        <v>0</v>
      </c>
      <c r="AT143" s="3">
        <f t="shared" si="78"/>
        <v>0</v>
      </c>
      <c r="AU143" s="3">
        <f t="shared" si="78"/>
        <v>0</v>
      </c>
      <c r="AV143" s="3">
        <f t="shared" si="78"/>
        <v>0</v>
      </c>
    </row>
    <row r="144" spans="1:48" s="3" customFormat="1" ht="15" customHeight="1">
      <c r="A144" s="95"/>
      <c r="B144" s="95"/>
      <c r="C144" s="96"/>
      <c r="E144" s="3" t="s">
        <v>440</v>
      </c>
      <c r="G144" s="3" t="s">
        <v>394</v>
      </c>
      <c r="I144" s="97"/>
      <c r="J144" s="3">
        <f xml:space="preserve"> SUM(L144:AV144)</f>
        <v>439.30000000000007</v>
      </c>
      <c r="K144" s="98"/>
      <c r="L144" s="3">
        <f t="shared" ref="L144" si="79">SUM(L140:L143)</f>
        <v>0</v>
      </c>
      <c r="M144" s="3">
        <f t="shared" ref="M144" si="80">SUM(M140:M143)</f>
        <v>0</v>
      </c>
      <c r="N144" s="3">
        <f t="shared" ref="N144" si="81">SUM(N140:N143)</f>
        <v>0</v>
      </c>
      <c r="O144" s="3">
        <f t="shared" ref="O144" si="82">SUM(O140:O143)</f>
        <v>0</v>
      </c>
      <c r="P144" s="3">
        <f t="shared" ref="P144" si="83">SUM(P140:P143)</f>
        <v>0</v>
      </c>
      <c r="Q144" s="3">
        <f t="shared" ref="Q144" si="84">SUM(Q140:Q143)</f>
        <v>0</v>
      </c>
      <c r="R144" s="3">
        <f t="shared" ref="R144" si="85">SUM(R140:R143)</f>
        <v>0</v>
      </c>
      <c r="S144" s="3">
        <f t="shared" ref="S144" si="86">SUM(S140:S143)</f>
        <v>0</v>
      </c>
      <c r="T144" s="3">
        <f t="shared" ref="T144" si="87">SUM(T140:T143)</f>
        <v>0</v>
      </c>
      <c r="U144" s="3">
        <f t="shared" ref="U144" si="88">SUM(U140:U143)</f>
        <v>0</v>
      </c>
      <c r="V144" s="3">
        <f t="shared" ref="V144" si="89">SUM(V140:V143)</f>
        <v>0</v>
      </c>
      <c r="W144" s="3">
        <f t="shared" ref="W144" si="90">SUM(W140:W143)</f>
        <v>0</v>
      </c>
      <c r="X144" s="3">
        <f t="shared" ref="X144" si="91">SUM(X140:X143)</f>
        <v>0</v>
      </c>
      <c r="Y144" s="3">
        <f t="shared" ref="Y144" si="92">SUM(Y140:Y143)</f>
        <v>25</v>
      </c>
      <c r="Z144" s="3">
        <f t="shared" ref="Z144" si="93">SUM(Z140:Z143)</f>
        <v>29.5</v>
      </c>
      <c r="AA144" s="3">
        <f t="shared" ref="AA144" si="94">SUM(AA140:AA143)</f>
        <v>38.4</v>
      </c>
      <c r="AB144" s="3">
        <f t="shared" ref="AB144" si="95">SUM(AB140:AB143)</f>
        <v>40.5</v>
      </c>
      <c r="AC144" s="3">
        <f t="shared" ref="AC144" si="96">SUM(AC140:AC143)</f>
        <v>42</v>
      </c>
      <c r="AD144" s="3">
        <f t="shared" ref="AD144" si="97">SUM(AD140:AD143)</f>
        <v>45.2</v>
      </c>
      <c r="AE144" s="3">
        <f t="shared" ref="AE144" si="98">SUM(AE140:AE143)</f>
        <v>42.3</v>
      </c>
      <c r="AF144" s="3">
        <f t="shared" ref="AF144" si="99">SUM(AF140:AF143)</f>
        <v>37.400000000000006</v>
      </c>
      <c r="AG144" s="3">
        <f t="shared" ref="AG144" si="100">SUM(AG140:AG143)</f>
        <v>36.200000000000003</v>
      </c>
      <c r="AH144" s="3">
        <f t="shared" ref="AH144" si="101">SUM(AH140:AH143)</f>
        <v>30.4</v>
      </c>
      <c r="AI144" s="3">
        <f t="shared" ref="AI144" si="102">SUM(AI140:AI143)</f>
        <v>19.100000000000001</v>
      </c>
      <c r="AJ144" s="3">
        <f t="shared" ref="AJ144" si="103">SUM(AJ140:AJ143)</f>
        <v>12.8</v>
      </c>
      <c r="AK144" s="3">
        <f t="shared" ref="AK144" si="104">SUM(AK140:AK143)</f>
        <v>15.4</v>
      </c>
      <c r="AL144" s="3">
        <f t="shared" ref="AL144" si="105">SUM(AL140:AL143)</f>
        <v>14.7</v>
      </c>
      <c r="AM144" s="3">
        <f t="shared" ref="AM144" si="106">SUM(AM140:AM143)</f>
        <v>7.6999999999999993</v>
      </c>
      <c r="AN144" s="3">
        <f t="shared" ref="AN144" si="107">SUM(AN140:AN143)</f>
        <v>2.5999999999999996</v>
      </c>
      <c r="AO144" s="3">
        <f t="shared" ref="AO144" si="108">SUM(AO140:AO143)</f>
        <v>0.1</v>
      </c>
      <c r="AP144" s="3">
        <f t="shared" ref="AP144" si="109">SUM(AP140:AP143)</f>
        <v>0</v>
      </c>
      <c r="AQ144" s="3">
        <f t="shared" ref="AQ144" si="110">SUM(AQ140:AQ143)</f>
        <v>0</v>
      </c>
      <c r="AR144" s="3">
        <f t="shared" ref="AR144" si="111">SUM(AR140:AR143)</f>
        <v>0</v>
      </c>
      <c r="AS144" s="3">
        <f t="shared" ref="AS144" si="112">SUM(AS140:AS143)</f>
        <v>0</v>
      </c>
      <c r="AT144" s="3">
        <f t="shared" ref="AT144" si="113">SUM(AT140:AT143)</f>
        <v>0</v>
      </c>
      <c r="AU144" s="3">
        <f t="shared" ref="AU144" si="114">SUM(AU140:AU143)</f>
        <v>0</v>
      </c>
      <c r="AV144" s="3">
        <f t="shared" ref="AV144" si="115">SUM(AV140:AV143)</f>
        <v>0</v>
      </c>
    </row>
    <row r="145" spans="1:48" ht="15" customHeight="1">
      <c r="G145" s="3"/>
      <c r="H145" s="3"/>
    </row>
    <row r="146" spans="1:48" ht="15" customHeight="1">
      <c r="C146" s="17" t="s">
        <v>441</v>
      </c>
      <c r="G146" s="3"/>
      <c r="H146" s="3"/>
    </row>
    <row r="148" spans="1:48" s="3" customFormat="1" ht="15" customHeight="1">
      <c r="A148" s="95"/>
      <c r="B148" s="95"/>
      <c r="C148" s="96"/>
      <c r="E148" s="3" t="s">
        <v>442</v>
      </c>
      <c r="G148" s="3" t="str">
        <f xml:space="preserve"> G41</f>
        <v>MT</v>
      </c>
      <c r="I148" s="102" t="s">
        <v>443</v>
      </c>
      <c r="J148" s="3">
        <f xml:space="preserve"> SUM(L148:AN148)</f>
        <v>5.4999999999999982</v>
      </c>
      <c r="K148" s="98"/>
      <c r="L148" s="3">
        <f t="shared" ref="L148:AN148" si="116" xml:space="preserve"> L41 - L46 - L58 - L70 - L81</f>
        <v>0</v>
      </c>
      <c r="M148" s="3">
        <f t="shared" si="116"/>
        <v>0</v>
      </c>
      <c r="N148" s="3">
        <f t="shared" si="116"/>
        <v>0</v>
      </c>
      <c r="O148" s="3">
        <f t="shared" si="116"/>
        <v>0</v>
      </c>
      <c r="P148" s="3">
        <f t="shared" si="116"/>
        <v>0</v>
      </c>
      <c r="Q148" s="3">
        <f t="shared" si="116"/>
        <v>0</v>
      </c>
      <c r="R148" s="3">
        <f t="shared" si="116"/>
        <v>0</v>
      </c>
      <c r="S148" s="3">
        <f t="shared" si="116"/>
        <v>0</v>
      </c>
      <c r="T148" s="3">
        <f t="shared" si="116"/>
        <v>0</v>
      </c>
      <c r="U148" s="3">
        <f t="shared" si="116"/>
        <v>0</v>
      </c>
      <c r="V148" s="3">
        <f t="shared" si="116"/>
        <v>0</v>
      </c>
      <c r="W148" s="3">
        <f t="shared" si="116"/>
        <v>0</v>
      </c>
      <c r="X148" s="3">
        <f t="shared" si="116"/>
        <v>0</v>
      </c>
      <c r="Y148" s="3">
        <f t="shared" si="116"/>
        <v>2.4999999999999996</v>
      </c>
      <c r="Z148" s="3">
        <f t="shared" si="116"/>
        <v>2.2000000000000002</v>
      </c>
      <c r="AA148" s="3">
        <f t="shared" si="116"/>
        <v>1.0000000000000007</v>
      </c>
      <c r="AB148" s="3">
        <f t="shared" si="116"/>
        <v>-9.9999999999999645E-2</v>
      </c>
      <c r="AC148" s="3">
        <f t="shared" si="116"/>
        <v>-0.10000000000000053</v>
      </c>
      <c r="AD148" s="3">
        <f t="shared" si="116"/>
        <v>0</v>
      </c>
      <c r="AE148" s="3">
        <f t="shared" si="116"/>
        <v>0</v>
      </c>
      <c r="AF148" s="3">
        <f t="shared" si="116"/>
        <v>-1.4432899320127035E-15</v>
      </c>
      <c r="AG148" s="3">
        <f t="shared" si="116"/>
        <v>0</v>
      </c>
      <c r="AH148" s="3">
        <f t="shared" si="116"/>
        <v>0</v>
      </c>
      <c r="AI148" s="3">
        <f t="shared" si="116"/>
        <v>0</v>
      </c>
      <c r="AJ148" s="3">
        <f t="shared" si="116"/>
        <v>0</v>
      </c>
      <c r="AK148" s="3">
        <f t="shared" si="116"/>
        <v>0</v>
      </c>
      <c r="AL148" s="3">
        <f t="shared" si="116"/>
        <v>0</v>
      </c>
      <c r="AM148" s="3">
        <f t="shared" si="116"/>
        <v>9.9999999999999867E-2</v>
      </c>
      <c r="AN148" s="3">
        <f t="shared" si="116"/>
        <v>-9.9999999999999978E-2</v>
      </c>
    </row>
    <row r="149" spans="1:48" s="3" customFormat="1" ht="15" customHeight="1">
      <c r="A149" s="95"/>
      <c r="B149" s="95"/>
      <c r="C149" s="96"/>
      <c r="I149" s="97"/>
      <c r="J149" s="100"/>
      <c r="K149" s="98"/>
      <c r="Y149" s="99"/>
      <c r="Z149" s="99"/>
      <c r="AA149" s="99"/>
    </row>
    <row r="150" spans="1:48" s="3" customFormat="1" ht="15" customHeight="1">
      <c r="E150" s="3" t="s">
        <v>444</v>
      </c>
      <c r="G150" s="3" t="s">
        <v>231</v>
      </c>
      <c r="J150" s="3">
        <f xml:space="preserve"> SUM(L150:AV150)</f>
        <v>4214.26</v>
      </c>
      <c r="L150" s="3">
        <f t="shared" ref="L150:AV150" si="117" xml:space="preserve"> L41 * L42 * 10^3</f>
        <v>0</v>
      </c>
      <c r="M150" s="3">
        <f t="shared" si="117"/>
        <v>0</v>
      </c>
      <c r="N150" s="3">
        <f t="shared" si="117"/>
        <v>0</v>
      </c>
      <c r="O150" s="3">
        <f t="shared" si="117"/>
        <v>0</v>
      </c>
      <c r="P150" s="3">
        <f t="shared" si="117"/>
        <v>0</v>
      </c>
      <c r="Q150" s="3">
        <f t="shared" si="117"/>
        <v>0</v>
      </c>
      <c r="R150" s="3">
        <f t="shared" si="117"/>
        <v>0</v>
      </c>
      <c r="S150" s="3">
        <f t="shared" si="117"/>
        <v>0</v>
      </c>
      <c r="T150" s="3">
        <f t="shared" si="117"/>
        <v>0</v>
      </c>
      <c r="U150" s="3">
        <f t="shared" si="117"/>
        <v>0</v>
      </c>
      <c r="V150" s="3">
        <f t="shared" si="117"/>
        <v>0</v>
      </c>
      <c r="W150" s="3">
        <f t="shared" si="117"/>
        <v>0</v>
      </c>
      <c r="X150" s="3">
        <f t="shared" si="117"/>
        <v>0</v>
      </c>
      <c r="Y150" s="3">
        <f t="shared" si="117"/>
        <v>291.71999999999997</v>
      </c>
      <c r="Z150" s="3">
        <f t="shared" si="117"/>
        <v>334.65</v>
      </c>
      <c r="AA150" s="3">
        <f t="shared" si="117"/>
        <v>358.04999999999995</v>
      </c>
      <c r="AB150" s="3">
        <f t="shared" si="117"/>
        <v>357.51999999999992</v>
      </c>
      <c r="AC150" s="3">
        <f t="shared" si="117"/>
        <v>358.53000000000003</v>
      </c>
      <c r="AD150" s="3">
        <f t="shared" si="117"/>
        <v>359.70000000000005</v>
      </c>
      <c r="AE150" s="3">
        <f t="shared" si="117"/>
        <v>362.88000000000005</v>
      </c>
      <c r="AF150" s="3">
        <f t="shared" si="117"/>
        <v>360.24000000000007</v>
      </c>
      <c r="AG150" s="3">
        <f t="shared" si="117"/>
        <v>360.24000000000007</v>
      </c>
      <c r="AH150" s="3">
        <f t="shared" si="117"/>
        <v>361.9</v>
      </c>
      <c r="AI150" s="3">
        <f t="shared" si="117"/>
        <v>219.29999999999995</v>
      </c>
      <c r="AJ150" s="3">
        <f t="shared" si="117"/>
        <v>121.1</v>
      </c>
      <c r="AK150" s="3">
        <f t="shared" si="117"/>
        <v>123.2</v>
      </c>
      <c r="AL150" s="3">
        <f t="shared" si="117"/>
        <v>129.15</v>
      </c>
      <c r="AM150" s="3">
        <f t="shared" si="117"/>
        <v>86.4</v>
      </c>
      <c r="AN150" s="3">
        <f t="shared" si="117"/>
        <v>29.680000000000003</v>
      </c>
      <c r="AO150" s="3">
        <f t="shared" si="117"/>
        <v>0</v>
      </c>
      <c r="AP150" s="3">
        <f t="shared" si="117"/>
        <v>0</v>
      </c>
      <c r="AQ150" s="3">
        <f t="shared" si="117"/>
        <v>0</v>
      </c>
      <c r="AR150" s="3">
        <f t="shared" si="117"/>
        <v>0</v>
      </c>
      <c r="AS150" s="3">
        <f t="shared" si="117"/>
        <v>0</v>
      </c>
      <c r="AT150" s="3">
        <f t="shared" si="117"/>
        <v>0</v>
      </c>
      <c r="AU150" s="3">
        <f t="shared" si="117"/>
        <v>0</v>
      </c>
      <c r="AV150" s="3">
        <f t="shared" si="117"/>
        <v>0</v>
      </c>
    </row>
    <row r="151" spans="1:48" s="78" customFormat="1" ht="15" customHeight="1">
      <c r="E151" s="78" t="str">
        <f xml:space="preserve"> E$95</f>
        <v>w_avge recovery Cu</v>
      </c>
      <c r="F151" s="78">
        <f t="shared" ref="F151:AV151" si="118" xml:space="preserve"> F$95</f>
        <v>0</v>
      </c>
      <c r="G151" s="78" t="str">
        <f t="shared" si="118"/>
        <v>%</v>
      </c>
      <c r="I151" s="78">
        <f t="shared" si="118"/>
        <v>0</v>
      </c>
      <c r="J151" s="78">
        <f t="shared" si="118"/>
        <v>0.82983784305912744</v>
      </c>
      <c r="K151" s="78">
        <f t="shared" si="118"/>
        <v>0</v>
      </c>
      <c r="L151" s="78">
        <f t="shared" si="118"/>
        <v>0</v>
      </c>
      <c r="M151" s="78">
        <f t="shared" si="118"/>
        <v>0</v>
      </c>
      <c r="N151" s="78">
        <f t="shared" si="118"/>
        <v>0</v>
      </c>
      <c r="O151" s="78">
        <f t="shared" si="118"/>
        <v>0</v>
      </c>
      <c r="P151" s="78">
        <f t="shared" si="118"/>
        <v>0</v>
      </c>
      <c r="Q151" s="78">
        <f t="shared" si="118"/>
        <v>0</v>
      </c>
      <c r="R151" s="78">
        <f t="shared" si="118"/>
        <v>0</v>
      </c>
      <c r="S151" s="78">
        <f t="shared" si="118"/>
        <v>0</v>
      </c>
      <c r="T151" s="78">
        <f t="shared" si="118"/>
        <v>0</v>
      </c>
      <c r="U151" s="78">
        <f t="shared" si="118"/>
        <v>0</v>
      </c>
      <c r="V151" s="78">
        <f t="shared" si="118"/>
        <v>0</v>
      </c>
      <c r="W151" s="78">
        <f t="shared" si="118"/>
        <v>0</v>
      </c>
      <c r="X151" s="78">
        <f t="shared" si="118"/>
        <v>0</v>
      </c>
      <c r="Y151" s="78">
        <f t="shared" si="118"/>
        <v>0.84103764384630386</v>
      </c>
      <c r="Z151" s="78">
        <f t="shared" si="118"/>
        <v>0.85229540918163682</v>
      </c>
      <c r="AA151" s="78">
        <f t="shared" si="118"/>
        <v>0.83736142869547581</v>
      </c>
      <c r="AB151" s="78">
        <f t="shared" si="118"/>
        <v>0.82853504595282912</v>
      </c>
      <c r="AC151" s="78">
        <f t="shared" si="118"/>
        <v>0.8282225537322504</v>
      </c>
      <c r="AD151" s="78">
        <f t="shared" si="118"/>
        <v>0.83307954262299611</v>
      </c>
      <c r="AE151" s="78">
        <f t="shared" si="118"/>
        <v>0.82578656170001918</v>
      </c>
      <c r="AF151" s="78">
        <f t="shared" si="118"/>
        <v>0.83222333222333233</v>
      </c>
      <c r="AG151" s="78">
        <f t="shared" si="118"/>
        <v>0.83093206250692664</v>
      </c>
      <c r="AH151" s="78">
        <f t="shared" si="118"/>
        <v>0.8337489609310057</v>
      </c>
      <c r="AI151" s="78">
        <f t="shared" si="118"/>
        <v>0.82198665813762228</v>
      </c>
      <c r="AJ151" s="78">
        <f t="shared" si="118"/>
        <v>0.80363036303630364</v>
      </c>
      <c r="AK151" s="78">
        <f t="shared" si="118"/>
        <v>0.80826915281718692</v>
      </c>
      <c r="AL151" s="78">
        <f t="shared" si="118"/>
        <v>0.79907084785133553</v>
      </c>
      <c r="AM151" s="78">
        <f t="shared" si="118"/>
        <v>0.81511894698707898</v>
      </c>
      <c r="AN151" s="78">
        <f t="shared" si="118"/>
        <v>0.77038369304556364</v>
      </c>
      <c r="AO151" s="78">
        <f t="shared" si="118"/>
        <v>0</v>
      </c>
      <c r="AP151" s="78">
        <f t="shared" si="118"/>
        <v>0</v>
      </c>
      <c r="AQ151" s="78">
        <f t="shared" si="118"/>
        <v>0</v>
      </c>
      <c r="AR151" s="78">
        <f t="shared" si="118"/>
        <v>0</v>
      </c>
      <c r="AS151" s="78">
        <f t="shared" si="118"/>
        <v>0</v>
      </c>
      <c r="AT151" s="78">
        <f t="shared" si="118"/>
        <v>0</v>
      </c>
      <c r="AU151" s="78">
        <f t="shared" si="118"/>
        <v>0</v>
      </c>
      <c r="AV151" s="78">
        <f t="shared" si="118"/>
        <v>0</v>
      </c>
    </row>
    <row r="152" spans="1:48" s="3" customFormat="1" ht="15" customHeight="1">
      <c r="E152" s="106" t="s">
        <v>445</v>
      </c>
      <c r="F152" s="106"/>
      <c r="G152" s="106" t="s">
        <v>21</v>
      </c>
      <c r="H152" s="106"/>
      <c r="I152" s="106"/>
      <c r="J152" s="106">
        <f xml:space="preserve"> SUM(L152:AV152)</f>
        <v>3497.386224607957</v>
      </c>
      <c r="K152" s="106"/>
      <c r="L152" s="106">
        <f t="shared" ref="L152:AV152" si="119" xml:space="preserve"> L150 * L151</f>
        <v>0</v>
      </c>
      <c r="M152" s="106">
        <f t="shared" si="119"/>
        <v>0</v>
      </c>
      <c r="N152" s="106">
        <f t="shared" si="119"/>
        <v>0</v>
      </c>
      <c r="O152" s="106">
        <f t="shared" si="119"/>
        <v>0</v>
      </c>
      <c r="P152" s="106">
        <f t="shared" si="119"/>
        <v>0</v>
      </c>
      <c r="Q152" s="106">
        <f t="shared" si="119"/>
        <v>0</v>
      </c>
      <c r="R152" s="106">
        <f t="shared" si="119"/>
        <v>0</v>
      </c>
      <c r="S152" s="106">
        <f t="shared" si="119"/>
        <v>0</v>
      </c>
      <c r="T152" s="106">
        <f t="shared" si="119"/>
        <v>0</v>
      </c>
      <c r="U152" s="106">
        <f t="shared" si="119"/>
        <v>0</v>
      </c>
      <c r="V152" s="106">
        <f t="shared" si="119"/>
        <v>0</v>
      </c>
      <c r="W152" s="106">
        <f t="shared" si="119"/>
        <v>0</v>
      </c>
      <c r="X152" s="106">
        <f t="shared" si="119"/>
        <v>0</v>
      </c>
      <c r="Y152" s="106">
        <f t="shared" si="119"/>
        <v>245.34750146284372</v>
      </c>
      <c r="Z152" s="106">
        <f t="shared" si="119"/>
        <v>285.22065868263473</v>
      </c>
      <c r="AA152" s="106">
        <f t="shared" si="119"/>
        <v>299.81725954441509</v>
      </c>
      <c r="AB152" s="106">
        <f t="shared" si="119"/>
        <v>296.21784962905542</v>
      </c>
      <c r="AC152" s="106">
        <f t="shared" si="119"/>
        <v>296.94263218962374</v>
      </c>
      <c r="AD152" s="106">
        <f t="shared" si="119"/>
        <v>299.65871148149176</v>
      </c>
      <c r="AE152" s="106">
        <f t="shared" si="119"/>
        <v>299.661427509703</v>
      </c>
      <c r="AF152" s="106">
        <f t="shared" si="119"/>
        <v>299.8001332001333</v>
      </c>
      <c r="AG152" s="106">
        <f t="shared" si="119"/>
        <v>299.33496619749531</v>
      </c>
      <c r="AH152" s="106">
        <f t="shared" si="119"/>
        <v>301.73374896093094</v>
      </c>
      <c r="AI152" s="106">
        <f t="shared" si="119"/>
        <v>180.26167412958054</v>
      </c>
      <c r="AJ152" s="106">
        <f t="shared" si="119"/>
        <v>97.319636963696368</v>
      </c>
      <c r="AK152" s="106">
        <f t="shared" si="119"/>
        <v>99.578759627077432</v>
      </c>
      <c r="AL152" s="106">
        <f t="shared" si="119"/>
        <v>103.19999999999999</v>
      </c>
      <c r="AM152" s="106">
        <f t="shared" si="119"/>
        <v>70.426277019683624</v>
      </c>
      <c r="AN152" s="106">
        <f t="shared" si="119"/>
        <v>22.864988009592331</v>
      </c>
      <c r="AO152" s="106">
        <f t="shared" si="119"/>
        <v>0</v>
      </c>
      <c r="AP152" s="106">
        <f t="shared" si="119"/>
        <v>0</v>
      </c>
      <c r="AQ152" s="106">
        <f t="shared" si="119"/>
        <v>0</v>
      </c>
      <c r="AR152" s="106">
        <f t="shared" si="119"/>
        <v>0</v>
      </c>
      <c r="AS152" s="106">
        <f t="shared" si="119"/>
        <v>0</v>
      </c>
      <c r="AT152" s="106">
        <f t="shared" si="119"/>
        <v>0</v>
      </c>
      <c r="AU152" s="106">
        <f t="shared" si="119"/>
        <v>0</v>
      </c>
      <c r="AV152" s="106">
        <f t="shared" si="119"/>
        <v>0</v>
      </c>
    </row>
    <row r="153" spans="1:48" s="97" customFormat="1" ht="15" customHeight="1">
      <c r="E153" s="97" t="str">
        <f>E152</f>
        <v>Copper recovered (calculated) 2019TR</v>
      </c>
      <c r="F153" s="184">
        <f xml:space="preserve"> J151</f>
        <v>0.82983784305912744</v>
      </c>
      <c r="G153" s="97" t="s">
        <v>26</v>
      </c>
      <c r="J153" s="185"/>
    </row>
    <row r="154" spans="1:48" s="3" customFormat="1" ht="15" customHeight="1">
      <c r="A154" s="95"/>
      <c r="B154" s="95"/>
      <c r="C154" s="96"/>
      <c r="E154" s="3" t="s">
        <v>446</v>
      </c>
      <c r="G154" s="3" t="s">
        <v>231</v>
      </c>
      <c r="I154" s="97"/>
      <c r="J154" s="3">
        <f xml:space="preserve"> SUM(L154:AV154)</f>
        <v>60.986224607957347</v>
      </c>
      <c r="K154" s="98"/>
      <c r="L154" s="3">
        <f t="shared" ref="L154:AV154" si="120" xml:space="preserve"> L152 - L138</f>
        <v>0</v>
      </c>
      <c r="M154" s="3">
        <f t="shared" si="120"/>
        <v>0</v>
      </c>
      <c r="N154" s="3">
        <f t="shared" si="120"/>
        <v>0</v>
      </c>
      <c r="O154" s="3">
        <f t="shared" si="120"/>
        <v>0</v>
      </c>
      <c r="P154" s="3">
        <f t="shared" si="120"/>
        <v>0</v>
      </c>
      <c r="Q154" s="3">
        <f t="shared" si="120"/>
        <v>0</v>
      </c>
      <c r="R154" s="3">
        <f t="shared" si="120"/>
        <v>0</v>
      </c>
      <c r="S154" s="3">
        <f t="shared" si="120"/>
        <v>0</v>
      </c>
      <c r="T154" s="3">
        <f t="shared" si="120"/>
        <v>0</v>
      </c>
      <c r="U154" s="3">
        <f t="shared" si="120"/>
        <v>0</v>
      </c>
      <c r="V154" s="3">
        <f t="shared" si="120"/>
        <v>0</v>
      </c>
      <c r="W154" s="3">
        <f t="shared" si="120"/>
        <v>0</v>
      </c>
      <c r="X154" s="3">
        <f t="shared" si="120"/>
        <v>0</v>
      </c>
      <c r="Y154" s="3">
        <f t="shared" si="120"/>
        <v>29.747501462843701</v>
      </c>
      <c r="Z154" s="3">
        <f t="shared" si="120"/>
        <v>29.020658682634746</v>
      </c>
      <c r="AA154" s="3">
        <f t="shared" si="120"/>
        <v>10.51725954441514</v>
      </c>
      <c r="AB154" s="3">
        <f t="shared" si="120"/>
        <v>-3.0821503709445892</v>
      </c>
      <c r="AC154" s="3">
        <f t="shared" si="120"/>
        <v>-2.8573678103762745</v>
      </c>
      <c r="AD154" s="3">
        <f t="shared" si="120"/>
        <v>-1.2412885185082132</v>
      </c>
      <c r="AE154" s="3">
        <f t="shared" si="120"/>
        <v>-0.33857249029699688</v>
      </c>
      <c r="AF154" s="3">
        <f t="shared" si="120"/>
        <v>-9.9866799866731526E-2</v>
      </c>
      <c r="AG154" s="3">
        <f t="shared" si="120"/>
        <v>-0.56503380250467217</v>
      </c>
      <c r="AH154" s="3">
        <f t="shared" si="120"/>
        <v>0.8337489609309614</v>
      </c>
      <c r="AI154" s="3">
        <f t="shared" si="120"/>
        <v>0.36167412958053546</v>
      </c>
      <c r="AJ154" s="3">
        <f t="shared" si="120"/>
        <v>-8.0363036303637614E-2</v>
      </c>
      <c r="AK154" s="3">
        <f t="shared" si="120"/>
        <v>-0.12124037292257128</v>
      </c>
      <c r="AL154" s="3">
        <f t="shared" si="120"/>
        <v>0</v>
      </c>
      <c r="AM154" s="3">
        <f t="shared" si="120"/>
        <v>2.9262770196836243</v>
      </c>
      <c r="AN154" s="3">
        <f t="shared" si="120"/>
        <v>-2.835011990407672</v>
      </c>
      <c r="AO154" s="3">
        <f t="shared" si="120"/>
        <v>-1.2</v>
      </c>
      <c r="AP154" s="3">
        <f t="shared" si="120"/>
        <v>0</v>
      </c>
      <c r="AQ154" s="3">
        <f t="shared" si="120"/>
        <v>0</v>
      </c>
      <c r="AR154" s="3">
        <f t="shared" si="120"/>
        <v>0</v>
      </c>
      <c r="AS154" s="3">
        <f t="shared" si="120"/>
        <v>0</v>
      </c>
      <c r="AT154" s="3">
        <f t="shared" si="120"/>
        <v>0</v>
      </c>
      <c r="AU154" s="3">
        <f t="shared" si="120"/>
        <v>0</v>
      </c>
      <c r="AV154" s="3">
        <f t="shared" si="120"/>
        <v>0</v>
      </c>
    </row>
    <row r="155" spans="1:48" s="3" customFormat="1" ht="15" customHeight="1">
      <c r="A155" s="95"/>
      <c r="B155" s="95"/>
      <c r="C155" s="96"/>
      <c r="I155" s="97"/>
      <c r="J155" s="78"/>
      <c r="K155" s="98"/>
      <c r="Y155" s="99"/>
      <c r="Z155" s="99"/>
      <c r="AA155" s="99"/>
    </row>
    <row r="156" spans="1:48" s="3" customFormat="1" ht="15" customHeight="1">
      <c r="E156" s="3" t="s">
        <v>447</v>
      </c>
      <c r="G156" s="3" t="s">
        <v>231</v>
      </c>
      <c r="J156" s="100">
        <f xml:space="preserve"> SUM(L156:AV156)</f>
        <v>685.28000000000009</v>
      </c>
      <c r="L156" s="3">
        <f t="shared" ref="L156:AV156" si="121" xml:space="preserve"> L41 * L43 * 10^3</f>
        <v>0</v>
      </c>
      <c r="M156" s="3">
        <f t="shared" si="121"/>
        <v>0</v>
      </c>
      <c r="N156" s="3">
        <f t="shared" si="121"/>
        <v>0</v>
      </c>
      <c r="O156" s="3">
        <f t="shared" si="121"/>
        <v>0</v>
      </c>
      <c r="P156" s="3">
        <f t="shared" si="121"/>
        <v>0</v>
      </c>
      <c r="Q156" s="3">
        <f t="shared" si="121"/>
        <v>0</v>
      </c>
      <c r="R156" s="3">
        <f t="shared" si="121"/>
        <v>0</v>
      </c>
      <c r="S156" s="3">
        <f t="shared" si="121"/>
        <v>0</v>
      </c>
      <c r="T156" s="3">
        <f t="shared" si="121"/>
        <v>0</v>
      </c>
      <c r="U156" s="3">
        <f t="shared" si="121"/>
        <v>0</v>
      </c>
      <c r="V156" s="3">
        <f t="shared" si="121"/>
        <v>0</v>
      </c>
      <c r="W156" s="3">
        <f t="shared" si="121"/>
        <v>0</v>
      </c>
      <c r="X156" s="3">
        <f t="shared" si="121"/>
        <v>0</v>
      </c>
      <c r="Y156" s="3">
        <f t="shared" si="121"/>
        <v>42.839999999999996</v>
      </c>
      <c r="Z156" s="3">
        <f t="shared" si="121"/>
        <v>49.45</v>
      </c>
      <c r="AA156" s="3">
        <f t="shared" si="121"/>
        <v>60.9</v>
      </c>
      <c r="AB156" s="3">
        <f t="shared" si="121"/>
        <v>62.129999999999995</v>
      </c>
      <c r="AC156" s="3">
        <f t="shared" si="121"/>
        <v>64.38</v>
      </c>
      <c r="AD156" s="3">
        <f t="shared" si="121"/>
        <v>69.3</v>
      </c>
      <c r="AE156" s="3">
        <f t="shared" si="121"/>
        <v>64.959999999999994</v>
      </c>
      <c r="AF156" s="3">
        <f t="shared" si="121"/>
        <v>58.140000000000008</v>
      </c>
      <c r="AG156" s="3">
        <f t="shared" si="121"/>
        <v>55.86</v>
      </c>
      <c r="AH156" s="3">
        <f t="shared" si="121"/>
        <v>46.199999999999996</v>
      </c>
      <c r="AI156" s="3">
        <f t="shared" si="121"/>
        <v>29.240000000000002</v>
      </c>
      <c r="AJ156" s="3">
        <f t="shared" si="121"/>
        <v>19.600000000000001</v>
      </c>
      <c r="AK156" s="3">
        <f t="shared" si="121"/>
        <v>23.450000000000003</v>
      </c>
      <c r="AL156" s="3">
        <f t="shared" si="121"/>
        <v>22.750000000000004</v>
      </c>
      <c r="AM156" s="3">
        <f t="shared" si="121"/>
        <v>12.24</v>
      </c>
      <c r="AN156" s="3">
        <f t="shared" si="121"/>
        <v>3.84</v>
      </c>
      <c r="AO156" s="3">
        <f t="shared" si="121"/>
        <v>0</v>
      </c>
      <c r="AP156" s="3">
        <f t="shared" si="121"/>
        <v>0</v>
      </c>
      <c r="AQ156" s="3">
        <f t="shared" si="121"/>
        <v>0</v>
      </c>
      <c r="AR156" s="3">
        <f t="shared" si="121"/>
        <v>0</v>
      </c>
      <c r="AS156" s="3">
        <f t="shared" si="121"/>
        <v>0</v>
      </c>
      <c r="AT156" s="3">
        <f t="shared" si="121"/>
        <v>0</v>
      </c>
      <c r="AU156" s="3">
        <f t="shared" si="121"/>
        <v>0</v>
      </c>
      <c r="AV156" s="3">
        <f t="shared" si="121"/>
        <v>0</v>
      </c>
    </row>
    <row r="157" spans="1:48" s="78" customFormat="1" ht="15" customHeight="1">
      <c r="E157" s="78" t="str">
        <f t="shared" ref="E157:AV157" si="122" xml:space="preserve"> E$100</f>
        <v>w_avge recovery Co</v>
      </c>
      <c r="F157" s="78">
        <f t="shared" si="122"/>
        <v>0</v>
      </c>
      <c r="G157" s="78" t="str">
        <f t="shared" si="122"/>
        <v>%</v>
      </c>
      <c r="I157" s="78">
        <f t="shared" si="122"/>
        <v>0</v>
      </c>
      <c r="J157" s="78">
        <f t="shared" si="122"/>
        <v>0.64940056469614316</v>
      </c>
      <c r="K157" s="78">
        <f t="shared" si="122"/>
        <v>0</v>
      </c>
      <c r="L157" s="78">
        <f t="shared" si="122"/>
        <v>0</v>
      </c>
      <c r="M157" s="78">
        <f t="shared" si="122"/>
        <v>0</v>
      </c>
      <c r="N157" s="78">
        <f t="shared" si="122"/>
        <v>0</v>
      </c>
      <c r="O157" s="78">
        <f t="shared" si="122"/>
        <v>0</v>
      </c>
      <c r="P157" s="78">
        <f t="shared" si="122"/>
        <v>0</v>
      </c>
      <c r="Q157" s="78">
        <f t="shared" si="122"/>
        <v>0</v>
      </c>
      <c r="R157" s="78">
        <f t="shared" si="122"/>
        <v>0</v>
      </c>
      <c r="S157" s="78">
        <f t="shared" si="122"/>
        <v>0</v>
      </c>
      <c r="T157" s="78">
        <f t="shared" si="122"/>
        <v>0</v>
      </c>
      <c r="U157" s="78">
        <f t="shared" si="122"/>
        <v>0</v>
      </c>
      <c r="V157" s="78">
        <f t="shared" si="122"/>
        <v>0</v>
      </c>
      <c r="W157" s="78">
        <f t="shared" si="122"/>
        <v>0</v>
      </c>
      <c r="X157" s="78">
        <f t="shared" si="122"/>
        <v>0</v>
      </c>
      <c r="Y157" s="78">
        <f t="shared" si="122"/>
        <v>0.64817215452424148</v>
      </c>
      <c r="Z157" s="78">
        <f t="shared" si="122"/>
        <v>0.65570126694821074</v>
      </c>
      <c r="AA157" s="78">
        <f t="shared" si="122"/>
        <v>0.64592094196804029</v>
      </c>
      <c r="AB157" s="78">
        <f t="shared" si="122"/>
        <v>0.64717162032598263</v>
      </c>
      <c r="AC157" s="78">
        <f t="shared" si="122"/>
        <v>0.648248186448526</v>
      </c>
      <c r="AD157" s="78">
        <f t="shared" si="122"/>
        <v>0.65157849214357788</v>
      </c>
      <c r="AE157" s="78">
        <f t="shared" si="122"/>
        <v>0.64827586206896548</v>
      </c>
      <c r="AF157" s="78">
        <f t="shared" si="122"/>
        <v>0.6484049930651874</v>
      </c>
      <c r="AG157" s="78">
        <f t="shared" si="122"/>
        <v>0.64735336194563664</v>
      </c>
      <c r="AH157" s="78">
        <f t="shared" si="122"/>
        <v>0.65096359743040677</v>
      </c>
      <c r="AI157" s="78">
        <f t="shared" si="122"/>
        <v>0.65433367591640978</v>
      </c>
      <c r="AJ157" s="78">
        <f t="shared" si="122"/>
        <v>0.65139949109414752</v>
      </c>
      <c r="AK157" s="78">
        <f t="shared" si="122"/>
        <v>0.65531914893617027</v>
      </c>
      <c r="AL157" s="78">
        <f t="shared" si="122"/>
        <v>0.64615384615384608</v>
      </c>
      <c r="AM157" s="78">
        <f t="shared" si="122"/>
        <v>0.65643648763853357</v>
      </c>
      <c r="AN157" s="78">
        <f t="shared" si="122"/>
        <v>0.59770114942528729</v>
      </c>
      <c r="AO157" s="78">
        <f t="shared" si="122"/>
        <v>0</v>
      </c>
      <c r="AP157" s="78">
        <f t="shared" si="122"/>
        <v>0</v>
      </c>
      <c r="AQ157" s="78">
        <f t="shared" si="122"/>
        <v>0</v>
      </c>
      <c r="AR157" s="78">
        <f t="shared" si="122"/>
        <v>0</v>
      </c>
      <c r="AS157" s="78">
        <f t="shared" si="122"/>
        <v>0</v>
      </c>
      <c r="AT157" s="78">
        <f t="shared" si="122"/>
        <v>0</v>
      </c>
      <c r="AU157" s="78">
        <f t="shared" si="122"/>
        <v>0</v>
      </c>
      <c r="AV157" s="78">
        <f t="shared" si="122"/>
        <v>0</v>
      </c>
    </row>
    <row r="158" spans="1:48" s="3" customFormat="1" ht="15" customHeight="1">
      <c r="E158" s="106" t="s">
        <v>448</v>
      </c>
      <c r="F158" s="106"/>
      <c r="G158" s="106" t="s">
        <v>394</v>
      </c>
      <c r="H158" s="106"/>
      <c r="I158" s="106"/>
      <c r="J158" s="106">
        <f xml:space="preserve"> SUM(L158:AV158)</f>
        <v>444.9693677068816</v>
      </c>
      <c r="K158" s="106"/>
      <c r="L158" s="106">
        <f t="shared" ref="L158" si="123" xml:space="preserve"> L156 * L157</f>
        <v>0</v>
      </c>
      <c r="M158" s="106">
        <f t="shared" ref="M158" si="124" xml:space="preserve"> M156 * M157</f>
        <v>0</v>
      </c>
      <c r="N158" s="106">
        <f t="shared" ref="N158" si="125" xml:space="preserve"> N156 * N157</f>
        <v>0</v>
      </c>
      <c r="O158" s="106">
        <f t="shared" ref="O158" si="126" xml:space="preserve"> O156 * O157</f>
        <v>0</v>
      </c>
      <c r="P158" s="106">
        <f t="shared" ref="P158" si="127" xml:space="preserve"> P156 * P157</f>
        <v>0</v>
      </c>
      <c r="Q158" s="106">
        <f t="shared" ref="Q158" si="128" xml:space="preserve"> Q156 * Q157</f>
        <v>0</v>
      </c>
      <c r="R158" s="106">
        <f t="shared" ref="R158" si="129" xml:space="preserve"> R156 * R157</f>
        <v>0</v>
      </c>
      <c r="S158" s="106">
        <f t="shared" ref="S158" si="130" xml:space="preserve"> S156 * S157</f>
        <v>0</v>
      </c>
      <c r="T158" s="106">
        <f t="shared" ref="T158" si="131" xml:space="preserve"> T156 * T157</f>
        <v>0</v>
      </c>
      <c r="U158" s="106">
        <f t="shared" ref="U158" si="132" xml:space="preserve"> U156 * U157</f>
        <v>0</v>
      </c>
      <c r="V158" s="106">
        <f t="shared" ref="V158" si="133" xml:space="preserve"> V156 * V157</f>
        <v>0</v>
      </c>
      <c r="W158" s="106">
        <f t="shared" ref="W158" si="134" xml:space="preserve"> W156 * W157</f>
        <v>0</v>
      </c>
      <c r="X158" s="106">
        <f t="shared" ref="X158" si="135" xml:space="preserve"> X156 * X157</f>
        <v>0</v>
      </c>
      <c r="Y158" s="106">
        <f t="shared" ref="Y158" si="136" xml:space="preserve"> Y156 * Y157</f>
        <v>27.767695099818503</v>
      </c>
      <c r="Z158" s="106">
        <f t="shared" ref="Z158" si="137" xml:space="preserve"> Z156 * Z157</f>
        <v>32.424427650589024</v>
      </c>
      <c r="AA158" s="106">
        <f t="shared" ref="AA158" si="138" xml:space="preserve"> AA156 * AA157</f>
        <v>39.336585365853651</v>
      </c>
      <c r="AB158" s="106">
        <f t="shared" ref="AB158" si="139" xml:space="preserve"> AB156 * AB157</f>
        <v>40.208772770853301</v>
      </c>
      <c r="AC158" s="106">
        <f t="shared" ref="AC158" si="140" xml:space="preserve"> AC156 * AC157</f>
        <v>41.7342182435561</v>
      </c>
      <c r="AD158" s="106">
        <f t="shared" ref="AD158" si="141" xml:space="preserve"> AD156 * AD157</f>
        <v>45.154389505549943</v>
      </c>
      <c r="AE158" s="106">
        <f t="shared" ref="AE158" si="142" xml:space="preserve"> AE156 * AE157</f>
        <v>42.111999999999995</v>
      </c>
      <c r="AF158" s="106">
        <f t="shared" ref="AF158" si="143" xml:space="preserve"> AF156 * AF157</f>
        <v>37.698266296809997</v>
      </c>
      <c r="AG158" s="106">
        <f t="shared" ref="AG158" si="144" xml:space="preserve"> AG156 * AG157</f>
        <v>36.16115879828326</v>
      </c>
      <c r="AH158" s="106">
        <f t="shared" ref="AH158" si="145" xml:space="preserve"> AH156 * AH157</f>
        <v>30.074518201284789</v>
      </c>
      <c r="AI158" s="106">
        <f t="shared" ref="AI158" si="146" xml:space="preserve"> AI156 * AI157</f>
        <v>19.132716683795824</v>
      </c>
      <c r="AJ158" s="106">
        <f t="shared" ref="AJ158" si="147" xml:space="preserve"> AJ156 * AJ157</f>
        <v>12.767430025445293</v>
      </c>
      <c r="AK158" s="106">
        <f t="shared" ref="AK158" si="148" xml:space="preserve"> AK156 * AK157</f>
        <v>15.367234042553195</v>
      </c>
      <c r="AL158" s="106">
        <f t="shared" ref="AL158" si="149" xml:space="preserve"> AL156 * AL157</f>
        <v>14.700000000000001</v>
      </c>
      <c r="AM158" s="106">
        <f t="shared" ref="AM158" si="150" xml:space="preserve"> AM156 * AM157</f>
        <v>8.0347826086956502</v>
      </c>
      <c r="AN158" s="106">
        <f t="shared" ref="AN158" si="151" xml:space="preserve"> AN156 * AN157</f>
        <v>2.2951724137931033</v>
      </c>
      <c r="AO158" s="106">
        <f t="shared" ref="AO158" si="152" xml:space="preserve"> AO156 * AO157</f>
        <v>0</v>
      </c>
      <c r="AP158" s="106">
        <f t="shared" ref="AP158" si="153" xml:space="preserve"> AP156 * AP157</f>
        <v>0</v>
      </c>
      <c r="AQ158" s="106">
        <f t="shared" ref="AQ158" si="154" xml:space="preserve"> AQ156 * AQ157</f>
        <v>0</v>
      </c>
      <c r="AR158" s="106">
        <f t="shared" ref="AR158" si="155" xml:space="preserve"> AR156 * AR157</f>
        <v>0</v>
      </c>
      <c r="AS158" s="106">
        <f t="shared" ref="AS158" si="156" xml:space="preserve"> AS156 * AS157</f>
        <v>0</v>
      </c>
      <c r="AT158" s="106">
        <f t="shared" ref="AT158" si="157" xml:space="preserve"> AT156 * AT157</f>
        <v>0</v>
      </c>
      <c r="AU158" s="106">
        <f t="shared" ref="AU158" si="158" xml:space="preserve"> AU156 * AU157</f>
        <v>0</v>
      </c>
      <c r="AV158" s="106">
        <f t="shared" ref="AV158" si="159" xml:space="preserve"> AV156 * AV157</f>
        <v>0</v>
      </c>
    </row>
    <row r="159" spans="1:48" s="3" customFormat="1" ht="15" customHeight="1">
      <c r="E159" s="97" t="str">
        <f>E158</f>
        <v>Cobalt recovered (calculated) 2019TR</v>
      </c>
      <c r="F159" s="184">
        <f xml:space="preserve"> J157</f>
        <v>0.64940056469614316</v>
      </c>
      <c r="G159" s="97" t="s">
        <v>26</v>
      </c>
      <c r="H159" s="106"/>
      <c r="I159" s="106"/>
      <c r="J159" s="107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6"/>
      <c r="AH159" s="106"/>
      <c r="AI159" s="106"/>
      <c r="AJ159" s="106"/>
      <c r="AK159" s="106"/>
      <c r="AL159" s="106"/>
      <c r="AM159" s="106"/>
      <c r="AN159" s="106"/>
      <c r="AO159" s="106"/>
      <c r="AP159" s="106"/>
      <c r="AQ159" s="106"/>
      <c r="AR159" s="106"/>
      <c r="AS159" s="106"/>
      <c r="AT159" s="106"/>
      <c r="AU159" s="106"/>
      <c r="AV159" s="106"/>
    </row>
    <row r="160" spans="1:48" s="3" customFormat="1" ht="15" customHeight="1">
      <c r="A160" s="95"/>
      <c r="B160" s="95"/>
      <c r="C160" s="96"/>
      <c r="E160" s="3" t="s">
        <v>446</v>
      </c>
      <c r="G160" s="3" t="s">
        <v>231</v>
      </c>
      <c r="I160" s="97"/>
      <c r="J160" s="3">
        <f xml:space="preserve"> SUM(L160:AV160)</f>
        <v>5.6693677068816228</v>
      </c>
      <c r="K160" s="98"/>
      <c r="L160" s="3">
        <f t="shared" ref="L160:AV160" si="160" xml:space="preserve"> L158 - L144</f>
        <v>0</v>
      </c>
      <c r="M160" s="3">
        <f t="shared" si="160"/>
        <v>0</v>
      </c>
      <c r="N160" s="3">
        <f t="shared" si="160"/>
        <v>0</v>
      </c>
      <c r="O160" s="3">
        <f t="shared" si="160"/>
        <v>0</v>
      </c>
      <c r="P160" s="3">
        <f t="shared" si="160"/>
        <v>0</v>
      </c>
      <c r="Q160" s="3">
        <f t="shared" si="160"/>
        <v>0</v>
      </c>
      <c r="R160" s="3">
        <f t="shared" si="160"/>
        <v>0</v>
      </c>
      <c r="S160" s="3">
        <f t="shared" si="160"/>
        <v>0</v>
      </c>
      <c r="T160" s="3">
        <f t="shared" si="160"/>
        <v>0</v>
      </c>
      <c r="U160" s="3">
        <f t="shared" si="160"/>
        <v>0</v>
      </c>
      <c r="V160" s="3">
        <f t="shared" si="160"/>
        <v>0</v>
      </c>
      <c r="W160" s="3">
        <f t="shared" si="160"/>
        <v>0</v>
      </c>
      <c r="X160" s="3">
        <f t="shared" si="160"/>
        <v>0</v>
      </c>
      <c r="Y160" s="3">
        <f t="shared" si="160"/>
        <v>2.7676950998185035</v>
      </c>
      <c r="Z160" s="3">
        <f t="shared" si="160"/>
        <v>2.9244276505890241</v>
      </c>
      <c r="AA160" s="3">
        <f t="shared" si="160"/>
        <v>0.93658536585365226</v>
      </c>
      <c r="AB160" s="3">
        <f t="shared" si="160"/>
        <v>-0.29122722914669907</v>
      </c>
      <c r="AC160" s="3">
        <f t="shared" si="160"/>
        <v>-0.26578175644390001</v>
      </c>
      <c r="AD160" s="3">
        <f t="shared" si="160"/>
        <v>-4.5610494450059491E-2</v>
      </c>
      <c r="AE160" s="3">
        <f t="shared" si="160"/>
        <v>-0.18800000000000239</v>
      </c>
      <c r="AF160" s="3">
        <f t="shared" si="160"/>
        <v>0.29826629680999162</v>
      </c>
      <c r="AG160" s="3">
        <f t="shared" si="160"/>
        <v>-3.8841201716742546E-2</v>
      </c>
      <c r="AH160" s="3">
        <f t="shared" si="160"/>
        <v>-0.32548179871520944</v>
      </c>
      <c r="AI160" s="3">
        <f t="shared" si="160"/>
        <v>3.2716683795822377E-2</v>
      </c>
      <c r="AJ160" s="3">
        <f t="shared" si="160"/>
        <v>-3.256997455470767E-2</v>
      </c>
      <c r="AK160" s="3">
        <f t="shared" si="160"/>
        <v>-3.2765957446805771E-2</v>
      </c>
      <c r="AL160" s="3">
        <f t="shared" si="160"/>
        <v>0</v>
      </c>
      <c r="AM160" s="3">
        <f t="shared" si="160"/>
        <v>0.33478260869565091</v>
      </c>
      <c r="AN160" s="3">
        <f t="shared" si="160"/>
        <v>-0.30482758620689632</v>
      </c>
      <c r="AO160" s="3">
        <f t="shared" si="160"/>
        <v>-0.1</v>
      </c>
      <c r="AP160" s="3">
        <f t="shared" si="160"/>
        <v>0</v>
      </c>
      <c r="AQ160" s="3">
        <f t="shared" si="160"/>
        <v>0</v>
      </c>
      <c r="AR160" s="3">
        <f t="shared" si="160"/>
        <v>0</v>
      </c>
      <c r="AS160" s="3">
        <f t="shared" si="160"/>
        <v>0</v>
      </c>
      <c r="AT160" s="3">
        <f t="shared" si="160"/>
        <v>0</v>
      </c>
      <c r="AU160" s="3">
        <f t="shared" si="160"/>
        <v>0</v>
      </c>
      <c r="AV160" s="3">
        <f t="shared" si="160"/>
        <v>0</v>
      </c>
    </row>
    <row r="161" spans="1:27" s="3" customFormat="1" ht="15" customHeight="1">
      <c r="A161" s="95"/>
      <c r="B161" s="95"/>
      <c r="C161" s="96"/>
      <c r="I161" s="97"/>
      <c r="J161" s="78"/>
      <c r="K161" s="98"/>
      <c r="Y161" s="99"/>
      <c r="Z161" s="99"/>
      <c r="AA161" s="99"/>
    </row>
    <row r="162" spans="1:27" ht="15" customHeight="1">
      <c r="E162" s="103" t="s">
        <v>449</v>
      </c>
    </row>
    <row r="164" spans="1:27" s="233" customFormat="1" ht="15" customHeight="1">
      <c r="A164" s="231" t="s">
        <v>163</v>
      </c>
      <c r="B164" s="231"/>
      <c r="C164" s="232"/>
      <c r="I164" s="234"/>
      <c r="K164" s="243"/>
    </row>
  </sheetData>
  <conditionalFormatting sqref="F2">
    <cfRule type="cellIs" dxfId="19" priority="1" stopIfTrue="1" operator="notEqual">
      <formula>0</formula>
    </cfRule>
    <cfRule type="cellIs" dxfId="18" priority="2" stopIfTrue="1" operator="equal">
      <formula>""</formula>
    </cfRule>
  </conditionalFormatting>
  <conditionalFormatting sqref="F3">
    <cfRule type="cellIs" dxfId="17" priority="3" stopIfTrue="1" operator="notEqual">
      <formula>0</formula>
    </cfRule>
    <cfRule type="cellIs" dxfId="16" priority="4" stopIfTrue="1" operator="equal">
      <formula>""</formula>
    </cfRule>
  </conditionalFormatting>
  <conditionalFormatting sqref="L3:AV3">
    <cfRule type="cellIs" dxfId="15" priority="5" stopIfTrue="1" operator="equal">
      <formula>#REF!</formula>
    </cfRule>
    <cfRule type="cellIs" dxfId="14" priority="6" stopIfTrue="1" operator="equal">
      <formula>#REF!</formula>
    </cfRule>
    <cfRule type="cellIs" dxfId="13" priority="7" operator="equal">
      <formula>#REF!</formula>
    </cfRule>
    <cfRule type="cellIs" dxfId="12" priority="8" operator="equal">
      <formula>#REF!</formula>
    </cfRule>
  </conditionalFormatting>
  <conditionalFormatting sqref="M3:AV3">
    <cfRule type="cellIs" dxfId="11" priority="9" stopIfTrue="1" operator="equal">
      <formula>#REF!</formula>
    </cfRule>
    <cfRule type="cellIs" dxfId="10" priority="10" stopIfTrue="1" operator="equal">
      <formula>#REF!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BG7"/>
  <sheetViews>
    <sheetView zoomScale="90" zoomScaleNormal="90" workbookViewId="0">
      <pane xSplit="11" ySplit="4" topLeftCell="L5" activePane="bottomRight" state="frozen"/>
      <selection pane="topRight" activeCell="K1" sqref="K1"/>
      <selection pane="bottomLeft" activeCell="A5" sqref="A5"/>
      <selection pane="bottomRight" activeCell="H12" sqref="H12"/>
    </sheetView>
  </sheetViews>
  <sheetFormatPr baseColWidth="10" defaultColWidth="0" defaultRowHeight="15" customHeight="1"/>
  <cols>
    <col min="1" max="2" width="1.296875" style="16" customWidth="1"/>
    <col min="3" max="3" width="1.296875" style="17" customWidth="1"/>
    <col min="4" max="4" width="1.296875" style="18" customWidth="1"/>
    <col min="5" max="5" width="50.69921875" style="18" customWidth="1"/>
    <col min="6" max="6" width="12.69921875" style="18" customWidth="1"/>
    <col min="7" max="8" width="20.69921875" style="18" customWidth="1"/>
    <col min="9" max="9" width="25.09765625" style="20" customWidth="1"/>
    <col min="10" max="10" width="12.69921875" style="18" customWidth="1" collapsed="1"/>
    <col min="11" max="11" width="1.59765625" style="46" customWidth="1"/>
    <col min="12" max="48" width="10.69921875" style="18" customWidth="1"/>
    <col min="49" max="57" width="11.69921875" style="18" hidden="1" customWidth="1"/>
    <col min="58" max="59" width="0" style="18" hidden="1" customWidth="1"/>
    <col min="60" max="16384" width="14.59765625" style="18" hidden="1"/>
  </cols>
  <sheetData>
    <row r="1" spans="1:48" ht="26.25" customHeight="1">
      <c r="A1" s="101" t="str">
        <f ca="1" xml:space="preserve"> RIGHT(CELL("filename", $A$3), LEN(CELL("filename", $A$3)) - SEARCH("]", CELL("filename", $A$3)))</f>
        <v>NewSheet</v>
      </c>
      <c r="F1" s="19"/>
    </row>
    <row r="2" spans="1:48" ht="15" customHeight="1">
      <c r="F2" s="169">
        <v>0</v>
      </c>
      <c r="G2" s="22" t="s">
        <v>1</v>
      </c>
      <c r="H2" s="22"/>
      <c r="L2" s="182">
        <f xml:space="preserve"> 'T&amp;E'!L$9</f>
        <v>2014</v>
      </c>
      <c r="M2" s="182">
        <f xml:space="preserve"> 'T&amp;E'!M$9</f>
        <v>2015</v>
      </c>
      <c r="N2" s="182">
        <f xml:space="preserve"> 'T&amp;E'!N$9</f>
        <v>2016</v>
      </c>
      <c r="O2" s="182">
        <f xml:space="preserve"> 'T&amp;E'!O$9</f>
        <v>2017</v>
      </c>
      <c r="P2" s="182">
        <f xml:space="preserve"> 'T&amp;E'!P$9</f>
        <v>2018</v>
      </c>
      <c r="Q2" s="182">
        <f xml:space="preserve"> 'T&amp;E'!Q$9</f>
        <v>2019</v>
      </c>
      <c r="R2" s="182">
        <f xml:space="preserve"> 'T&amp;E'!R$9</f>
        <v>2020</v>
      </c>
      <c r="S2" s="182">
        <f xml:space="preserve"> 'T&amp;E'!S$9</f>
        <v>2021</v>
      </c>
      <c r="T2" s="182">
        <f xml:space="preserve"> 'T&amp;E'!T$9</f>
        <v>2022</v>
      </c>
      <c r="U2" s="182">
        <f xml:space="preserve"> 'T&amp;E'!U$9</f>
        <v>2023</v>
      </c>
      <c r="V2" s="182">
        <f xml:space="preserve"> 'T&amp;E'!V$9</f>
        <v>2024</v>
      </c>
      <c r="W2" s="182">
        <f xml:space="preserve"> 'T&amp;E'!W$9</f>
        <v>2025</v>
      </c>
      <c r="X2" s="182">
        <f xml:space="preserve"> 'T&amp;E'!X$9</f>
        <v>2026</v>
      </c>
      <c r="Y2" s="182">
        <f xml:space="preserve"> 'T&amp;E'!Y$9</f>
        <v>2027</v>
      </c>
      <c r="Z2" s="182">
        <f xml:space="preserve"> 'T&amp;E'!Z$9</f>
        <v>2028</v>
      </c>
      <c r="AA2" s="182">
        <f xml:space="preserve"> 'T&amp;E'!AA$9</f>
        <v>2029</v>
      </c>
      <c r="AB2" s="182">
        <f xml:space="preserve"> 'T&amp;E'!AB$9</f>
        <v>2030</v>
      </c>
      <c r="AC2" s="182">
        <f xml:space="preserve"> 'T&amp;E'!AC$9</f>
        <v>2031</v>
      </c>
      <c r="AD2" s="182">
        <f xml:space="preserve"> 'T&amp;E'!AD$9</f>
        <v>2032</v>
      </c>
      <c r="AE2" s="182">
        <f xml:space="preserve"> 'T&amp;E'!AE$9</f>
        <v>2033</v>
      </c>
      <c r="AF2" s="182">
        <f xml:space="preserve"> 'T&amp;E'!AF$9</f>
        <v>2034</v>
      </c>
      <c r="AG2" s="182">
        <f xml:space="preserve"> 'T&amp;E'!AG$9</f>
        <v>2035</v>
      </c>
      <c r="AH2" s="182">
        <f xml:space="preserve"> 'T&amp;E'!AH$9</f>
        <v>2036</v>
      </c>
      <c r="AI2" s="182">
        <f xml:space="preserve"> 'T&amp;E'!AI$9</f>
        <v>2037</v>
      </c>
      <c r="AJ2" s="182">
        <f xml:space="preserve"> 'T&amp;E'!AJ$9</f>
        <v>2038</v>
      </c>
      <c r="AK2" s="182">
        <f xml:space="preserve"> 'T&amp;E'!AK$9</f>
        <v>2039</v>
      </c>
      <c r="AL2" s="182">
        <f xml:space="preserve"> 'T&amp;E'!AL$9</f>
        <v>2040</v>
      </c>
      <c r="AM2" s="182">
        <f xml:space="preserve"> 'T&amp;E'!AM$9</f>
        <v>2041</v>
      </c>
      <c r="AN2" s="182">
        <f xml:space="preserve"> 'T&amp;E'!AN$9</f>
        <v>2042</v>
      </c>
      <c r="AO2" s="182">
        <f xml:space="preserve"> 'T&amp;E'!AO$9</f>
        <v>2043</v>
      </c>
      <c r="AP2" s="182">
        <f xml:space="preserve"> 'T&amp;E'!AP$9</f>
        <v>2044</v>
      </c>
      <c r="AQ2" s="182">
        <f xml:space="preserve"> 'T&amp;E'!AQ$9</f>
        <v>2045</v>
      </c>
      <c r="AR2" s="182">
        <f xml:space="preserve"> 'T&amp;E'!AR$9</f>
        <v>2046</v>
      </c>
      <c r="AS2" s="182">
        <f xml:space="preserve"> 'T&amp;E'!AS$9</f>
        <v>2047</v>
      </c>
      <c r="AT2" s="182">
        <f xml:space="preserve"> 'T&amp;E'!AT$9</f>
        <v>2048</v>
      </c>
      <c r="AU2" s="182">
        <f xml:space="preserve"> 'T&amp;E'!AU$9</f>
        <v>2049</v>
      </c>
      <c r="AV2" s="182">
        <f xml:space="preserve"> 'T&amp;E'!AV$9</f>
        <v>2050</v>
      </c>
    </row>
    <row r="3" spans="1:48" ht="15" customHeight="1">
      <c r="F3" s="558">
        <f xml:space="preserve"> Track!F$3</f>
        <v>0</v>
      </c>
      <c r="G3" s="23" t="s">
        <v>2</v>
      </c>
      <c r="H3" s="23"/>
      <c r="L3" s="167" t="s">
        <v>3</v>
      </c>
      <c r="M3" s="167" t="s">
        <v>3</v>
      </c>
      <c r="N3" s="167" t="s">
        <v>3</v>
      </c>
      <c r="O3" s="167" t="s">
        <v>3</v>
      </c>
      <c r="P3" s="167" t="s">
        <v>3</v>
      </c>
      <c r="Q3" s="167" t="s">
        <v>3</v>
      </c>
      <c r="R3" s="167" t="s">
        <v>3</v>
      </c>
      <c r="S3" s="167" t="s">
        <v>3</v>
      </c>
      <c r="T3" s="167" t="s">
        <v>3</v>
      </c>
      <c r="U3" s="167" t="s">
        <v>3</v>
      </c>
      <c r="V3" s="167" t="s">
        <v>3</v>
      </c>
      <c r="W3" s="167" t="s">
        <v>3</v>
      </c>
      <c r="X3" s="167" t="s">
        <v>3</v>
      </c>
      <c r="Y3" s="167" t="s">
        <v>3</v>
      </c>
      <c r="Z3" s="167" t="s">
        <v>3</v>
      </c>
      <c r="AA3" s="167" t="s">
        <v>3</v>
      </c>
      <c r="AB3" s="167" t="s">
        <v>3</v>
      </c>
      <c r="AC3" s="167" t="s">
        <v>3</v>
      </c>
      <c r="AD3" s="167" t="s">
        <v>3</v>
      </c>
      <c r="AE3" s="167" t="s">
        <v>4</v>
      </c>
      <c r="AF3" s="167" t="s">
        <v>4</v>
      </c>
      <c r="AG3" s="167" t="s">
        <v>4</v>
      </c>
      <c r="AH3" s="167" t="s">
        <v>4</v>
      </c>
      <c r="AI3" s="167" t="s">
        <v>4</v>
      </c>
      <c r="AJ3" s="167" t="s">
        <v>4</v>
      </c>
      <c r="AK3" s="167" t="s">
        <v>4</v>
      </c>
      <c r="AL3" s="167" t="s">
        <v>4</v>
      </c>
      <c r="AM3" s="167" t="s">
        <v>4</v>
      </c>
      <c r="AN3" s="167" t="s">
        <v>4</v>
      </c>
      <c r="AO3" s="167" t="s">
        <v>4</v>
      </c>
      <c r="AP3" s="167" t="s">
        <v>4</v>
      </c>
      <c r="AQ3" s="167" t="s">
        <v>4</v>
      </c>
      <c r="AR3" s="167" t="s">
        <v>4</v>
      </c>
      <c r="AS3" s="167" t="s">
        <v>4</v>
      </c>
      <c r="AT3" s="167" t="s">
        <v>4</v>
      </c>
      <c r="AU3" s="167" t="s">
        <v>4</v>
      </c>
      <c r="AV3" s="167" t="s">
        <v>4</v>
      </c>
    </row>
    <row r="4" spans="1:48" ht="15" customHeight="1">
      <c r="F4" s="25" t="s">
        <v>5</v>
      </c>
      <c r="G4" s="16" t="s">
        <v>6</v>
      </c>
      <c r="H4" s="16" t="s">
        <v>7</v>
      </c>
      <c r="I4" s="26" t="s">
        <v>8</v>
      </c>
      <c r="J4" s="27"/>
      <c r="L4" s="110">
        <f xml:space="preserve"> 'T&amp;E'!L$11</f>
        <v>1</v>
      </c>
      <c r="M4" s="110">
        <f xml:space="preserve"> 'T&amp;E'!M$11</f>
        <v>2</v>
      </c>
      <c r="N4" s="110">
        <f xml:space="preserve"> 'T&amp;E'!N$11</f>
        <v>3</v>
      </c>
      <c r="O4" s="110">
        <f xml:space="preserve"> 'T&amp;E'!O$11</f>
        <v>4</v>
      </c>
      <c r="P4" s="110">
        <f xml:space="preserve"> 'T&amp;E'!P$11</f>
        <v>5</v>
      </c>
      <c r="Q4" s="110">
        <f xml:space="preserve"> 'T&amp;E'!Q$11</f>
        <v>6</v>
      </c>
      <c r="R4" s="110">
        <f xml:space="preserve"> 'T&amp;E'!R$11</f>
        <v>7</v>
      </c>
      <c r="S4" s="110">
        <f xml:space="preserve"> 'T&amp;E'!S$11</f>
        <v>8</v>
      </c>
      <c r="T4" s="110">
        <f xml:space="preserve"> 'T&amp;E'!T$11</f>
        <v>9</v>
      </c>
      <c r="U4" s="110">
        <f xml:space="preserve"> 'T&amp;E'!U$11</f>
        <v>10</v>
      </c>
      <c r="V4" s="110">
        <f xml:space="preserve"> 'T&amp;E'!V$11</f>
        <v>11</v>
      </c>
      <c r="W4" s="110">
        <f xml:space="preserve"> 'T&amp;E'!W$11</f>
        <v>12</v>
      </c>
      <c r="X4" s="110">
        <f xml:space="preserve"> 'T&amp;E'!X$11</f>
        <v>13</v>
      </c>
      <c r="Y4" s="110">
        <f xml:space="preserve"> 'T&amp;E'!Y$11</f>
        <v>14</v>
      </c>
      <c r="Z4" s="110">
        <f xml:space="preserve"> 'T&amp;E'!Z$11</f>
        <v>15</v>
      </c>
      <c r="AA4" s="110">
        <f xml:space="preserve"> 'T&amp;E'!AA$11</f>
        <v>16</v>
      </c>
      <c r="AB4" s="110">
        <f xml:space="preserve"> 'T&amp;E'!AB$11</f>
        <v>17</v>
      </c>
      <c r="AC4" s="110">
        <f xml:space="preserve"> 'T&amp;E'!AC$11</f>
        <v>18</v>
      </c>
      <c r="AD4" s="110">
        <f xml:space="preserve"> 'T&amp;E'!AD$11</f>
        <v>19</v>
      </c>
      <c r="AE4" s="110">
        <f xml:space="preserve"> 'T&amp;E'!AE$11</f>
        <v>20</v>
      </c>
      <c r="AF4" s="110">
        <f xml:space="preserve"> 'T&amp;E'!AF$11</f>
        <v>21</v>
      </c>
      <c r="AG4" s="110">
        <f xml:space="preserve"> 'T&amp;E'!AG$11</f>
        <v>22</v>
      </c>
      <c r="AH4" s="110">
        <f xml:space="preserve"> 'T&amp;E'!AH$11</f>
        <v>23</v>
      </c>
      <c r="AI4" s="110">
        <f xml:space="preserve"> 'T&amp;E'!AI$11</f>
        <v>24</v>
      </c>
      <c r="AJ4" s="110">
        <f xml:space="preserve"> 'T&amp;E'!AJ$11</f>
        <v>25</v>
      </c>
      <c r="AK4" s="110">
        <f xml:space="preserve"> 'T&amp;E'!AK$11</f>
        <v>26</v>
      </c>
      <c r="AL4" s="110">
        <f xml:space="preserve"> 'T&amp;E'!AL$11</f>
        <v>27</v>
      </c>
      <c r="AM4" s="110">
        <f xml:space="preserve"> 'T&amp;E'!AM$11</f>
        <v>28</v>
      </c>
      <c r="AN4" s="110">
        <f xml:space="preserve"> 'T&amp;E'!AN$11</f>
        <v>29</v>
      </c>
      <c r="AO4" s="110">
        <f xml:space="preserve"> 'T&amp;E'!AO$11</f>
        <v>30</v>
      </c>
      <c r="AP4" s="110">
        <f xml:space="preserve"> 'T&amp;E'!AP$11</f>
        <v>31</v>
      </c>
      <c r="AQ4" s="110">
        <f xml:space="preserve"> 'T&amp;E'!AQ$11</f>
        <v>32</v>
      </c>
      <c r="AR4" s="110">
        <f xml:space="preserve"> 'T&amp;E'!AR$11</f>
        <v>33</v>
      </c>
      <c r="AS4" s="110">
        <f xml:space="preserve"> 'T&amp;E'!AS$11</f>
        <v>34</v>
      </c>
      <c r="AT4" s="110">
        <f xml:space="preserve"> 'T&amp;E'!AT$11</f>
        <v>35</v>
      </c>
      <c r="AU4" s="110">
        <f xml:space="preserve"> 'T&amp;E'!AU$11</f>
        <v>36</v>
      </c>
      <c r="AV4" s="110">
        <f xml:space="preserve"> 'T&amp;E'!AV$11</f>
        <v>37</v>
      </c>
    </row>
    <row r="5" spans="1:48" ht="15" customHeight="1">
      <c r="F5" s="25"/>
      <c r="G5" s="16"/>
      <c r="H5" s="16"/>
      <c r="I5" s="26"/>
      <c r="J5" s="27"/>
      <c r="K5" s="97"/>
    </row>
    <row r="6" spans="1:48" s="31" customFormat="1" ht="15" customHeight="1" collapsed="1">
      <c r="A6" s="34" t="s">
        <v>164</v>
      </c>
      <c r="B6" s="28"/>
      <c r="C6" s="29"/>
      <c r="D6" s="30"/>
      <c r="E6" s="28"/>
      <c r="F6" s="28"/>
      <c r="G6" s="28"/>
      <c r="H6" s="28"/>
      <c r="I6" s="28"/>
      <c r="J6" s="28"/>
      <c r="K6" s="4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</row>
    <row r="7" spans="1:48" ht="15" customHeight="1">
      <c r="D7" s="38"/>
      <c r="I7" s="18"/>
      <c r="K7" s="97"/>
    </row>
  </sheetData>
  <conditionalFormatting sqref="F2">
    <cfRule type="cellIs" dxfId="9" priority="1" stopIfTrue="1" operator="notEqual">
      <formula>0</formula>
    </cfRule>
    <cfRule type="cellIs" dxfId="8" priority="2" stopIfTrue="1" operator="equal">
      <formula>""</formula>
    </cfRule>
  </conditionalFormatting>
  <conditionalFormatting sqref="F3">
    <cfRule type="cellIs" dxfId="7" priority="3" stopIfTrue="1" operator="notEqual">
      <formula>0</formula>
    </cfRule>
    <cfRule type="cellIs" dxfId="6" priority="4" stopIfTrue="1" operator="equal">
      <formula>""</formula>
    </cfRule>
  </conditionalFormatting>
  <conditionalFormatting sqref="L3:AV3">
    <cfRule type="cellIs" dxfId="5" priority="5" stopIfTrue="1" operator="equal">
      <formula>#REF!</formula>
    </cfRule>
    <cfRule type="cellIs" dxfId="4" priority="6" stopIfTrue="1" operator="equal">
      <formula>#REF!</formula>
    </cfRule>
    <cfRule type="cellIs" dxfId="3" priority="7" operator="equal">
      <formula>#REF!</formula>
    </cfRule>
    <cfRule type="cellIs" dxfId="2" priority="8" operator="equal">
      <formula>#REF!</formula>
    </cfRule>
  </conditionalFormatting>
  <conditionalFormatting sqref="M3:AV3">
    <cfRule type="cellIs" dxfId="1" priority="9" stopIfTrue="1" operator="equal">
      <formula>#REF!</formula>
    </cfRule>
    <cfRule type="cellIs" dxfId="0" priority="10" stopIfTrue="1" operator="equal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17</vt:i4>
      </vt:variant>
      <vt:variant>
        <vt:lpstr>Graphiques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21" baseType="lpstr">
      <vt:lpstr>ToDo</vt:lpstr>
      <vt:lpstr>Track</vt:lpstr>
      <vt:lpstr>Dashboard</vt:lpstr>
      <vt:lpstr>SummaryC_Flow</vt:lpstr>
      <vt:lpstr>Charts</vt:lpstr>
      <vt:lpstr>OnePager</vt:lpstr>
      <vt:lpstr>Scenarios</vt:lpstr>
      <vt:lpstr>Metalkol_Model1</vt:lpstr>
      <vt:lpstr>EITI_Rev</vt:lpstr>
      <vt:lpstr>T&amp;E</vt:lpstr>
      <vt:lpstr>InputsTS</vt:lpstr>
      <vt:lpstr>InputsCon</vt:lpstr>
      <vt:lpstr>Kamoto_2019TR</vt:lpstr>
      <vt:lpstr>Kamoto_2011TR</vt:lpstr>
      <vt:lpstr>Sources</vt:lpstr>
      <vt:lpstr>Inp_2019TR</vt:lpstr>
      <vt:lpstr>NewSheet</vt:lpstr>
      <vt:lpstr>Interest Charge Simulation</vt:lpstr>
      <vt:lpstr>CHK_TOL</vt:lpstr>
      <vt:lpstr>SMU</vt:lpstr>
      <vt:lpstr>USDMN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Johnny West</dc:creator>
  <cp:keywords/>
  <dc:description/>
  <cp:lastModifiedBy>Gilbert Deningaidi</cp:lastModifiedBy>
  <cp:revision/>
  <dcterms:created xsi:type="dcterms:W3CDTF">2025-01-28T17:35:07Z</dcterms:created>
  <dcterms:modified xsi:type="dcterms:W3CDTF">2025-08-08T11:31:45Z</dcterms:modified>
  <cp:category/>
  <cp:contentStatus/>
</cp:coreProperties>
</file>